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iming" sheetId="3" state="visible" r:id="rId5"/>
    <sheet name="Classes" sheetId="4" state="visible" r:id="rId6"/>
    <sheet name="Class_IRR" sheetId="5" state="visible" r:id="rId7"/>
    <sheet name="Class_Flows" sheetId="6" state="visible" r:id="rId8"/>
    <sheet name="Bid_Floor" sheetId="7" state="visible" r:id="rId9"/>
    <sheet name="Portfolio_Flows" sheetId="8" state="visible" r:id="rId10"/>
    <sheet name="Variants" sheetId="9" state="visible" r:id="rId11"/>
    <sheet name="Portfolio" sheetId="10" state="visible" r:id="rId12"/>
    <sheet name="Quarterly" sheetId="11" state="visible" r:id="rId13"/>
    <sheet name="Lemons" sheetId="12" state="visible" r:id="rId14"/>
    <sheet name="Stress" sheetId="13" state="visible" r:id="rId15"/>
    <sheet name="Checks" sheetId="14" state="visible" r:id="rId1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<sst xmlns="http://schemas.openxmlformats.org/spreadsheetml/2006/main" count="3221" uniqueCount="579">
  <si>
    <t xml:space="preserve">Calder County: the redemption record, the bids and the sixty-certificate portfolio</t>
  </si>
  <si>
    <t xml:space="preserve">Companion workbook to The Tax Lien Investor, by Julian R. Sterling. julianrsterling.com/tax-liens</t>
  </si>
  <si>
    <t xml:space="preserve">What it is</t>
  </si>
  <si>
    <t xml:space="preserve">The engine of the book. From Calder County's redemption record by class of parcel, it builds the expected cash flow of one certificate month by month, from sale day (month 0) to month 37: the redemptions and what each pays, the subsequent taxes at months 12 and 24, the deed application, the owner who redeems at month 27, the deed sale at month 30 and the parcel the holder must take and resell at month 36. The IRR of those flows, by class and bid, gives the lowest bid for a target. Adding the lines of the portfolio gives the sixty certificates, their cash by quarter, the lemons and the stress test.</t>
  </si>
  <si>
    <t xml:space="preserve">Where it is in the book</t>
  </si>
  <si>
    <t xml:space="preserve">Chapter 4 (who redeems, and when), Chapter 5 (the sale list), Chapter 6 (how low to bid), Chapter 8 (the funnel), Chapter 12 (the portfolio), the worthless-parcel chapter and the stress-test chapter.</t>
  </si>
  <si>
    <t xml:space="preserve">Sheets</t>
  </si>
  <si>
    <t xml:space="preserve">Inputs: the regime, the class table, the timing shapes, the portfolio lines, the downturns and the scenarios. Timing: the shape month by month. Classes: final outcomes by class, the sale list and the funnel. Class_IRR and Class_Flows: the IRR grid and the cash flows behind each cell. Bid_Floor: the lowest bid for the hurdle and for the Treasury bill, each tested one step lower. Portfolio_Flows: one certificate of each portfolio line in each scenario. Variants: the portfolio in every variant the book prints. Portfolio, Quarterly, Lemons, Stress: the book's tables. Checks: every printed figure beside its live cell, and the logic checks.</t>
  </si>
  <si>
    <t xml:space="preserve">Conventions</t>
  </si>
  <si>
    <t xml:space="preserve">Months from the sale. A certificate redeemed in month m pays its face plus the greater of interest at the bid for m months and 5% of the face (nothing at a 0% bid), plus any subsequent tax with 18% simple interest; the county pays one month later. Class E and the lemons are never taken to a deed application: unredeemed at month 24 they are written off. The IRR is IRR() over the monthly row, compounded to a year as (1 + monthly)^12 - 1, as in the book's model.</t>
  </si>
  <si>
    <t xml:space="preserve">Yellow cells with blue type are inputs; grey cells are formulas. No macros, no circular references, nothing locked, protected or hidden. Calder County and its record are fictional: the record is the book's illustration, not a market statistic.</t>
  </si>
  <si>
    <t xml:space="preserve">The file is provided without warranty of any kind. It is a teaching model, not legal, tax or investment advice.</t>
  </si>
  <si>
    <t xml:space="preserve">Inputs: the regime, the redemption record, the portfolio and the scenarios</t>
  </si>
  <si>
    <t xml:space="preserve">Yellow cells with blue type are inputs. Change one and every sheet follows.</t>
  </si>
  <si>
    <t xml:space="preserve">Calder County regime (the book's assumptions, Chapters 1 and 2)</t>
  </si>
  <si>
    <t xml:space="preserve">Maximum rate, where bidding starts</t>
  </si>
  <si>
    <t xml:space="preserve">a year</t>
  </si>
  <si>
    <t xml:space="preserve">Bid step</t>
  </si>
  <si>
    <t xml:space="preserve">percentage points</t>
  </si>
  <si>
    <t xml:space="preserve">Minimum charge on redemption (not on a 0% bid)</t>
  </si>
  <si>
    <t xml:space="preserve">of the face amount</t>
  </si>
  <si>
    <t xml:space="preserve">Fee per certificate, paid by the buyer, not recovered</t>
  </si>
  <si>
    <t xml:space="preserve">per certificate</t>
  </si>
  <si>
    <t xml:space="preserve">Payment lag: months from redemption or sale to the cash</t>
  </si>
  <si>
    <t xml:space="preserve">months</t>
  </si>
  <si>
    <t xml:space="preserve">Rate earned on subsequent taxes paid by the holder (simple, no minimum)</t>
  </si>
  <si>
    <t xml:space="preserve">Month the holder pays the first subsequent tax</t>
  </si>
  <si>
    <t xml:space="preserve">month</t>
  </si>
  <si>
    <t xml:space="preserve">Month of the second subsequent tax and of the deed application</t>
  </si>
  <si>
    <t xml:space="preserve">month (the redemption record runs to this month)</t>
  </si>
  <si>
    <t xml:space="preserve">Cost of a deed application, recovered from whoever redeems or bids</t>
  </si>
  <si>
    <t xml:space="preserve">Month an owner redeems after the application</t>
  </si>
  <si>
    <t xml:space="preserve">Month of the deed sale</t>
  </si>
  <si>
    <t xml:space="preserve">Month the holder resells a parcel it had to take</t>
  </si>
  <si>
    <t xml:space="preserve">month (no lag)</t>
  </si>
  <si>
    <t xml:space="preserve">Treasury bill rate (benchmark)</t>
  </si>
  <si>
    <t xml:space="preserve">The investor's required return (hurdle)</t>
  </si>
  <si>
    <t xml:space="preserve">Calder County's redemption record by class of parcel (Chapter 4; the investor's tally of five sales)</t>
  </si>
  <si>
    <t xml:space="preserve">Class</t>
  </si>
  <si>
    <t xml:space="preserve">Description</t>
  </si>
  <si>
    <t xml:space="preserve">Share of the list</t>
  </si>
  <si>
    <t xml:space="preserve">Average face</t>
  </si>
  <si>
    <t xml:space="preserve">R24</t>
  </si>
  <si>
    <t xml:space="preserve">Rapp</t>
  </si>
  <si>
    <t xml:space="preserve">Pout</t>
  </si>
  <si>
    <t xml:space="preserve">REC</t>
  </si>
  <si>
    <t xml:space="preserve">Taken to a deed application (1 = yes)</t>
  </si>
  <si>
    <t xml:space="preserve">A</t>
  </si>
  <si>
    <t xml:space="preserve">Homestead with a mortgage</t>
  </si>
  <si>
    <t xml:space="preserve">B</t>
  </si>
  <si>
    <t xml:space="preserve">Other residential</t>
  </si>
  <si>
    <t xml:space="preserve">C</t>
  </si>
  <si>
    <t xml:space="preserve">Commercial</t>
  </si>
  <si>
    <t xml:space="preserve">D</t>
  </si>
  <si>
    <t xml:space="preserve">Vacant buildable land</t>
  </si>
  <si>
    <t xml:space="preserve">E</t>
  </si>
  <si>
    <t xml:space="preserve">Low-value and unusable parcels</t>
  </si>
  <si>
    <t xml:space="preserve">R24: share redeemed by month 24. Rapp: of those outstanding at 24, share that redeem after the deed application. Pout: of the rest, share where a third party bids at the deed sale. REC: recovery on resale, as a share of all the holder's cash in the parcel.</t>
  </si>
  <si>
    <t xml:space="preserve">Timing of the redemptions made within 24 months: cumulative share by month (straight lines between points)</t>
  </si>
  <si>
    <t xml:space="preserve">Month</t>
  </si>
  <si>
    <t xml:space="preserve">Shape 1: Calder County's record</t>
  </si>
  <si>
    <t xml:space="preserve">Shape 2: slow redemptions (the stress-test chapter)</t>
  </si>
  <si>
    <t xml:space="preserve">The sale list and the portfolio (Chapters 5 and 12)</t>
  </si>
  <si>
    <t xml:space="preserve">Certificates on Calder County's sale list</t>
  </si>
  <si>
    <t xml:space="preserve">The investor's budget</t>
  </si>
  <si>
    <t xml:space="preserve">Portfolio line</t>
  </si>
  <si>
    <t xml:space="preserve">Certificates won</t>
  </si>
  <si>
    <t xml:space="preserve">Face each</t>
  </si>
  <si>
    <t xml:space="preserve">Average bid</t>
  </si>
  <si>
    <t xml:space="preserve">Lemon (1 = behaves as class E)</t>
  </si>
  <si>
    <t xml:space="preserve">Line 1</t>
  </si>
  <si>
    <t xml:space="preserve">Line 2</t>
  </si>
  <si>
    <t xml:space="preserve">Line 3</t>
  </si>
  <si>
    <t xml:space="preserve">Line 4</t>
  </si>
  <si>
    <t xml:space="preserve">Line 5: lots bought as class D, in fact unusable</t>
  </si>
  <si>
    <t xml:space="preserve">Lemons replace sound lots of line 4 one for one: in a variant with L lemons, line 4 holds lines 4 and 5 less L, line 5 holds L.</t>
  </si>
  <si>
    <t xml:space="preserve">Downturns (the stress-test chapter)</t>
  </si>
  <si>
    <t xml:space="preserve">Downturn</t>
  </si>
  <si>
    <t xml:space="preserve">R24 shift (points)</t>
  </si>
  <si>
    <t xml:space="preserve">Third-party bids (multiplier on Pout)</t>
  </si>
  <si>
    <t xml:space="preserve">REC shift (points)</t>
  </si>
  <si>
    <t xml:space="preserve">none</t>
  </si>
  <si>
    <t xml:space="preserve">mild</t>
  </si>
  <si>
    <t xml:space="preserve">severe</t>
  </si>
  <si>
    <t xml:space="preserve">extreme</t>
  </si>
  <si>
    <t xml:space="preserve">Scenarios: how each one sets the lines (the stress-test chapter)</t>
  </si>
  <si>
    <t xml:space="preserve">Scenario</t>
  </si>
  <si>
    <t xml:space="preserve">Shape</t>
  </si>
  <si>
    <t xml:space="preserve">Bid multiplier</t>
  </si>
  <si>
    <t xml:space="preserve">Lag</t>
  </si>
  <si>
    <t xml:space="preserve">Fee</t>
  </si>
  <si>
    <t xml:space="preserve">Base</t>
  </si>
  <si>
    <t xml:space="preserve">Slow redemptions</t>
  </si>
  <si>
    <t xml:space="preserve">Competitive sale</t>
  </si>
  <si>
    <t xml:space="preserve">Mild downturn</t>
  </si>
  <si>
    <t xml:space="preserve">Severe downturn</t>
  </si>
  <si>
    <t xml:space="preserve">Extreme downturn</t>
  </si>
  <si>
    <t xml:space="preserve">Combined: slow, severe</t>
  </si>
  <si>
    <t xml:space="preserve">No payment lag</t>
  </si>
  <si>
    <t xml:space="preserve">No fees</t>
  </si>
  <si>
    <t xml:space="preserve">Downturn names the row of the downturn table above. The model's lemons keep class E's own record in every downturn.</t>
  </si>
  <si>
    <t xml:space="preserve">The timing shape month by month (Chapter 4)</t>
  </si>
  <si>
    <t xml:space="preserve">F(m): cumulative share of the 24-month redemptions made by month m, on straight lines between the points of the record.</t>
  </si>
  <si>
    <t xml:space="preserve">Segment of the record (MATCH)</t>
  </si>
  <si>
    <t xml:space="preserve">F(m), shape 1: Calder County's record</t>
  </si>
  <si>
    <t xml:space="preserve">F(m), shape 2: slow redemptions</t>
  </si>
  <si>
    <t xml:space="preserve">Every class follows the same shape; the class sets how many redeem (R24), the shape sets when.</t>
  </si>
  <si>
    <t xml:space="preserve">The record by class: final outcomes, the sale list and the funnel (Chapters 4, 5 and 8)</t>
  </si>
  <si>
    <t xml:space="preserve">Share of certificates by final outcome, computed from the class table on Inputs.</t>
  </si>
  <si>
    <t xml:space="preserve">Redeemed by month 24</t>
  </si>
  <si>
    <t xml:space="preserve">Redeemed after application</t>
  </si>
  <si>
    <t xml:space="preserve">Paid out at the deed sale</t>
  </si>
  <si>
    <t xml:space="preserve">Holder takes the deed</t>
  </si>
  <si>
    <t xml:space="preserve">Written off</t>
  </si>
  <si>
    <t xml:space="preserve">Adds to 100%</t>
  </si>
  <si>
    <t xml:space="preserve">Class A</t>
  </si>
  <si>
    <t xml:space="preserve">Class B</t>
  </si>
  <si>
    <t xml:space="preserve">Class C</t>
  </si>
  <si>
    <t xml:space="preserve">Class D</t>
  </si>
  <si>
    <t xml:space="preserve">Class E</t>
  </si>
  <si>
    <t xml:space="preserve">Calder County's sale list (Chapter 5)</t>
  </si>
  <si>
    <t xml:space="preserve">Share</t>
  </si>
  <si>
    <t xml:space="preserve">Certificates</t>
  </si>
  <si>
    <t xml:space="preserve">Total face</t>
  </si>
  <si>
    <t xml:space="preserve">Total</t>
  </si>
  <si>
    <t xml:space="preserve">Counts are the shares rounded to whole certificates; class A takes the rounding difference, as the model does.</t>
  </si>
  <si>
    <t xml:space="preserve">The diligence funnel (Chapter 8)</t>
  </si>
  <si>
    <t xml:space="preserve">Step</t>
  </si>
  <si>
    <t xml:space="preserve">Remaining</t>
  </si>
  <si>
    <t xml:space="preserve">Removed at this step</t>
  </si>
  <si>
    <t xml:space="preserve">Sale list</t>
  </si>
  <si>
    <t xml:space="preserve">After removing low-value and unusable parcels</t>
  </si>
  <si>
    <t xml:space="preserve">After removing flagged parcels</t>
  </si>
  <si>
    <t xml:space="preserve">Inside the budget and face range</t>
  </si>
  <si>
    <t xml:space="preserve">Researched parcel by parcel</t>
  </si>
  <si>
    <t xml:space="preserve">Bid on</t>
  </si>
  <si>
    <t xml:space="preserve">Won</t>
  </si>
  <si>
    <t xml:space="preserve">Minutes of desktop diligence per parcel researched</t>
  </si>
  <si>
    <t xml:space="preserve">Paid data per parcel researched (assumption)</t>
  </si>
  <si>
    <t xml:space="preserve">Hours of diligence</t>
  </si>
  <si>
    <t xml:space="preserve">Cost of data</t>
  </si>
  <si>
    <t xml:space="preserve">Expected IRR by class and bid rate (Chapters 4 and 6)</t>
  </si>
  <si>
    <t xml:space="preserve">IRR a year of the expected cash flows of one certificate at the class's average face, every outcome included. The cash flows are on Class_Flows.</t>
  </si>
  <si>
    <t xml:space="preserve">Class \ bid rate</t>
  </si>
  <si>
    <t xml:space="preserve">Class A: Homestead with a mortgage</t>
  </si>
  <si>
    <t xml:space="preserve">Class B: Other residential</t>
  </si>
  <si>
    <t xml:space="preserve">Class C: Commercial</t>
  </si>
  <si>
    <t xml:space="preserve">Class D: Vacant buildable land</t>
  </si>
  <si>
    <t xml:space="preserve">Class E (written off if unredeemed)</t>
  </si>
  <si>
    <t xml:space="preserve">Lowest bid (0.25% steps) that still reaches the target</t>
  </si>
  <si>
    <t xml:space="preserve">Class and target</t>
  </si>
  <si>
    <t xml:space="preserve">Target</t>
  </si>
  <si>
    <t xml:space="preserve">Lowest bid (the book)</t>
  </si>
  <si>
    <t xml:space="preserve">IRR at that bid</t>
  </si>
  <si>
    <t xml:space="preserve">One step lower</t>
  </si>
  <si>
    <t xml:space="preserve">IRR one step lower</t>
  </si>
  <si>
    <t xml:space="preserve">Clears, and one step lower does not</t>
  </si>
  <si>
    <t xml:space="preserve">Class A, the 8% hurdle</t>
  </si>
  <si>
    <t xml:space="preserve">Class B, the 8% hurdle</t>
  </si>
  <si>
    <t xml:space="preserve">Class C, the 8% hurdle</t>
  </si>
  <si>
    <t xml:space="preserve">Class D, the 8% hurdle</t>
  </si>
  <si>
    <t xml:space="preserve">Class A, the 4% Treasury bill</t>
  </si>
  <si>
    <t xml:space="preserve">Class B, the 4% Treasury bill</t>
  </si>
  <si>
    <t xml:space="preserve">Class C, the 4% Treasury bill</t>
  </si>
  <si>
    <t xml:space="preserve">Class D, the 4% Treasury bill</t>
  </si>
  <si>
    <t xml:space="preserve">Expected cash flows of one certificate by class and bid (Chapters 4 and 6)</t>
  </si>
  <si>
    <t xml:space="preserve">Each block is one certificate: the share redeemed each month, what it pays, and the expected cash flow month by month.</t>
  </si>
  <si>
    <t xml:space="preserve">Month (from the sale)</t>
  </si>
  <si>
    <t xml:space="preserve">Class A at a bid of 0.25%</t>
  </si>
  <si>
    <t xml:space="preserve">Bid rate</t>
  </si>
  <si>
    <t xml:space="preserve">Face</t>
  </si>
  <si>
    <t xml:space="preserve">Redeemed by m24 (R24)</t>
  </si>
  <si>
    <t xml:space="preserve">Deed branch (1 = yes)</t>
  </si>
  <si>
    <t xml:space="preserve">Shape (1 record, 2 slow)</t>
  </si>
  <si>
    <t xml:space="preserve">This line's inputs</t>
  </si>
  <si>
    <t xml:space="preserve">Outstanding at m12</t>
  </si>
  <si>
    <t xml:space="preserve">Outstanding at m24</t>
  </si>
  <si>
    <t xml:space="preserve">Redeem after application</t>
  </si>
  <si>
    <t xml:space="preserve">Paid at deed sale</t>
  </si>
  <si>
    <t xml:space="preserve">Cash in the parcel</t>
  </si>
  <si>
    <t xml:space="preserve">Opening bid m27</t>
  </si>
  <si>
    <t xml:space="preserve">Opening bid m30</t>
  </si>
  <si>
    <t xml:space="preserve">IRR a month</t>
  </si>
  <si>
    <t xml:space="preserve">IRR a year</t>
  </si>
  <si>
    <t xml:space="preserve">Outcomes and result</t>
  </si>
  <si>
    <t xml:space="preserve">Share redeemed in month m</t>
  </si>
  <si>
    <t xml:space="preserve">Payoff if redeemed in month m</t>
  </si>
  <si>
    <t xml:space="preserve">Expected cash flow in month t</t>
  </si>
  <si>
    <t xml:space="preserve">Class A at a bid of 1.00%</t>
  </si>
  <si>
    <t xml:space="preserve">Class A at a bid of 3.00%</t>
  </si>
  <si>
    <t xml:space="preserve">Class A at a bid of 5.00%</t>
  </si>
  <si>
    <t xml:space="preserve">Class A at a bid of 7.00%</t>
  </si>
  <si>
    <t xml:space="preserve">Class A at a bid of 9.00%</t>
  </si>
  <si>
    <t xml:space="preserve">Class A at a bid of 13.00%</t>
  </si>
  <si>
    <t xml:space="preserve">Class A at a bid of 18.00%</t>
  </si>
  <si>
    <t xml:space="preserve">Class B at a bid of 0.25%</t>
  </si>
  <si>
    <t xml:space="preserve">Class B at a bid of 1.00%</t>
  </si>
  <si>
    <t xml:space="preserve">Class B at a bid of 3.00%</t>
  </si>
  <si>
    <t xml:space="preserve">Class B at a bid of 5.00%</t>
  </si>
  <si>
    <t xml:space="preserve">Class B at a bid of 7.00%</t>
  </si>
  <si>
    <t xml:space="preserve">Class B at a bid of 9.00%</t>
  </si>
  <si>
    <t xml:space="preserve">Class B at a bid of 13.00%</t>
  </si>
  <si>
    <t xml:space="preserve">Class B at a bid of 18.00%</t>
  </si>
  <si>
    <t xml:space="preserve">Class C at a bid of 0.25%</t>
  </si>
  <si>
    <t xml:space="preserve">Class C at a bid of 1.00%</t>
  </si>
  <si>
    <t xml:space="preserve">Class C at a bid of 3.00%</t>
  </si>
  <si>
    <t xml:space="preserve">Class C at a bid of 5.00%</t>
  </si>
  <si>
    <t xml:space="preserve">Class C at a bid of 7.00%</t>
  </si>
  <si>
    <t xml:space="preserve">Class C at a bid of 9.00%</t>
  </si>
  <si>
    <t xml:space="preserve">Class C at a bid of 13.00%</t>
  </si>
  <si>
    <t xml:space="preserve">Class C at a bid of 18.00%</t>
  </si>
  <si>
    <t xml:space="preserve">Class D at a bid of 0.25%</t>
  </si>
  <si>
    <t xml:space="preserve">Class D at a bid of 1.00%</t>
  </si>
  <si>
    <t xml:space="preserve">Class D at a bid of 3.00%</t>
  </si>
  <si>
    <t xml:space="preserve">Class D at a bid of 5.00%</t>
  </si>
  <si>
    <t xml:space="preserve">Class D at a bid of 7.00%</t>
  </si>
  <si>
    <t xml:space="preserve">Class D at a bid of 9.00%</t>
  </si>
  <si>
    <t xml:space="preserve">Class D at a bid of 13.00%</t>
  </si>
  <si>
    <t xml:space="preserve">Class D at a bid of 18.00%</t>
  </si>
  <si>
    <t xml:space="preserve">Class E at a bid of 18.00%</t>
  </si>
  <si>
    <t xml:space="preserve">Class E at a bid of 0.25%</t>
  </si>
  <si>
    <t xml:space="preserve">The lowest bid for a target: each class at the book's answer and one step lower (Chapter 6)</t>
  </si>
  <si>
    <t xml:space="preserve">The book searches bids upward in 0.25-point steps for the first that reaches the target. Here each answer is an input; the Checks sheet confirms that it clears the target and one step lower does not.</t>
  </si>
  <si>
    <t xml:space="preserve">Class A: lowest bid for the 8% hurdle</t>
  </si>
  <si>
    <t xml:space="preserve">Class A: one step lower than the lowest bid for the 8% hurdle</t>
  </si>
  <si>
    <t xml:space="preserve">Class B: lowest bid for the 8% hurdle</t>
  </si>
  <si>
    <t xml:space="preserve">Class B: one step lower than the lowest bid for the 8% hurdle</t>
  </si>
  <si>
    <t xml:space="preserve">Class C: lowest bid for the 8% hurdle</t>
  </si>
  <si>
    <t xml:space="preserve">Class C: one step lower than the lowest bid for the 8% hurdle</t>
  </si>
  <si>
    <t xml:space="preserve">Class D: lowest bid for the 8% hurdle</t>
  </si>
  <si>
    <t xml:space="preserve">Class D: one step lower than the lowest bid for the 8% hurdle</t>
  </si>
  <si>
    <t xml:space="preserve">Class A: lowest bid for the 4% Treasury bill</t>
  </si>
  <si>
    <t xml:space="preserve">Class A: one step lower than the lowest bid for the 4% Treasury bill</t>
  </si>
  <si>
    <t xml:space="preserve">Class B: lowest bid for the 4% Treasury bill</t>
  </si>
  <si>
    <t xml:space="preserve">Class B: one step lower than the lowest bid for the 4% Treasury bill</t>
  </si>
  <si>
    <t xml:space="preserve">Class C: lowest bid for the 4% Treasury bill</t>
  </si>
  <si>
    <t xml:space="preserve">Class C: one step lower than the lowest bid for the 4% Treasury bill</t>
  </si>
  <si>
    <t xml:space="preserve">Class D: lowest bid for the 4% Treasury bill</t>
  </si>
  <si>
    <t xml:space="preserve">Class D: one step lower than the lowest bid for the 4% Treasury bill</t>
  </si>
  <si>
    <t xml:space="preserve">Expected cash flows of one certificate of each portfolio line, in each scenario (Chapter 12, the worthless-parcel and stress-test chapters)</t>
  </si>
  <si>
    <t xml:space="preserve">Each scenario sets the shape, the downturn, the bids, the lag and the fee for the five lines of the portfolio.</t>
  </si>
  <si>
    <t xml:space="preserve">Base: line 1, class A</t>
  </si>
  <si>
    <t xml:space="preserve">Base: line 2, class B</t>
  </si>
  <si>
    <t xml:space="preserve">Base: line 3, class C</t>
  </si>
  <si>
    <t xml:space="preserve">Base: line 4, class D</t>
  </si>
  <si>
    <t xml:space="preserve">Base: line 5, class D lemon</t>
  </si>
  <si>
    <t xml:space="preserve">Slow redemptions: line 1, class A</t>
  </si>
  <si>
    <t xml:space="preserve">Slow redemptions: line 2, class B</t>
  </si>
  <si>
    <t xml:space="preserve">Slow redemptions: line 3, class C</t>
  </si>
  <si>
    <t xml:space="preserve">Slow redemptions: line 4, class D</t>
  </si>
  <si>
    <t xml:space="preserve">Slow redemptions: line 5, class D lemon</t>
  </si>
  <si>
    <t xml:space="preserve">Competitive sale: line 1, class A</t>
  </si>
  <si>
    <t xml:space="preserve">Competitive sale: line 2, class B</t>
  </si>
  <si>
    <t xml:space="preserve">Competitive sale: line 3, class C</t>
  </si>
  <si>
    <t xml:space="preserve">Competitive sale: line 4, class D</t>
  </si>
  <si>
    <t xml:space="preserve">Competitive sale: line 5, class D lemon</t>
  </si>
  <si>
    <t xml:space="preserve">Mild downturn: line 1, class A</t>
  </si>
  <si>
    <t xml:space="preserve">Mild downturn: line 2, class B</t>
  </si>
  <si>
    <t xml:space="preserve">Mild downturn: line 3, class C</t>
  </si>
  <si>
    <t xml:space="preserve">Mild downturn: line 4, class D</t>
  </si>
  <si>
    <t xml:space="preserve">Mild downturn: line 5, class D lemon</t>
  </si>
  <si>
    <t xml:space="preserve">Severe downturn: line 1, class A</t>
  </si>
  <si>
    <t xml:space="preserve">Severe downturn: line 2, class B</t>
  </si>
  <si>
    <t xml:space="preserve">Severe downturn: line 3, class C</t>
  </si>
  <si>
    <t xml:space="preserve">Severe downturn: line 4, class D</t>
  </si>
  <si>
    <t xml:space="preserve">Severe downturn: line 5, class D lemon</t>
  </si>
  <si>
    <t xml:space="preserve">Extreme downturn: line 1, class A</t>
  </si>
  <si>
    <t xml:space="preserve">Extreme downturn: line 2, class B</t>
  </si>
  <si>
    <t xml:space="preserve">Extreme downturn: line 3, class C</t>
  </si>
  <si>
    <t xml:space="preserve">Extreme downturn: line 4, class D</t>
  </si>
  <si>
    <t xml:space="preserve">Extreme downturn: line 5, class D lemon</t>
  </si>
  <si>
    <t xml:space="preserve">Combined: slow, severe: line 1, class A</t>
  </si>
  <si>
    <t xml:space="preserve">Combined: slow, severe: line 2, class B</t>
  </si>
  <si>
    <t xml:space="preserve">Combined: slow, severe: line 3, class C</t>
  </si>
  <si>
    <t xml:space="preserve">Combined: slow, severe: line 4, class D</t>
  </si>
  <si>
    <t xml:space="preserve">Combined: slow, severe: line 5, class D lemon</t>
  </si>
  <si>
    <t xml:space="preserve">No payment lag: line 1, class A</t>
  </si>
  <si>
    <t xml:space="preserve">No payment lag: line 2, class B</t>
  </si>
  <si>
    <t xml:space="preserve">No payment lag: line 3, class C</t>
  </si>
  <si>
    <t xml:space="preserve">No payment lag: line 4, class D</t>
  </si>
  <si>
    <t xml:space="preserve">No payment lag: line 5, class D lemon</t>
  </si>
  <si>
    <t xml:space="preserve">No fees: line 1, class A</t>
  </si>
  <si>
    <t xml:space="preserve">No fees: line 2, class B</t>
  </si>
  <si>
    <t xml:space="preserve">No fees: line 3, class C</t>
  </si>
  <si>
    <t xml:space="preserve">No fees: line 4, class D</t>
  </si>
  <si>
    <t xml:space="preserve">No fees: line 5, class D lemon</t>
  </si>
  <si>
    <t xml:space="preserve">The portfolio in every variant the book prints: expected cash flows by month (Chapter 12, the worthless-parcel and stress-test chapters)</t>
  </si>
  <si>
    <t xml:space="preserve">Each row adds the lines of Portfolio_Flows: the counts from Inputs, with L lemons in place of sound lots of line 4.</t>
  </si>
  <si>
    <t xml:space="preserve">Variant</t>
  </si>
  <si>
    <t xml:space="preserve">Lemons (L)</t>
  </si>
  <si>
    <t xml:space="preserve">Sale-day outlay</t>
  </si>
  <si>
    <t xml:space="preserve">Later outlays</t>
  </si>
  <si>
    <t xml:space="preserve">Inflows</t>
  </si>
  <si>
    <t xml:space="preserve">Profit</t>
  </si>
  <si>
    <t xml:space="preserve">Base case</t>
  </si>
  <si>
    <t xml:space="preserve">Base with 0 lemons</t>
  </si>
  <si>
    <t xml:space="preserve">Base with 1 lemons</t>
  </si>
  <si>
    <t xml:space="preserve">Base with 2 lemons</t>
  </si>
  <si>
    <t xml:space="preserve">Base with 3 lemons</t>
  </si>
  <si>
    <t xml:space="preserve">Base with 4 lemons</t>
  </si>
  <si>
    <t xml:space="preserve">Base with 5 lemons</t>
  </si>
  <si>
    <t xml:space="preserve">Base with 6 lemons</t>
  </si>
  <si>
    <t xml:space="preserve">Base with 7 lemons</t>
  </si>
  <si>
    <t xml:space="preserve">Base with 8 lemons</t>
  </si>
  <si>
    <t xml:space="preserve">Base with 9 lemons</t>
  </si>
  <si>
    <t xml:space="preserve">Base with 10 lemons</t>
  </si>
  <si>
    <t xml:space="preserve">Base with 11 lemons</t>
  </si>
  <si>
    <t xml:space="preserve">Mild downturn, 2 lemons</t>
  </si>
  <si>
    <t xml:space="preserve">Mild downturn, 4 lemons</t>
  </si>
  <si>
    <t xml:space="preserve">Mild downturn, 6 lemons</t>
  </si>
  <si>
    <t xml:space="preserve">Mild downturn, 8 lemons</t>
  </si>
  <si>
    <t xml:space="preserve">Severe downturn, 2 lemons</t>
  </si>
  <si>
    <t xml:space="preserve">Severe downturn, 4 lemons</t>
  </si>
  <si>
    <t xml:space="preserve">Severe downturn, 6 lemons</t>
  </si>
  <si>
    <t xml:space="preserve">Severe downturn, 8 lemons</t>
  </si>
  <si>
    <t xml:space="preserve">Extreme downturn, 2 lemons</t>
  </si>
  <si>
    <t xml:space="preserve">Extreme downturn, 4 lemons</t>
  </si>
  <si>
    <t xml:space="preserve">Extreme downturn, 6 lemons</t>
  </si>
  <si>
    <t xml:space="preserve">Extreme downturn, 8 lemons</t>
  </si>
  <si>
    <t xml:space="preserve">Combined: slow, severe, five lemons</t>
  </si>
  <si>
    <t xml:space="preserve">Later outlays and inflows are the negative and positive net flows of each month after month 0, as the model counts them.</t>
  </si>
  <si>
    <t xml:space="preserve">The sixty certificates: outlay, expected cash, profit and IRR (Chapter 12)</t>
  </si>
  <si>
    <t xml:space="preserve">The base case: Calder County's record, the investor's bids, two lemons, one-month lag, $10 fees.</t>
  </si>
  <si>
    <t xml:space="preserve">Line</t>
  </si>
  <si>
    <t xml:space="preserve">Line 5 (lemons, bought as class D)</t>
  </si>
  <si>
    <t xml:space="preserve">Fees</t>
  </si>
  <si>
    <t xml:space="preserve">Sale-day outlay: face plus fees</t>
  </si>
  <si>
    <t xml:space="preserve">Left in reserve from the budget</t>
  </si>
  <si>
    <t xml:space="preserve">Expected cash, from the base variant</t>
  </si>
  <si>
    <t xml:space="preserve">Expected later outlays (subsequent taxes and deed applications, net by month)</t>
  </si>
  <si>
    <t xml:space="preserve">Expected inflows</t>
  </si>
  <si>
    <t xml:space="preserve">Expected profit</t>
  </si>
  <si>
    <t xml:space="preserve">Portfolio IRR a year (expected cash flows)</t>
  </si>
  <si>
    <t xml:space="preserve">By class inside the portfolio: IRR of one certificate of each line</t>
  </si>
  <si>
    <t xml:space="preserve">Line 1, class A at 0.50%</t>
  </si>
  <si>
    <t xml:space="preserve">Line 2, class B at 7.00%</t>
  </si>
  <si>
    <t xml:space="preserve">Line 3, class C at 9.00%</t>
  </si>
  <si>
    <t xml:space="preserve">Line 4, class D at 13.00%</t>
  </si>
  <si>
    <t xml:space="preserve">Line 5, class D lemons</t>
  </si>
  <si>
    <t xml:space="preserve">Without the two lemons, and the frictions</t>
  </si>
  <si>
    <t xml:space="preserve">IRR with the two lots behaving as sound class D</t>
  </si>
  <si>
    <t xml:space="preserve">Expected profit without the lemons</t>
  </si>
  <si>
    <t xml:space="preserve">What the two lemons cost in expected profit</t>
  </si>
  <si>
    <t xml:space="preserve">IRR without the one-month payment lag</t>
  </si>
  <si>
    <t xml:space="preserve">IRR without the $10 fees</t>
  </si>
  <si>
    <t xml:space="preserve">Capital: how long the sale-day dollar stays out</t>
  </si>
  <si>
    <t xml:space="preserve">Net expected cash flow</t>
  </si>
  <si>
    <t xml:space="preserve">Cumulative</t>
  </si>
  <si>
    <t xml:space="preserve">Capital outstanding (dollars committed)</t>
  </si>
  <si>
    <t xml:space="preserve">Dollar-months committed over the life</t>
  </si>
  <si>
    <t xml:space="preserve">Average months the sale-day dollar stays out</t>
  </si>
  <si>
    <t xml:space="preserve">Peak capital committed</t>
  </si>
  <si>
    <t xml:space="preserve">Cash by quarter: net expected flow and cumulative (Chapter 12)</t>
  </si>
  <si>
    <t xml:space="preserve">Quarter 0 is sale day; quarter q holds months 3q - 2 to 3q.</t>
  </si>
  <si>
    <t xml:space="preserve">Quarter</t>
  </si>
  <si>
    <t xml:space="preserve">Net flow in the quarter</t>
  </si>
  <si>
    <t xml:space="preserve">Months</t>
  </si>
  <si>
    <t xml:space="preserve">month 0</t>
  </si>
  <si>
    <t xml:space="preserve">The worthless parcel: one lemon, and lemons in the portfolio (the worthless-parcel chapter)</t>
  </si>
  <si>
    <t xml:space="preserve">A lemon is a lot bought as class D that behaves as class E: 35% redeem by month 24, the rest is written off.</t>
  </si>
  <si>
    <t xml:space="preserve">One lemon: face plus fee paid</t>
  </si>
  <si>
    <t xml:space="preserve">Expected IRR of a lemon bought at 13%</t>
  </si>
  <si>
    <t xml:space="preserve">Net income of one class A certificate redeemed early at the minimum</t>
  </si>
  <si>
    <t xml:space="preserve">A lost lemon equals the net income of this many such certificates</t>
  </si>
  <si>
    <t xml:space="preserve">Lemons in the portfolio (in place of sound class D lots)</t>
  </si>
  <si>
    <t xml:space="preserve">Portfolio IRR</t>
  </si>
  <si>
    <t xml:space="preserve">Threshold to test</t>
  </si>
  <si>
    <t xml:space="preserve">Lemons at which the portfolio falls below the Treasury bill (first row below)</t>
  </si>
  <si>
    <t xml:space="preserve">Lemons at which the portfolio falls below the threshold above</t>
  </si>
  <si>
    <t xml:space="preserve">The count works because the IRR falls with every added lemon; the Checks sheet tests that it does.</t>
  </si>
  <si>
    <t xml:space="preserve">The stress test: portfolio IRR a year under each scenario (the stress-test chapter)</t>
  </si>
  <si>
    <t xml:space="preserve">Thresholds, not probabilities: ask which of these Calder County's own record supports.</t>
  </si>
  <si>
    <t xml:space="preserve">Competitive sale (every bid halved)</t>
  </si>
  <si>
    <t xml:space="preserve">Five lemons instead of two</t>
  </si>
  <si>
    <t xml:space="preserve">Combined: slow timing, severe downturn, five lemons</t>
  </si>
  <si>
    <t xml:space="preserve">Slow redemptions, sleeve by sleeve (IRR of one certificate)</t>
  </si>
  <si>
    <t xml:space="preserve">Sleeve</t>
  </si>
  <si>
    <t xml:space="preserve">Record</t>
  </si>
  <si>
    <t xml:space="preserve">Slow</t>
  </si>
  <si>
    <t xml:space="preserve">Class A at 0.50%</t>
  </si>
  <si>
    <t xml:space="preserve">Class B at 7.00%</t>
  </si>
  <si>
    <t xml:space="preserve">Class D at 13.00%</t>
  </si>
  <si>
    <t xml:space="preserve">Mild downturn: R24 of every class, five points lower</t>
  </si>
  <si>
    <t xml:space="preserve">Portfolio IRR by downturn (rows) and number of lemons (columns)</t>
  </si>
  <si>
    <t xml:space="preserve">Downturn \ lemons</t>
  </si>
  <si>
    <t xml:space="preserve">2</t>
  </si>
  <si>
    <t xml:space="preserve">4</t>
  </si>
  <si>
    <t xml:space="preserve">6</t>
  </si>
  <si>
    <t xml:space="preserve">8</t>
  </si>
  <si>
    <t xml:space="preserve">Checks: the figures printed in the book against the live workbook</t>
  </si>
  <si>
    <t xml:space="preserve">Book = the figure as printed in the book (from _FACTS.md). Tolerance = half a unit of the last printed digit. The logic checks at the end test that the model holds together.</t>
  </si>
  <si>
    <t xml:space="preserve">Number of checks</t>
  </si>
  <si>
    <t xml:space="preserve">PASS</t>
  </si>
  <si>
    <t xml:space="preserve">FAIL</t>
  </si>
  <si>
    <t xml:space="preserve">#</t>
  </si>
  <si>
    <t xml:space="preserve">Sheet</t>
  </si>
  <si>
    <t xml:space="preserve">Figure printed in the book, or logic check</t>
  </si>
  <si>
    <t xml:space="preserve">Book</t>
  </si>
  <si>
    <t xml:space="preserve">Workbook</t>
  </si>
  <si>
    <t xml:space="preserve">Difference</t>
  </si>
  <si>
    <t xml:space="preserve">Tolerance</t>
  </si>
  <si>
    <t xml:space="preserve">Status</t>
  </si>
  <si>
    <t xml:space="preserve">Timing</t>
  </si>
  <si>
    <t xml:space="preserve">Both shapes reach 100% at month 24 and never fall</t>
  </si>
  <si>
    <t xml:space="preserve">holds</t>
  </si>
  <si>
    <t xml:space="preserve">Classes</t>
  </si>
  <si>
    <t xml:space="preserve">Class A, redeemed after application</t>
  </si>
  <si>
    <t xml:space="preserve">Class A, paid out at the deed sale</t>
  </si>
  <si>
    <t xml:space="preserve">Class A, holder takes the deed</t>
  </si>
  <si>
    <t xml:space="preserve">Class B, redeemed after application</t>
  </si>
  <si>
    <t xml:space="preserve">Class B, paid out at the deed sale</t>
  </si>
  <si>
    <t xml:space="preserve">Class B, holder takes the deed</t>
  </si>
  <si>
    <t xml:space="preserve">Class C, redeemed after application</t>
  </si>
  <si>
    <t xml:space="preserve">Class C, paid out at the deed sale</t>
  </si>
  <si>
    <t xml:space="preserve">Class C, holder takes the deed</t>
  </si>
  <si>
    <t xml:space="preserve">Class D, redeemed after application</t>
  </si>
  <si>
    <t xml:space="preserve">Class D, paid out at the deed sale</t>
  </si>
  <si>
    <t xml:space="preserve">Class D, holder takes the deed</t>
  </si>
  <si>
    <t xml:space="preserve">Class E, written off</t>
  </si>
  <si>
    <t xml:space="preserve">Each class's outcomes add to 100%</t>
  </si>
  <si>
    <t xml:space="preserve">Sale list, class A, certificates</t>
  </si>
  <si>
    <t xml:space="preserve">Sale list, class A, total face</t>
  </si>
  <si>
    <t xml:space="preserve">Sale list, class B, certificates</t>
  </si>
  <si>
    <t xml:space="preserve">Sale list, class B, total face</t>
  </si>
  <si>
    <t xml:space="preserve">Sale list, class C, certificates</t>
  </si>
  <si>
    <t xml:space="preserve">Sale list, class C, total face</t>
  </si>
  <si>
    <t xml:space="preserve">Sale list, class D, certificates</t>
  </si>
  <si>
    <t xml:space="preserve">Sale list, class D, total face</t>
  </si>
  <si>
    <t xml:space="preserve">Sale list, class E, certificates</t>
  </si>
  <si>
    <t xml:space="preserve">Sale list, class E, total face</t>
  </si>
  <si>
    <t xml:space="preserve">Sale list, total face</t>
  </si>
  <si>
    <t xml:space="preserve">The sale list adds up to the certificates offered</t>
  </si>
  <si>
    <t xml:space="preserve">Funnel: class E parcels screened out</t>
  </si>
  <si>
    <t xml:space="preserve">Funnel: flagged parcels removed</t>
  </si>
  <si>
    <t xml:space="preserve">The funnel's class E step removes exactly the class E certificates of the sale list</t>
  </si>
  <si>
    <t xml:space="preserve">Diligence hours (150 parcels x 25 minutes)</t>
  </si>
  <si>
    <t xml:space="preserve">Paid data for 150 parcels</t>
  </si>
  <si>
    <t xml:space="preserve">Class_IRR</t>
  </si>
  <si>
    <t xml:space="preserve">Class A at 0.25%</t>
  </si>
  <si>
    <t xml:space="preserve">Class A at 1.00%</t>
  </si>
  <si>
    <t xml:space="preserve">Class A at 3.00%</t>
  </si>
  <si>
    <t xml:space="preserve">Class A at 5.00%</t>
  </si>
  <si>
    <t xml:space="preserve">Class A at 7.00%</t>
  </si>
  <si>
    <t xml:space="preserve">Class A at 9.00%</t>
  </si>
  <si>
    <t xml:space="preserve">Class A at 13.00%</t>
  </si>
  <si>
    <t xml:space="preserve">Class A at 18.00%</t>
  </si>
  <si>
    <t xml:space="preserve">Class B at 0.25%</t>
  </si>
  <si>
    <t xml:space="preserve">Class B at 1.00%</t>
  </si>
  <si>
    <t xml:space="preserve">Class B at 3.00%</t>
  </si>
  <si>
    <t xml:space="preserve">Class B at 5.00%</t>
  </si>
  <si>
    <t xml:space="preserve">Class B at 9.00%</t>
  </si>
  <si>
    <t xml:space="preserve">Class B at 13.00%</t>
  </si>
  <si>
    <t xml:space="preserve">Class B at 18.00%</t>
  </si>
  <si>
    <t xml:space="preserve">Class C at 0.25%</t>
  </si>
  <si>
    <t xml:space="preserve">Class C at 1.00%</t>
  </si>
  <si>
    <t xml:space="preserve">Class C at 3.00%</t>
  </si>
  <si>
    <t xml:space="preserve">Class C at 5.00%</t>
  </si>
  <si>
    <t xml:space="preserve">Class C at 7.00%</t>
  </si>
  <si>
    <t xml:space="preserve">Class C at 9.00%</t>
  </si>
  <si>
    <t xml:space="preserve">Class C at 13.00%</t>
  </si>
  <si>
    <t xml:space="preserve">Class C at 18.00%</t>
  </si>
  <si>
    <t xml:space="preserve">Class D at 0.25%</t>
  </si>
  <si>
    <t xml:space="preserve">Class D at 1.00%</t>
  </si>
  <si>
    <t xml:space="preserve">Class D at 3.00%</t>
  </si>
  <si>
    <t xml:space="preserve">Class D at 5.00%</t>
  </si>
  <si>
    <t xml:space="preserve">Class D at 7.00%</t>
  </si>
  <si>
    <t xml:space="preserve">Class D at 9.00%</t>
  </si>
  <si>
    <t xml:space="preserve">Class D at 18.00%</t>
  </si>
  <si>
    <t xml:space="preserve">Class E at 18%</t>
  </si>
  <si>
    <t xml:space="preserve">Class E at 0.25%</t>
  </si>
  <si>
    <t xml:space="preserve">The counter-intuitive pair: class A at 0.25% earns more than class D at 13%</t>
  </si>
  <si>
    <t xml:space="preserve">Bid_Floor</t>
  </si>
  <si>
    <t xml:space="preserve">Class A: the IRR at 4.25% reaches the 8% hurdle and at one step lower it does not</t>
  </si>
  <si>
    <t xml:space="preserve">Class B: the IRR at 4.75% reaches the 8% hurdle and at one step lower it does not</t>
  </si>
  <si>
    <t xml:space="preserve">Class C: the IRR at 4.50% reaches the 8% hurdle and at one step lower it does not</t>
  </si>
  <si>
    <t xml:space="preserve">Class D: the IRR at 17.75% reaches the 8% hurdle and at one step lower it does not</t>
  </si>
  <si>
    <t xml:space="preserve">Class A: the IRR at 0.25% reaches the 4% Treasury bill and at one step lower it does not</t>
  </si>
  <si>
    <t xml:space="preserve">Class B: the IRR at 0.25% reaches the 4% Treasury bill and at one step lower it does not</t>
  </si>
  <si>
    <t xml:space="preserve">Class C: the IRR at 0.25% reaches the 4% Treasury bill and at one step lower it does not</t>
  </si>
  <si>
    <t xml:space="preserve">Class D: the IRR at 9.25% reaches the 4% Treasury bill and at one step lower it does not</t>
  </si>
  <si>
    <t xml:space="preserve">Portfolio</t>
  </si>
  <si>
    <t xml:space="preserve">Line 1, total face</t>
  </si>
  <si>
    <t xml:space="preserve">Line 2, total face</t>
  </si>
  <si>
    <t xml:space="preserve">Line 3, total face</t>
  </si>
  <si>
    <t xml:space="preserve">Line 4, total face</t>
  </si>
  <si>
    <t xml:space="preserve">Line 5, total face</t>
  </si>
  <si>
    <t xml:space="preserve">Left in reserve</t>
  </si>
  <si>
    <t xml:space="preserve">Sixty certificates</t>
  </si>
  <si>
    <t xml:space="preserve">The sale-day outlay is inside the budget</t>
  </si>
  <si>
    <t xml:space="preserve">The sale-day outlay equals the flow at month 0 of the base variant</t>
  </si>
  <si>
    <t xml:space="preserve">Expected later outlays</t>
  </si>
  <si>
    <t xml:space="preserve">The base case misses the 8% hurdle and beats the 4% Treasury bill</t>
  </si>
  <si>
    <t xml:space="preserve">Sleeve IRR, Line 1, class A at 0.50%</t>
  </si>
  <si>
    <t xml:space="preserve">Sleeve IRR, Line 2, class B at 7.00%</t>
  </si>
  <si>
    <t xml:space="preserve">Sleeve IRR, Line 3, class C at 9.00%</t>
  </si>
  <si>
    <t xml:space="preserve">Sleeve IRR, Line 4, class D at 13.00%</t>
  </si>
  <si>
    <t xml:space="preserve">Sleeve IRR, Line 5, class D lemons</t>
  </si>
  <si>
    <t xml:space="preserve">IRR without the lemons</t>
  </si>
  <si>
    <t xml:space="preserve">Profit without the lemons</t>
  </si>
  <si>
    <t xml:space="preserve">What the two lemons cost</t>
  </si>
  <si>
    <t xml:space="preserve">IRR without the payment lag</t>
  </si>
  <si>
    <t xml:space="preserve">IRR without the fees</t>
  </si>
  <si>
    <t xml:space="preserve">Capital-months (dollar-months)</t>
  </si>
  <si>
    <t xml:space="preserve">Average months out</t>
  </si>
  <si>
    <t xml:space="preserve">The capital at risk never exceeds the sale-day outlay</t>
  </si>
  <si>
    <t xml:space="preserve">Profit (inflows less outlays) equals the cumulative flow at month 37</t>
  </si>
  <si>
    <t xml:space="preserve">Quarterly</t>
  </si>
  <si>
    <t xml:space="preserve">Q0 net flow</t>
  </si>
  <si>
    <t xml:space="preserve">Q0 cumulative</t>
  </si>
  <si>
    <t xml:space="preserve">Q1 net flow</t>
  </si>
  <si>
    <t xml:space="preserve">Q1 cumulative</t>
  </si>
  <si>
    <t xml:space="preserve">Q2 net flow</t>
  </si>
  <si>
    <t xml:space="preserve">Q2 cumulative</t>
  </si>
  <si>
    <t xml:space="preserve">Q3 net flow</t>
  </si>
  <si>
    <t xml:space="preserve">Q3 cumulative</t>
  </si>
  <si>
    <t xml:space="preserve">Q4 net flow</t>
  </si>
  <si>
    <t xml:space="preserve">Q4 cumulative</t>
  </si>
  <si>
    <t xml:space="preserve">Q5 net flow</t>
  </si>
  <si>
    <t xml:space="preserve">Q5 cumulative</t>
  </si>
  <si>
    <t xml:space="preserve">Q6 net flow</t>
  </si>
  <si>
    <t xml:space="preserve">Q6 cumulative</t>
  </si>
  <si>
    <t xml:space="preserve">Q7 net flow</t>
  </si>
  <si>
    <t xml:space="preserve">Q7 cumulative</t>
  </si>
  <si>
    <t xml:space="preserve">Q8 net flow</t>
  </si>
  <si>
    <t xml:space="preserve">Q8 cumulative</t>
  </si>
  <si>
    <t xml:space="preserve">Q9 net flow</t>
  </si>
  <si>
    <t xml:space="preserve">Q9 cumulative</t>
  </si>
  <si>
    <t xml:space="preserve">Q10 net flow</t>
  </si>
  <si>
    <t xml:space="preserve">Q10 cumulative</t>
  </si>
  <si>
    <t xml:space="preserve">Q11 net flow</t>
  </si>
  <si>
    <t xml:space="preserve">Q11 cumulative</t>
  </si>
  <si>
    <t xml:space="preserve">Q12 net flow</t>
  </si>
  <si>
    <t xml:space="preserve">Q12 cumulative</t>
  </si>
  <si>
    <t xml:space="preserve">Quarter 4 is negative (the month-12 subsequent taxes)</t>
  </si>
  <si>
    <t xml:space="preserve">The cumulative at quarter 12 equals the expected profit</t>
  </si>
  <si>
    <t xml:space="preserve">Lemons</t>
  </si>
  <si>
    <t xml:space="preserve">One lemon paid</t>
  </si>
  <si>
    <t xml:space="preserve">Expected IRR of a lemon</t>
  </si>
  <si>
    <t xml:space="preserve">Net income of one early class A certificate</t>
  </si>
  <si>
    <t xml:space="preserve">Lemon over early class A income</t>
  </si>
  <si>
    <t xml:space="preserve">Portfolio IRR with 2 lemons</t>
  </si>
  <si>
    <t xml:space="preserve">Portfolio IRR with 3 lemons</t>
  </si>
  <si>
    <t xml:space="preserve">Portfolio IRR with 4 lemons</t>
  </si>
  <si>
    <t xml:space="preserve">Portfolio IRR with 5 lemons</t>
  </si>
  <si>
    <t xml:space="preserve">Portfolio IRR with 6 lemons</t>
  </si>
  <si>
    <t xml:space="preserve">Portfolio IRR with 7 lemons</t>
  </si>
  <si>
    <t xml:space="preserve">Portfolio IRR with 8 lemons</t>
  </si>
  <si>
    <t xml:space="preserve">Portfolio IRR with 9 lemons</t>
  </si>
  <si>
    <t xml:space="preserve">Portfolio IRR with 10 lemons</t>
  </si>
  <si>
    <t xml:space="preserve">Portfolio IRR with zero lemons</t>
  </si>
  <si>
    <t xml:space="preserve">Below the 4% Treasury bill at (lemons out of 15 land lots)</t>
  </si>
  <si>
    <t xml:space="preserve">Below 6% at (lemons)</t>
  </si>
  <si>
    <t xml:space="preserve">The portfolio IRR falls with every added lemon (0 to 11)</t>
  </si>
  <si>
    <t xml:space="preserve">Line 4 plus line 5 hold 15 land lots, so 11 lemons still leave sound lots</t>
  </si>
  <si>
    <t xml:space="preserve">Stress</t>
  </si>
  <si>
    <t xml:space="preserve">Slow redemptions, class A sleeve</t>
  </si>
  <si>
    <t xml:space="preserve">Slow redemptions, class B sleeve</t>
  </si>
  <si>
    <t xml:space="preserve">Slow redemptions, class D sleeve</t>
  </si>
  <si>
    <t xml:space="preserve">Mild downturn, class A R24</t>
  </si>
  <si>
    <t xml:space="preserve">Mild downturn, class B R24</t>
  </si>
  <si>
    <t xml:space="preserve">Mild downturn, class C R24</t>
  </si>
  <si>
    <t xml:space="preserve">Mild downturn, class D R24</t>
  </si>
  <si>
    <t xml:space="preserve">Grid, none downturn, 2 lemons</t>
  </si>
  <si>
    <t xml:space="preserve">Grid, none downturn, 4 lemons</t>
  </si>
  <si>
    <t xml:space="preserve">Grid, none downturn, 6 lemons</t>
  </si>
  <si>
    <t xml:space="preserve">Grid, none downturn, 8 lemons</t>
  </si>
  <si>
    <t xml:space="preserve">Grid, mild downturn, 2 lemons</t>
  </si>
  <si>
    <t xml:space="preserve">Grid, mild downturn, 4 lemons</t>
  </si>
  <si>
    <t xml:space="preserve">Grid, mild downturn, 6 lemons</t>
  </si>
  <si>
    <t xml:space="preserve">Grid, mild downturn, 8 lemons</t>
  </si>
  <si>
    <t xml:space="preserve">Grid, severe downturn, 2 lemons</t>
  </si>
  <si>
    <t xml:space="preserve">Grid, severe downturn, 4 lemons</t>
  </si>
  <si>
    <t xml:space="preserve">Grid, severe downturn, 6 lemons</t>
  </si>
  <si>
    <t xml:space="preserve">Grid, severe downturn, 8 lemons</t>
  </si>
  <si>
    <t xml:space="preserve">Grid, extreme downturn, 2 lemons</t>
  </si>
  <si>
    <t xml:space="preserve">Grid, extreme downturn, 4 lemons</t>
  </si>
  <si>
    <t xml:space="preserve">Grid, extreme downturn, 6 lemons</t>
  </si>
  <si>
    <t xml:space="preserve">Grid, extreme downturn, 8 lemons</t>
  </si>
  <si>
    <t xml:space="preserve">Every row of the grid falls as lemons are added, every column as the downturn deepens</t>
  </si>
</sst>
</file>

<file path=xl/styles.xml><?xml version="1.0" encoding="utf-8"?>
<styleSheet xmlns="http://schemas.openxmlformats.org/spreadsheetml/2006/main">
  <numFmts count="15">
    <numFmt numFmtId="164" formatCode="General"/>
    <numFmt numFmtId="165" formatCode="0.00%"/>
    <numFmt numFmtId="166" formatCode="\$#,##0.00;&quot;-$&quot;#,##0.00;\$0.00"/>
    <numFmt numFmtId="167" formatCode="0"/>
    <numFmt numFmtId="168" formatCode="0.0%"/>
    <numFmt numFmtId="169" formatCode="0%"/>
    <numFmt numFmtId="170" formatCode="\$#,##0;&quot;-$&quot;#,##0;\$0"/>
    <numFmt numFmtId="171" formatCode="#,##0"/>
    <numFmt numFmtId="172" formatCode="#,##0.00"/>
    <numFmt numFmtId="173" formatCode="#,##0.0"/>
    <numFmt numFmtId="174" formatCode="0.000%"/>
    <numFmt numFmtId="175" formatCode="0.0000%"/>
    <numFmt numFmtId="176" formatCode="0.000000"/>
    <numFmt numFmtId="177" formatCode="#,##0.000"/>
    <numFmt numFmtId="178" formatCode="#,##0.00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7">
    <fill>
      <patternFill patternType="none"/>
    </fill>
    <fill>
      <patternFill patternType="gray125"/>
    </fill>
    <fill>
      <patternFill patternType="solid">
        <fgColor rgb="FFDCE3ED"/>
        <bgColor rgb="FFEFF3F8"/>
      </patternFill>
    </fill>
    <fill>
      <patternFill patternType="solid">
        <fgColor rgb="FFFFF2CC"/>
        <bgColor rgb="FFF2F4F7"/>
      </patternFill>
    </fill>
    <fill>
      <patternFill patternType="solid">
        <fgColor rgb="FF16213A"/>
        <bgColor rgb="FF003366"/>
      </patternFill>
    </fill>
    <fill>
      <patternFill patternType="solid">
        <fgColor rgb="FFEFF3F8"/>
        <bgColor rgb="FFF2F4F7"/>
      </patternFill>
    </fill>
    <fill>
      <patternFill patternType="solid">
        <fgColor rgb="FFF2F4F7"/>
        <bgColor rgb="FFEFF3F8"/>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7" fontId="6" fillId="5" borderId="1" xfId="0" applyFont="true" applyBorder="true" applyAlignment="false" applyProtection="false">
      <alignment horizontal="general" vertical="bottom" textRotation="0" wrapText="false" indent="0" shrinkToFit="false"/>
      <protection locked="true" hidden="false"/>
    </xf>
    <xf numFmtId="166" fontId="6" fillId="5" borderId="1" xfId="0" applyFont="true" applyBorder="tru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bottom" textRotation="0" wrapText="false" indent="0" shrinkToFit="false"/>
      <protection locked="true" hidden="false"/>
    </xf>
    <xf numFmtId="168" fontId="6" fillId="5"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false" applyProtection="false">
      <alignment horizontal="general" vertical="bottom" textRotation="0" wrapText="false" indent="0" shrinkToFit="false"/>
      <protection locked="true" hidden="false"/>
    </xf>
    <xf numFmtId="169" fontId="6" fillId="5" borderId="1" xfId="0" applyFont="true" applyBorder="true" applyAlignment="false" applyProtection="false">
      <alignment horizontal="general" vertical="bottom" textRotation="0" wrapText="false" indent="0" shrinkToFit="false"/>
      <protection locked="true" hidden="false"/>
    </xf>
    <xf numFmtId="171" fontId="6" fillId="5" borderId="1" xfId="0" applyFont="true" applyBorder="true" applyAlignment="false" applyProtection="false">
      <alignment horizontal="general" vertical="bottom" textRotation="0" wrapText="false" indent="0" shrinkToFit="false"/>
      <protection locked="true" hidden="false"/>
    </xf>
    <xf numFmtId="170" fontId="6" fillId="5"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9" fontId="7" fillId="5" borderId="1" xfId="0" applyFont="true" applyBorder="true" applyAlignment="false" applyProtection="false">
      <alignment horizontal="general" vertical="bottom" textRotation="0" wrapText="false" indent="0" shrinkToFit="false"/>
      <protection locked="true" hidden="false"/>
    </xf>
    <xf numFmtId="171" fontId="7" fillId="5" borderId="1" xfId="0" applyFont="true" applyBorder="true" applyAlignment="false" applyProtection="false">
      <alignment horizontal="general" vertical="bottom" textRotation="0" wrapText="false" indent="0" shrinkToFit="false"/>
      <protection locked="true" hidden="false"/>
    </xf>
    <xf numFmtId="170" fontId="7" fillId="5" borderId="1" xfId="0" applyFont="true" applyBorder="true" applyAlignment="false" applyProtection="false">
      <alignment horizontal="general" vertical="bottom" textRotation="0" wrapText="false" indent="0" shrinkToFit="false"/>
      <protection locked="true" hidden="false"/>
    </xf>
    <xf numFmtId="173" fontId="6" fillId="5"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true" applyProtection="false">
      <alignment horizontal="center" vertical="bottom" textRotation="0" wrapText="false" indent="0" shrinkToFit="false"/>
      <protection locked="true" hidden="false"/>
    </xf>
    <xf numFmtId="164" fontId="7" fillId="6" borderId="1" xfId="0" applyFont="true" applyBorder="true" applyAlignment="true" applyProtection="false">
      <alignment horizontal="general" vertical="center" textRotation="0" wrapText="true" indent="0" shrinkToFit="false"/>
      <protection locked="true" hidden="false"/>
    </xf>
    <xf numFmtId="164" fontId="7" fillId="6"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74" fontId="6" fillId="5"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72" fontId="6" fillId="5"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67" fontId="7" fillId="5"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4" fontId="6" fillId="5" borderId="1" xfId="0" applyFont="true" applyBorder="true" applyAlignment="true" applyProtection="false">
      <alignment horizontal="right" vertical="bottom" textRotation="0" wrapText="false" indent="0" shrinkToFit="false"/>
      <protection locked="true" hidden="false"/>
    </xf>
    <xf numFmtId="164" fontId="7" fillId="5" borderId="1" xfId="0" applyFont="true" applyBorder="true" applyAlignment="true" applyProtection="false">
      <alignment horizontal="center" vertical="bottom" textRotation="0" wrapText="false" indent="0" shrinkToFit="false"/>
      <protection locked="true" hidden="false"/>
    </xf>
    <xf numFmtId="175" fontId="6" fillId="5" borderId="1" xfId="0" applyFont="true" applyBorder="true" applyAlignment="false" applyProtection="false">
      <alignment horizontal="general" vertical="bottom" textRotation="0" wrapText="false" indent="0" shrinkToFit="false"/>
      <protection locked="true" hidden="false"/>
    </xf>
    <xf numFmtId="176" fontId="6" fillId="5" borderId="1" xfId="0" applyFont="true" applyBorder="true" applyAlignment="false" applyProtection="false">
      <alignment horizontal="general" vertical="bottom" textRotation="0" wrapText="false" indent="0" shrinkToFit="false"/>
      <protection locked="true" hidden="false"/>
    </xf>
    <xf numFmtId="176" fontId="8" fillId="3"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7" fontId="6" fillId="5" borderId="1" xfId="0" applyFont="true" applyBorder="true" applyAlignment="false" applyProtection="false">
      <alignment horizontal="general" vertical="bottom" textRotation="0" wrapText="false" indent="0" shrinkToFit="false"/>
      <protection locked="true" hidden="false"/>
    </xf>
    <xf numFmtId="178" fontId="6"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F2F4F7"/>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75" hidden="false" customHeight="true" outlineLevel="0" collapsed="false">
      <c r="B6" s="3" t="s">
        <v>3</v>
      </c>
    </row>
    <row r="7" customFormat="false" ht="15" hidden="false" customHeight="false" outlineLevel="0" collapsed="false">
      <c r="B7" s="4" t="s">
        <v>4</v>
      </c>
    </row>
    <row r="8" customFormat="false" ht="30" hidden="false" customHeight="true" outlineLevel="0" collapsed="false">
      <c r="B8" s="3" t="s">
        <v>5</v>
      </c>
    </row>
    <row r="9" customFormat="false" ht="15" hidden="false" customHeight="false" outlineLevel="0" collapsed="false">
      <c r="B9" s="4" t="s">
        <v>6</v>
      </c>
    </row>
    <row r="10" customFormat="false" ht="90"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3"/>
    </row>
    <row r="15" customFormat="false" ht="15" hidden="false" customHeight="true" outlineLevel="0" collapsed="false">
      <c r="B15" s="3" t="s">
        <v>11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11" min="3" style="0" width="14"/>
  </cols>
  <sheetData>
    <row r="1" customFormat="false" ht="6" hidden="false" customHeight="true" outlineLevel="0" collapsed="false"/>
    <row r="2" customFormat="false" ht="17.35" hidden="false" customHeight="false" outlineLevel="0" collapsed="false">
      <c r="B2" s="5" t="s">
        <v>12</v>
      </c>
    </row>
    <row r="3" customFormat="false" ht="15" hidden="false" customHeight="false" outlineLevel="0" collapsed="false">
      <c r="B3" s="6" t="s">
        <v>13</v>
      </c>
    </row>
    <row r="5" customFormat="false" ht="15" hidden="false" customHeight="false" outlineLevel="0" collapsed="false">
      <c r="B5" s="7" t="s">
        <v>14</v>
      </c>
      <c r="C5" s="8"/>
      <c r="D5" s="8"/>
      <c r="E5" s="8"/>
    </row>
    <row r="6" customFormat="false" ht="15" hidden="false" customHeight="false" outlineLevel="0" collapsed="false">
      <c r="B6" s="9" t="s">
        <v>15</v>
      </c>
      <c r="C6" s="10" t="n">
        <v>0.18</v>
      </c>
      <c r="D6" s="6" t="s">
        <v>16</v>
      </c>
    </row>
    <row r="7" customFormat="false" ht="15" hidden="false" customHeight="false" outlineLevel="0" collapsed="false">
      <c r="B7" s="9" t="s">
        <v>17</v>
      </c>
      <c r="C7" s="10" t="n">
        <v>0.0025</v>
      </c>
      <c r="D7" s="6" t="s">
        <v>18</v>
      </c>
    </row>
    <row r="8" customFormat="false" ht="15" hidden="false" customHeight="false" outlineLevel="0" collapsed="false">
      <c r="B8" s="9" t="s">
        <v>19</v>
      </c>
      <c r="C8" s="10" t="n">
        <v>0.05</v>
      </c>
      <c r="D8" s="6" t="s">
        <v>20</v>
      </c>
    </row>
    <row r="9" customFormat="false" ht="15" hidden="false" customHeight="false" outlineLevel="0" collapsed="false">
      <c r="B9" s="9" t="s">
        <v>21</v>
      </c>
      <c r="C9" s="11" t="n">
        <v>10</v>
      </c>
      <c r="D9" s="6" t="s">
        <v>22</v>
      </c>
    </row>
    <row r="10" customFormat="false" ht="15" hidden="false" customHeight="false" outlineLevel="0" collapsed="false">
      <c r="B10" s="9" t="s">
        <v>23</v>
      </c>
      <c r="C10" s="12" t="n">
        <v>1</v>
      </c>
      <c r="D10" s="6" t="s">
        <v>24</v>
      </c>
    </row>
    <row r="11" customFormat="false" ht="15" hidden="false" customHeight="false" outlineLevel="0" collapsed="false">
      <c r="B11" s="9" t="s">
        <v>25</v>
      </c>
      <c r="C11" s="10" t="n">
        <v>0.18</v>
      </c>
      <c r="D11" s="6" t="s">
        <v>16</v>
      </c>
    </row>
    <row r="12" customFormat="false" ht="15" hidden="false" customHeight="false" outlineLevel="0" collapsed="false">
      <c r="B12" s="9" t="s">
        <v>26</v>
      </c>
      <c r="C12" s="12" t="n">
        <v>12</v>
      </c>
      <c r="D12" s="6" t="s">
        <v>27</v>
      </c>
    </row>
    <row r="13" customFormat="false" ht="15" hidden="false" customHeight="false" outlineLevel="0" collapsed="false">
      <c r="B13" s="9" t="s">
        <v>28</v>
      </c>
      <c r="C13" s="12" t="n">
        <v>24</v>
      </c>
      <c r="D13" s="6" t="s">
        <v>29</v>
      </c>
    </row>
    <row r="14" customFormat="false" ht="15" hidden="false" customHeight="false" outlineLevel="0" collapsed="false">
      <c r="B14" s="9" t="s">
        <v>30</v>
      </c>
      <c r="C14" s="11" t="n">
        <v>1800</v>
      </c>
      <c r="D14" s="6" t="s">
        <v>22</v>
      </c>
    </row>
    <row r="15" customFormat="false" ht="15" hidden="false" customHeight="false" outlineLevel="0" collapsed="false">
      <c r="B15" s="9" t="s">
        <v>31</v>
      </c>
      <c r="C15" s="12" t="n">
        <v>27</v>
      </c>
      <c r="D15" s="6" t="s">
        <v>27</v>
      </c>
    </row>
    <row r="16" customFormat="false" ht="15" hidden="false" customHeight="false" outlineLevel="0" collapsed="false">
      <c r="B16" s="9" t="s">
        <v>32</v>
      </c>
      <c r="C16" s="12" t="n">
        <v>30</v>
      </c>
      <c r="D16" s="6" t="s">
        <v>27</v>
      </c>
    </row>
    <row r="17" customFormat="false" ht="15" hidden="false" customHeight="false" outlineLevel="0" collapsed="false">
      <c r="B17" s="9" t="s">
        <v>33</v>
      </c>
      <c r="C17" s="12" t="n">
        <v>36</v>
      </c>
      <c r="D17" s="6" t="s">
        <v>34</v>
      </c>
    </row>
    <row r="18" customFormat="false" ht="15" hidden="false" customHeight="false" outlineLevel="0" collapsed="false">
      <c r="B18" s="9" t="s">
        <v>35</v>
      </c>
      <c r="C18" s="13" t="n">
        <v>0.04</v>
      </c>
      <c r="D18" s="6" t="s">
        <v>16</v>
      </c>
    </row>
    <row r="19" customFormat="false" ht="15" hidden="false" customHeight="false" outlineLevel="0" collapsed="false">
      <c r="B19" s="9" t="s">
        <v>36</v>
      </c>
      <c r="C19" s="13" t="n">
        <v>0.08</v>
      </c>
      <c r="D19" s="6" t="s">
        <v>16</v>
      </c>
    </row>
    <row r="21" customFormat="false" ht="15" hidden="false" customHeight="false" outlineLevel="0" collapsed="false">
      <c r="B21" s="7" t="s">
        <v>37</v>
      </c>
      <c r="C21" s="8"/>
      <c r="D21" s="8"/>
      <c r="E21" s="8"/>
      <c r="F21" s="8"/>
      <c r="G21" s="8"/>
      <c r="H21" s="8"/>
      <c r="I21" s="8"/>
      <c r="J21" s="8"/>
    </row>
    <row r="22" customFormat="false" ht="43.5" hidden="false" customHeight="true" outlineLevel="0" collapsed="false">
      <c r="B22" s="14" t="s">
        <v>38</v>
      </c>
      <c r="C22" s="15" t="s">
        <v>39</v>
      </c>
      <c r="D22" s="15" t="s">
        <v>40</v>
      </c>
      <c r="E22" s="15" t="s">
        <v>41</v>
      </c>
      <c r="F22" s="15" t="s">
        <v>42</v>
      </c>
      <c r="G22" s="15" t="s">
        <v>43</v>
      </c>
      <c r="H22" s="15" t="s">
        <v>44</v>
      </c>
      <c r="I22" s="15" t="s">
        <v>45</v>
      </c>
      <c r="J22" s="15" t="s">
        <v>46</v>
      </c>
    </row>
    <row r="23" customFormat="false" ht="15" hidden="false" customHeight="false" outlineLevel="0" collapsed="false">
      <c r="B23" s="16" t="s">
        <v>47</v>
      </c>
      <c r="C23" s="17" t="s">
        <v>48</v>
      </c>
      <c r="D23" s="18" t="n">
        <v>0.38</v>
      </c>
      <c r="E23" s="19" t="n">
        <v>4200</v>
      </c>
      <c r="F23" s="13" t="n">
        <v>0.985</v>
      </c>
      <c r="G23" s="18" t="n">
        <v>0.8</v>
      </c>
      <c r="H23" s="18" t="n">
        <v>0.95</v>
      </c>
      <c r="I23" s="18" t="n">
        <v>0.9</v>
      </c>
      <c r="J23" s="12" t="n">
        <v>1</v>
      </c>
    </row>
    <row r="24" customFormat="false" ht="15" hidden="false" customHeight="false" outlineLevel="0" collapsed="false">
      <c r="B24" s="16" t="s">
        <v>49</v>
      </c>
      <c r="C24" s="17" t="s">
        <v>50</v>
      </c>
      <c r="D24" s="18" t="n">
        <v>0.27</v>
      </c>
      <c r="E24" s="19" t="n">
        <v>3600</v>
      </c>
      <c r="F24" s="13" t="n">
        <v>0.93</v>
      </c>
      <c r="G24" s="18" t="n">
        <v>0.6</v>
      </c>
      <c r="H24" s="18" t="n">
        <v>0.85</v>
      </c>
      <c r="I24" s="18" t="n">
        <v>0.9</v>
      </c>
      <c r="J24" s="12" t="n">
        <v>1</v>
      </c>
    </row>
    <row r="25" customFormat="false" ht="15" hidden="false" customHeight="false" outlineLevel="0" collapsed="false">
      <c r="B25" s="16" t="s">
        <v>51</v>
      </c>
      <c r="C25" s="17" t="s">
        <v>52</v>
      </c>
      <c r="D25" s="18" t="n">
        <v>0.06</v>
      </c>
      <c r="E25" s="19" t="n">
        <v>9500</v>
      </c>
      <c r="F25" s="13" t="n">
        <v>0.9</v>
      </c>
      <c r="G25" s="18" t="n">
        <v>0.6</v>
      </c>
      <c r="H25" s="18" t="n">
        <v>0.8</v>
      </c>
      <c r="I25" s="18" t="n">
        <v>0.9</v>
      </c>
      <c r="J25" s="12" t="n">
        <v>1</v>
      </c>
    </row>
    <row r="26" customFormat="false" ht="15" hidden="false" customHeight="false" outlineLevel="0" collapsed="false">
      <c r="B26" s="16" t="s">
        <v>53</v>
      </c>
      <c r="C26" s="17" t="s">
        <v>54</v>
      </c>
      <c r="D26" s="18" t="n">
        <v>0.14</v>
      </c>
      <c r="E26" s="19" t="n">
        <v>1600</v>
      </c>
      <c r="F26" s="13" t="n">
        <v>0.8</v>
      </c>
      <c r="G26" s="18" t="n">
        <v>0.4</v>
      </c>
      <c r="H26" s="18" t="n">
        <v>0.5</v>
      </c>
      <c r="I26" s="18" t="n">
        <v>0.7</v>
      </c>
      <c r="J26" s="12" t="n">
        <v>1</v>
      </c>
    </row>
    <row r="27" customFormat="false" ht="15" hidden="false" customHeight="false" outlineLevel="0" collapsed="false">
      <c r="B27" s="16" t="s">
        <v>55</v>
      </c>
      <c r="C27" s="17" t="s">
        <v>56</v>
      </c>
      <c r="D27" s="18" t="n">
        <v>0.15</v>
      </c>
      <c r="E27" s="19" t="n">
        <v>700</v>
      </c>
      <c r="F27" s="13" t="n">
        <v>0.35</v>
      </c>
      <c r="G27" s="18" t="n">
        <v>0.1</v>
      </c>
      <c r="H27" s="18" t="n">
        <v>0.05</v>
      </c>
      <c r="I27" s="18" t="n">
        <v>0</v>
      </c>
      <c r="J27" s="12" t="n">
        <v>0</v>
      </c>
    </row>
    <row r="28" customFormat="false" ht="15" hidden="false" customHeight="false" outlineLevel="0" collapsed="false">
      <c r="B28" s="6" t="s">
        <v>57</v>
      </c>
    </row>
    <row r="30" customFormat="false" ht="15" hidden="false" customHeight="false" outlineLevel="0" collapsed="false">
      <c r="B30" s="7" t="s">
        <v>58</v>
      </c>
      <c r="C30" s="8"/>
      <c r="D30" s="8"/>
      <c r="E30" s="8"/>
      <c r="F30" s="8"/>
      <c r="G30" s="8"/>
      <c r="H30" s="8"/>
      <c r="I30" s="8"/>
      <c r="J30" s="8"/>
      <c r="K30" s="8"/>
    </row>
    <row r="31" customFormat="false" ht="15" hidden="false" customHeight="false" outlineLevel="0" collapsed="false">
      <c r="B31" s="9" t="s">
        <v>59</v>
      </c>
      <c r="C31" s="12" t="n">
        <v>0</v>
      </c>
      <c r="D31" s="12" t="n">
        <v>1</v>
      </c>
      <c r="E31" s="12" t="n">
        <v>2</v>
      </c>
      <c r="F31" s="12" t="n">
        <v>3</v>
      </c>
      <c r="G31" s="12" t="n">
        <v>6</v>
      </c>
      <c r="H31" s="12" t="n">
        <v>9</v>
      </c>
      <c r="I31" s="12" t="n">
        <v>12</v>
      </c>
      <c r="J31" s="12" t="n">
        <v>18</v>
      </c>
      <c r="K31" s="12" t="n">
        <v>24</v>
      </c>
    </row>
    <row r="32" customFormat="false" ht="15" hidden="false" customHeight="false" outlineLevel="0" collapsed="false">
      <c r="B32" s="9" t="s">
        <v>60</v>
      </c>
      <c r="C32" s="18" t="n">
        <v>0</v>
      </c>
      <c r="D32" s="18" t="n">
        <v>0.12</v>
      </c>
      <c r="E32" s="18" t="n">
        <v>0.22</v>
      </c>
      <c r="F32" s="18" t="n">
        <v>0.31</v>
      </c>
      <c r="G32" s="18" t="n">
        <v>0.52</v>
      </c>
      <c r="H32" s="18" t="n">
        <v>0.65</v>
      </c>
      <c r="I32" s="18" t="n">
        <v>0.76</v>
      </c>
      <c r="J32" s="18" t="n">
        <v>0.9</v>
      </c>
      <c r="K32" s="18" t="n">
        <v>1</v>
      </c>
    </row>
    <row r="33" customFormat="false" ht="15" hidden="false" customHeight="false" outlineLevel="0" collapsed="false">
      <c r="B33" s="9" t="s">
        <v>61</v>
      </c>
      <c r="C33" s="18" t="n">
        <v>0</v>
      </c>
      <c r="D33" s="18" t="n">
        <v>0.06</v>
      </c>
      <c r="E33" s="18" t="n">
        <v>0.12</v>
      </c>
      <c r="F33" s="18" t="n">
        <v>0.18</v>
      </c>
      <c r="G33" s="18" t="n">
        <v>0.36</v>
      </c>
      <c r="H33" s="18" t="n">
        <v>0.5</v>
      </c>
      <c r="I33" s="18" t="n">
        <v>0.62</v>
      </c>
      <c r="J33" s="18" t="n">
        <v>0.82</v>
      </c>
      <c r="K33" s="18" t="n">
        <v>1</v>
      </c>
    </row>
    <row r="35" customFormat="false" ht="15" hidden="false" customHeight="false" outlineLevel="0" collapsed="false">
      <c r="B35" s="7" t="s">
        <v>62</v>
      </c>
      <c r="C35" s="8"/>
      <c r="D35" s="8"/>
      <c r="E35" s="8"/>
      <c r="F35" s="8"/>
      <c r="G35" s="8"/>
    </row>
    <row r="36" customFormat="false" ht="15" hidden="false" customHeight="false" outlineLevel="0" collapsed="false">
      <c r="B36" s="9" t="s">
        <v>63</v>
      </c>
      <c r="C36" s="20" t="n">
        <v>1850</v>
      </c>
    </row>
    <row r="37" customFormat="false" ht="15" hidden="false" customHeight="false" outlineLevel="0" collapsed="false">
      <c r="B37" s="9" t="s">
        <v>64</v>
      </c>
      <c r="C37" s="19" t="n">
        <v>250000</v>
      </c>
    </row>
    <row r="38" customFormat="false" ht="30" hidden="false" customHeight="true" outlineLevel="0" collapsed="false">
      <c r="B38" s="14" t="s">
        <v>65</v>
      </c>
      <c r="C38" s="15" t="s">
        <v>38</v>
      </c>
      <c r="D38" s="15" t="s">
        <v>66</v>
      </c>
      <c r="E38" s="15" t="s">
        <v>67</v>
      </c>
      <c r="F38" s="15" t="s">
        <v>68</v>
      </c>
      <c r="G38" s="15" t="s">
        <v>69</v>
      </c>
    </row>
    <row r="39" customFormat="false" ht="15" hidden="false" customHeight="false" outlineLevel="0" collapsed="false">
      <c r="B39" s="9" t="s">
        <v>70</v>
      </c>
      <c r="C39" s="16" t="s">
        <v>47</v>
      </c>
      <c r="D39" s="12" t="n">
        <v>22</v>
      </c>
      <c r="E39" s="19" t="n">
        <v>4200</v>
      </c>
      <c r="F39" s="10" t="n">
        <v>0.005</v>
      </c>
      <c r="G39" s="12" t="n">
        <v>0</v>
      </c>
    </row>
    <row r="40" customFormat="false" ht="15" hidden="false" customHeight="false" outlineLevel="0" collapsed="false">
      <c r="B40" s="9" t="s">
        <v>71</v>
      </c>
      <c r="C40" s="16" t="s">
        <v>49</v>
      </c>
      <c r="D40" s="12" t="n">
        <v>18</v>
      </c>
      <c r="E40" s="19" t="n">
        <v>3600</v>
      </c>
      <c r="F40" s="10" t="n">
        <v>0.07</v>
      </c>
      <c r="G40" s="12" t="n">
        <v>0</v>
      </c>
    </row>
    <row r="41" customFormat="false" ht="15" hidden="false" customHeight="false" outlineLevel="0" collapsed="false">
      <c r="B41" s="9" t="s">
        <v>72</v>
      </c>
      <c r="C41" s="16" t="s">
        <v>51</v>
      </c>
      <c r="D41" s="12" t="n">
        <v>5</v>
      </c>
      <c r="E41" s="19" t="n">
        <v>9500</v>
      </c>
      <c r="F41" s="10" t="n">
        <v>0.09</v>
      </c>
      <c r="G41" s="12" t="n">
        <v>0</v>
      </c>
    </row>
    <row r="42" customFormat="false" ht="15" hidden="false" customHeight="false" outlineLevel="0" collapsed="false">
      <c r="B42" s="9" t="s">
        <v>73</v>
      </c>
      <c r="C42" s="16" t="s">
        <v>53</v>
      </c>
      <c r="D42" s="12" t="n">
        <v>13</v>
      </c>
      <c r="E42" s="19" t="n">
        <v>1600</v>
      </c>
      <c r="F42" s="10" t="n">
        <v>0.13</v>
      </c>
      <c r="G42" s="12" t="n">
        <v>0</v>
      </c>
    </row>
    <row r="43" customFormat="false" ht="15" hidden="false" customHeight="false" outlineLevel="0" collapsed="false">
      <c r="B43" s="9" t="s">
        <v>74</v>
      </c>
      <c r="C43" s="16" t="s">
        <v>53</v>
      </c>
      <c r="D43" s="12" t="n">
        <v>2</v>
      </c>
      <c r="E43" s="19" t="n">
        <v>1600</v>
      </c>
      <c r="F43" s="10" t="n">
        <v>0.13</v>
      </c>
      <c r="G43" s="12" t="n">
        <v>1</v>
      </c>
    </row>
    <row r="44" customFormat="false" ht="15" hidden="false" customHeight="false" outlineLevel="0" collapsed="false">
      <c r="B44" s="6" t="s">
        <v>75</v>
      </c>
    </row>
    <row r="46" customFormat="false" ht="15" hidden="false" customHeight="false" outlineLevel="0" collapsed="false">
      <c r="B46" s="7" t="s">
        <v>76</v>
      </c>
      <c r="C46" s="8"/>
      <c r="D46" s="8"/>
      <c r="E46" s="8"/>
    </row>
    <row r="47" customFormat="false" ht="43.5" hidden="false" customHeight="true" outlineLevel="0" collapsed="false">
      <c r="B47" s="14" t="s">
        <v>77</v>
      </c>
      <c r="C47" s="15" t="s">
        <v>78</v>
      </c>
      <c r="D47" s="15" t="s">
        <v>79</v>
      </c>
      <c r="E47" s="15" t="s">
        <v>80</v>
      </c>
    </row>
    <row r="48" customFormat="false" ht="15" hidden="false" customHeight="false" outlineLevel="0" collapsed="false">
      <c r="B48" s="17" t="s">
        <v>81</v>
      </c>
      <c r="C48" s="13" t="n">
        <v>0</v>
      </c>
      <c r="D48" s="21" t="n">
        <v>1</v>
      </c>
      <c r="E48" s="13" t="n">
        <v>0</v>
      </c>
    </row>
    <row r="49" customFormat="false" ht="15" hidden="false" customHeight="false" outlineLevel="0" collapsed="false">
      <c r="B49" s="17" t="s">
        <v>82</v>
      </c>
      <c r="C49" s="13" t="n">
        <v>-0.05</v>
      </c>
      <c r="D49" s="21" t="n">
        <v>0.75</v>
      </c>
      <c r="E49" s="13" t="n">
        <v>-0.1</v>
      </c>
    </row>
    <row r="50" customFormat="false" ht="15" hidden="false" customHeight="false" outlineLevel="0" collapsed="false">
      <c r="B50" s="17" t="s">
        <v>83</v>
      </c>
      <c r="C50" s="13" t="n">
        <v>-0.1</v>
      </c>
      <c r="D50" s="21" t="n">
        <v>0.5</v>
      </c>
      <c r="E50" s="13" t="n">
        <v>-0.2</v>
      </c>
    </row>
    <row r="51" customFormat="false" ht="15" hidden="false" customHeight="false" outlineLevel="0" collapsed="false">
      <c r="B51" s="17" t="s">
        <v>84</v>
      </c>
      <c r="C51" s="13" t="n">
        <v>-0.15</v>
      </c>
      <c r="D51" s="21" t="n">
        <v>0.25</v>
      </c>
      <c r="E51" s="13" t="n">
        <v>-0.3</v>
      </c>
    </row>
    <row r="53" customFormat="false" ht="15" hidden="false" customHeight="false" outlineLevel="0" collapsed="false">
      <c r="B53" s="7" t="s">
        <v>85</v>
      </c>
      <c r="C53" s="8"/>
      <c r="D53" s="8"/>
      <c r="E53" s="8"/>
      <c r="F53" s="8"/>
      <c r="G53" s="8"/>
      <c r="H53" s="8"/>
      <c r="I53" s="8"/>
    </row>
    <row r="54" customFormat="false" ht="30" hidden="false" customHeight="true" outlineLevel="0" collapsed="false">
      <c r="B54" s="14" t="s">
        <v>86</v>
      </c>
      <c r="C54" s="15" t="s">
        <v>87</v>
      </c>
      <c r="D54" s="15" t="s">
        <v>77</v>
      </c>
      <c r="E54" s="15" t="s">
        <v>88</v>
      </c>
      <c r="F54" s="15" t="s">
        <v>89</v>
      </c>
      <c r="G54" s="15" t="s">
        <v>90</v>
      </c>
    </row>
    <row r="55" customFormat="false" ht="15" hidden="false" customHeight="false" outlineLevel="0" collapsed="false">
      <c r="B55" s="9" t="s">
        <v>91</v>
      </c>
      <c r="C55" s="12" t="n">
        <v>1</v>
      </c>
      <c r="D55" s="17" t="s">
        <v>81</v>
      </c>
      <c r="E55" s="21" t="n">
        <v>1</v>
      </c>
      <c r="F55" s="22" t="n">
        <f aca="false">$C$10</f>
        <v>1</v>
      </c>
      <c r="G55" s="23" t="n">
        <f aca="false">$C$9</f>
        <v>10</v>
      </c>
    </row>
    <row r="56" customFormat="false" ht="15" hidden="false" customHeight="false" outlineLevel="0" collapsed="false">
      <c r="B56" s="9" t="s">
        <v>92</v>
      </c>
      <c r="C56" s="12" t="n">
        <v>2</v>
      </c>
      <c r="D56" s="17" t="s">
        <v>81</v>
      </c>
      <c r="E56" s="21" t="n">
        <v>1</v>
      </c>
      <c r="F56" s="22" t="n">
        <f aca="false">$C$10</f>
        <v>1</v>
      </c>
      <c r="G56" s="23" t="n">
        <f aca="false">$C$9</f>
        <v>10</v>
      </c>
    </row>
    <row r="57" customFormat="false" ht="15" hidden="false" customHeight="false" outlineLevel="0" collapsed="false">
      <c r="B57" s="9" t="s">
        <v>93</v>
      </c>
      <c r="C57" s="12" t="n">
        <v>1</v>
      </c>
      <c r="D57" s="17" t="s">
        <v>81</v>
      </c>
      <c r="E57" s="21" t="n">
        <v>0.5</v>
      </c>
      <c r="F57" s="22" t="n">
        <f aca="false">$C$10</f>
        <v>1</v>
      </c>
      <c r="G57" s="23" t="n">
        <f aca="false">$C$9</f>
        <v>10</v>
      </c>
    </row>
    <row r="58" customFormat="false" ht="15" hidden="false" customHeight="false" outlineLevel="0" collapsed="false">
      <c r="B58" s="9" t="s">
        <v>94</v>
      </c>
      <c r="C58" s="12" t="n">
        <v>1</v>
      </c>
      <c r="D58" s="17" t="s">
        <v>82</v>
      </c>
      <c r="E58" s="21" t="n">
        <v>1</v>
      </c>
      <c r="F58" s="22" t="n">
        <f aca="false">$C$10</f>
        <v>1</v>
      </c>
      <c r="G58" s="23" t="n">
        <f aca="false">$C$9</f>
        <v>10</v>
      </c>
    </row>
    <row r="59" customFormat="false" ht="15" hidden="false" customHeight="false" outlineLevel="0" collapsed="false">
      <c r="B59" s="9" t="s">
        <v>95</v>
      </c>
      <c r="C59" s="12" t="n">
        <v>1</v>
      </c>
      <c r="D59" s="17" t="s">
        <v>83</v>
      </c>
      <c r="E59" s="21" t="n">
        <v>1</v>
      </c>
      <c r="F59" s="22" t="n">
        <f aca="false">$C$10</f>
        <v>1</v>
      </c>
      <c r="G59" s="23" t="n">
        <f aca="false">$C$9</f>
        <v>10</v>
      </c>
    </row>
    <row r="60" customFormat="false" ht="15" hidden="false" customHeight="false" outlineLevel="0" collapsed="false">
      <c r="B60" s="9" t="s">
        <v>96</v>
      </c>
      <c r="C60" s="12" t="n">
        <v>1</v>
      </c>
      <c r="D60" s="17" t="s">
        <v>84</v>
      </c>
      <c r="E60" s="21" t="n">
        <v>1</v>
      </c>
      <c r="F60" s="22" t="n">
        <f aca="false">$C$10</f>
        <v>1</v>
      </c>
      <c r="G60" s="23" t="n">
        <f aca="false">$C$9</f>
        <v>10</v>
      </c>
    </row>
    <row r="61" customFormat="false" ht="15" hidden="false" customHeight="false" outlineLevel="0" collapsed="false">
      <c r="B61" s="9" t="s">
        <v>97</v>
      </c>
      <c r="C61" s="12" t="n">
        <v>2</v>
      </c>
      <c r="D61" s="17" t="s">
        <v>83</v>
      </c>
      <c r="E61" s="21" t="n">
        <v>1</v>
      </c>
      <c r="F61" s="22" t="n">
        <f aca="false">$C$10</f>
        <v>1</v>
      </c>
      <c r="G61" s="23" t="n">
        <f aca="false">$C$9</f>
        <v>10</v>
      </c>
    </row>
    <row r="62" customFormat="false" ht="15" hidden="false" customHeight="false" outlineLevel="0" collapsed="false">
      <c r="B62" s="9" t="s">
        <v>98</v>
      </c>
      <c r="C62" s="12" t="n">
        <v>1</v>
      </c>
      <c r="D62" s="17" t="s">
        <v>81</v>
      </c>
      <c r="E62" s="21" t="n">
        <v>1</v>
      </c>
      <c r="F62" s="12" t="n">
        <v>0</v>
      </c>
      <c r="G62" s="23" t="n">
        <f aca="false">$C$9</f>
        <v>10</v>
      </c>
    </row>
    <row r="63" customFormat="false" ht="15" hidden="false" customHeight="false" outlineLevel="0" collapsed="false">
      <c r="B63" s="9" t="s">
        <v>99</v>
      </c>
      <c r="C63" s="12" t="n">
        <v>1</v>
      </c>
      <c r="D63" s="17" t="s">
        <v>81</v>
      </c>
      <c r="E63" s="21" t="n">
        <v>1</v>
      </c>
      <c r="F63" s="22" t="n">
        <f aca="false">$C$10</f>
        <v>1</v>
      </c>
      <c r="G63" s="11" t="n">
        <v>0</v>
      </c>
    </row>
    <row r="64" customFormat="false" ht="15" hidden="false" customHeight="false" outlineLevel="0" collapsed="false">
      <c r="B64" s="6" t="s">
        <v>100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AA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6"/>
  </cols>
  <sheetData>
    <row r="1" customFormat="false" ht="6" hidden="false" customHeight="true" outlineLevel="0" collapsed="false"/>
    <row r="2" customFormat="false" ht="17.35" hidden="false" customHeight="false" outlineLevel="0" collapsed="false">
      <c r="B2" s="5" t="s">
        <v>101</v>
      </c>
    </row>
    <row r="3" customFormat="false" ht="15" hidden="false" customHeight="false" outlineLevel="0" collapsed="false">
      <c r="B3" s="6" t="s">
        <v>102</v>
      </c>
    </row>
    <row r="5" customFormat="false" ht="15" hidden="false" customHeight="false" outlineLevel="0" collapsed="false">
      <c r="B5" s="7" t="s">
        <v>59</v>
      </c>
      <c r="C5" s="24" t="n">
        <v>0</v>
      </c>
      <c r="D5" s="24" t="n">
        <v>1</v>
      </c>
      <c r="E5" s="24" t="n">
        <v>2</v>
      </c>
      <c r="F5" s="24" t="n">
        <v>3</v>
      </c>
      <c r="G5" s="24" t="n">
        <v>4</v>
      </c>
      <c r="H5" s="24" t="n">
        <v>5</v>
      </c>
      <c r="I5" s="24" t="n">
        <v>6</v>
      </c>
      <c r="J5" s="24" t="n">
        <v>7</v>
      </c>
      <c r="K5" s="24" t="n">
        <v>8</v>
      </c>
      <c r="L5" s="24" t="n">
        <v>9</v>
      </c>
      <c r="M5" s="24" t="n">
        <v>10</v>
      </c>
      <c r="N5" s="24" t="n">
        <v>11</v>
      </c>
      <c r="O5" s="24" t="n">
        <v>12</v>
      </c>
      <c r="P5" s="24" t="n">
        <v>13</v>
      </c>
      <c r="Q5" s="24" t="n">
        <v>14</v>
      </c>
      <c r="R5" s="24" t="n">
        <v>15</v>
      </c>
      <c r="S5" s="24" t="n">
        <v>16</v>
      </c>
      <c r="T5" s="24" t="n">
        <v>17</v>
      </c>
      <c r="U5" s="24" t="n">
        <v>18</v>
      </c>
      <c r="V5" s="24" t="n">
        <v>19</v>
      </c>
      <c r="W5" s="24" t="n">
        <v>20</v>
      </c>
      <c r="X5" s="24" t="n">
        <v>21</v>
      </c>
      <c r="Y5" s="24" t="n">
        <v>22</v>
      </c>
      <c r="Z5" s="24" t="n">
        <v>23</v>
      </c>
      <c r="AA5" s="24" t="n">
        <v>24</v>
      </c>
    </row>
    <row r="6" customFormat="false" ht="15" hidden="false" customHeight="false" outlineLevel="0" collapsed="false">
      <c r="B6" s="9" t="s">
        <v>103</v>
      </c>
      <c r="C6" s="22" t="n">
        <f aca="false">MATCH(C$5,Inputs!$C$31:$K$31,1)</f>
        <v>1</v>
      </c>
      <c r="D6" s="22" t="n">
        <f aca="false">MATCH(D$5,Inputs!$C$31:$K$31,1)</f>
        <v>2</v>
      </c>
      <c r="E6" s="22" t="n">
        <f aca="false">MATCH(E$5,Inputs!$C$31:$K$31,1)</f>
        <v>3</v>
      </c>
      <c r="F6" s="22" t="n">
        <f aca="false">MATCH(F$5,Inputs!$C$31:$K$31,1)</f>
        <v>4</v>
      </c>
      <c r="G6" s="22" t="n">
        <f aca="false">MATCH(G$5,Inputs!$C$31:$K$31,1)</f>
        <v>4</v>
      </c>
      <c r="H6" s="22" t="n">
        <f aca="false">MATCH(H$5,Inputs!$C$31:$K$31,1)</f>
        <v>4</v>
      </c>
      <c r="I6" s="22" t="n">
        <f aca="false">MATCH(I$5,Inputs!$C$31:$K$31,1)</f>
        <v>5</v>
      </c>
      <c r="J6" s="22" t="n">
        <f aca="false">MATCH(J$5,Inputs!$C$31:$K$31,1)</f>
        <v>5</v>
      </c>
      <c r="K6" s="22" t="n">
        <f aca="false">MATCH(K$5,Inputs!$C$31:$K$31,1)</f>
        <v>5</v>
      </c>
      <c r="L6" s="22" t="n">
        <f aca="false">MATCH(L$5,Inputs!$C$31:$K$31,1)</f>
        <v>6</v>
      </c>
      <c r="M6" s="22" t="n">
        <f aca="false">MATCH(M$5,Inputs!$C$31:$K$31,1)</f>
        <v>6</v>
      </c>
      <c r="N6" s="22" t="n">
        <f aca="false">MATCH(N$5,Inputs!$C$31:$K$31,1)</f>
        <v>6</v>
      </c>
      <c r="O6" s="22" t="n">
        <f aca="false">MATCH(O$5,Inputs!$C$31:$K$31,1)</f>
        <v>7</v>
      </c>
      <c r="P6" s="22" t="n">
        <f aca="false">MATCH(P$5,Inputs!$C$31:$K$31,1)</f>
        <v>7</v>
      </c>
      <c r="Q6" s="22" t="n">
        <f aca="false">MATCH(Q$5,Inputs!$C$31:$K$31,1)</f>
        <v>7</v>
      </c>
      <c r="R6" s="22" t="n">
        <f aca="false">MATCH(R$5,Inputs!$C$31:$K$31,1)</f>
        <v>7</v>
      </c>
      <c r="S6" s="22" t="n">
        <f aca="false">MATCH(S$5,Inputs!$C$31:$K$31,1)</f>
        <v>7</v>
      </c>
      <c r="T6" s="22" t="n">
        <f aca="false">MATCH(T$5,Inputs!$C$31:$K$31,1)</f>
        <v>7</v>
      </c>
      <c r="U6" s="22" t="n">
        <f aca="false">MATCH(U$5,Inputs!$C$31:$K$31,1)</f>
        <v>8</v>
      </c>
      <c r="V6" s="22" t="n">
        <f aca="false">MATCH(V$5,Inputs!$C$31:$K$31,1)</f>
        <v>8</v>
      </c>
      <c r="W6" s="22" t="n">
        <f aca="false">MATCH(W$5,Inputs!$C$31:$K$31,1)</f>
        <v>8</v>
      </c>
      <c r="X6" s="22" t="n">
        <f aca="false">MATCH(X$5,Inputs!$C$31:$K$31,1)</f>
        <v>8</v>
      </c>
      <c r="Y6" s="22" t="n">
        <f aca="false">MATCH(Y$5,Inputs!$C$31:$K$31,1)</f>
        <v>8</v>
      </c>
      <c r="Z6" s="22" t="n">
        <f aca="false">MATCH(Z$5,Inputs!$C$31:$K$31,1)</f>
        <v>8</v>
      </c>
      <c r="AA6" s="22" t="n">
        <f aca="false">MATCH(AA$5,Inputs!$C$31:$K$31,1)</f>
        <v>9</v>
      </c>
    </row>
    <row r="7" customFormat="false" ht="15" hidden="false" customHeight="false" outlineLevel="0" collapsed="false">
      <c r="B7" s="9" t="s">
        <v>104</v>
      </c>
      <c r="C7" s="25" t="n">
        <f aca="false">IF(C$5&gt;=INDEX(Inputs!$C$31:$K$31,1,COLUMNS(Inputs!$C$31:$K$31)),INDEX(Inputs!$C$32:$K$32,1,COLUMNS(Inputs!$C$32:$K$32)),INDEX(Inputs!$C$32:$K$32,1,C$6)+(INDEX(Inputs!$C$32:$K$32,1,C$6+1)-INDEX(Inputs!$C$32:$K$32,1,C$6))*(C$5-INDEX(Inputs!$C$31:$K$31,1,C$6))/(INDEX(Inputs!$C$31:$K$31,1,C$6+1)-INDEX(Inputs!$C$31:$K$31,1,C$6)))</f>
        <v>0</v>
      </c>
      <c r="D7" s="25" t="n">
        <f aca="false">IF(D$5&gt;=INDEX(Inputs!$C$31:$K$31,1,COLUMNS(Inputs!$C$31:$K$31)),INDEX(Inputs!$C$32:$K$32,1,COLUMNS(Inputs!$C$32:$K$32)),INDEX(Inputs!$C$32:$K$32,1,D$6)+(INDEX(Inputs!$C$32:$K$32,1,D$6+1)-INDEX(Inputs!$C$32:$K$32,1,D$6))*(D$5-INDEX(Inputs!$C$31:$K$31,1,D$6))/(INDEX(Inputs!$C$31:$K$31,1,D$6+1)-INDEX(Inputs!$C$31:$K$31,1,D$6)))</f>
        <v>0.12</v>
      </c>
      <c r="E7" s="25" t="n">
        <f aca="false">IF(E$5&gt;=INDEX(Inputs!$C$31:$K$31,1,COLUMNS(Inputs!$C$31:$K$31)),INDEX(Inputs!$C$32:$K$32,1,COLUMNS(Inputs!$C$32:$K$32)),INDEX(Inputs!$C$32:$K$32,1,E$6)+(INDEX(Inputs!$C$32:$K$32,1,E$6+1)-INDEX(Inputs!$C$32:$K$32,1,E$6))*(E$5-INDEX(Inputs!$C$31:$K$31,1,E$6))/(INDEX(Inputs!$C$31:$K$31,1,E$6+1)-INDEX(Inputs!$C$31:$K$31,1,E$6)))</f>
        <v>0.22</v>
      </c>
      <c r="F7" s="25" t="n">
        <f aca="false">IF(F$5&gt;=INDEX(Inputs!$C$31:$K$31,1,COLUMNS(Inputs!$C$31:$K$31)),INDEX(Inputs!$C$32:$K$32,1,COLUMNS(Inputs!$C$32:$K$32)),INDEX(Inputs!$C$32:$K$32,1,F$6)+(INDEX(Inputs!$C$32:$K$32,1,F$6+1)-INDEX(Inputs!$C$32:$K$32,1,F$6))*(F$5-INDEX(Inputs!$C$31:$K$31,1,F$6))/(INDEX(Inputs!$C$31:$K$31,1,F$6+1)-INDEX(Inputs!$C$31:$K$31,1,F$6)))</f>
        <v>0.31</v>
      </c>
      <c r="G7" s="25" t="n">
        <f aca="false">IF(G$5&gt;=INDEX(Inputs!$C$31:$K$31,1,COLUMNS(Inputs!$C$31:$K$31)),INDEX(Inputs!$C$32:$K$32,1,COLUMNS(Inputs!$C$32:$K$32)),INDEX(Inputs!$C$32:$K$32,1,G$6)+(INDEX(Inputs!$C$32:$K$32,1,G$6+1)-INDEX(Inputs!$C$32:$K$32,1,G$6))*(G$5-INDEX(Inputs!$C$31:$K$31,1,G$6))/(INDEX(Inputs!$C$31:$K$31,1,G$6+1)-INDEX(Inputs!$C$31:$K$31,1,G$6)))</f>
        <v>0.38</v>
      </c>
      <c r="H7" s="25" t="n">
        <f aca="false">IF(H$5&gt;=INDEX(Inputs!$C$31:$K$31,1,COLUMNS(Inputs!$C$31:$K$31)),INDEX(Inputs!$C$32:$K$32,1,COLUMNS(Inputs!$C$32:$K$32)),INDEX(Inputs!$C$32:$K$32,1,H$6)+(INDEX(Inputs!$C$32:$K$32,1,H$6+1)-INDEX(Inputs!$C$32:$K$32,1,H$6))*(H$5-INDEX(Inputs!$C$31:$K$31,1,H$6))/(INDEX(Inputs!$C$31:$K$31,1,H$6+1)-INDEX(Inputs!$C$31:$K$31,1,H$6)))</f>
        <v>0.45</v>
      </c>
      <c r="I7" s="25" t="n">
        <f aca="false">IF(I$5&gt;=INDEX(Inputs!$C$31:$K$31,1,COLUMNS(Inputs!$C$31:$K$31)),INDEX(Inputs!$C$32:$K$32,1,COLUMNS(Inputs!$C$32:$K$32)),INDEX(Inputs!$C$32:$K$32,1,I$6)+(INDEX(Inputs!$C$32:$K$32,1,I$6+1)-INDEX(Inputs!$C$32:$K$32,1,I$6))*(I$5-INDEX(Inputs!$C$31:$K$31,1,I$6))/(INDEX(Inputs!$C$31:$K$31,1,I$6+1)-INDEX(Inputs!$C$31:$K$31,1,I$6)))</f>
        <v>0.52</v>
      </c>
      <c r="J7" s="25" t="n">
        <f aca="false">IF(J$5&gt;=INDEX(Inputs!$C$31:$K$31,1,COLUMNS(Inputs!$C$31:$K$31)),INDEX(Inputs!$C$32:$K$32,1,COLUMNS(Inputs!$C$32:$K$32)),INDEX(Inputs!$C$32:$K$32,1,J$6)+(INDEX(Inputs!$C$32:$K$32,1,J$6+1)-INDEX(Inputs!$C$32:$K$32,1,J$6))*(J$5-INDEX(Inputs!$C$31:$K$31,1,J$6))/(INDEX(Inputs!$C$31:$K$31,1,J$6+1)-INDEX(Inputs!$C$31:$K$31,1,J$6)))</f>
        <v>0.563333333333333</v>
      </c>
      <c r="K7" s="25" t="n">
        <f aca="false">IF(K$5&gt;=INDEX(Inputs!$C$31:$K$31,1,COLUMNS(Inputs!$C$31:$K$31)),INDEX(Inputs!$C$32:$K$32,1,COLUMNS(Inputs!$C$32:$K$32)),INDEX(Inputs!$C$32:$K$32,1,K$6)+(INDEX(Inputs!$C$32:$K$32,1,K$6+1)-INDEX(Inputs!$C$32:$K$32,1,K$6))*(K$5-INDEX(Inputs!$C$31:$K$31,1,K$6))/(INDEX(Inputs!$C$31:$K$31,1,K$6+1)-INDEX(Inputs!$C$31:$K$31,1,K$6)))</f>
        <v>0.606666666666667</v>
      </c>
      <c r="L7" s="25" t="n">
        <f aca="false">IF(L$5&gt;=INDEX(Inputs!$C$31:$K$31,1,COLUMNS(Inputs!$C$31:$K$31)),INDEX(Inputs!$C$32:$K$32,1,COLUMNS(Inputs!$C$32:$K$32)),INDEX(Inputs!$C$32:$K$32,1,L$6)+(INDEX(Inputs!$C$32:$K$32,1,L$6+1)-INDEX(Inputs!$C$32:$K$32,1,L$6))*(L$5-INDEX(Inputs!$C$31:$K$31,1,L$6))/(INDEX(Inputs!$C$31:$K$31,1,L$6+1)-INDEX(Inputs!$C$31:$K$31,1,L$6)))</f>
        <v>0.65</v>
      </c>
      <c r="M7" s="25" t="n">
        <f aca="false">IF(M$5&gt;=INDEX(Inputs!$C$31:$K$31,1,COLUMNS(Inputs!$C$31:$K$31)),INDEX(Inputs!$C$32:$K$32,1,COLUMNS(Inputs!$C$32:$K$32)),INDEX(Inputs!$C$32:$K$32,1,M$6)+(INDEX(Inputs!$C$32:$K$32,1,M$6+1)-INDEX(Inputs!$C$32:$K$32,1,M$6))*(M$5-INDEX(Inputs!$C$31:$K$31,1,M$6))/(INDEX(Inputs!$C$31:$K$31,1,M$6+1)-INDEX(Inputs!$C$31:$K$31,1,M$6)))</f>
        <v>0.686666666666667</v>
      </c>
      <c r="N7" s="25" t="n">
        <f aca="false">IF(N$5&gt;=INDEX(Inputs!$C$31:$K$31,1,COLUMNS(Inputs!$C$31:$K$31)),INDEX(Inputs!$C$32:$K$32,1,COLUMNS(Inputs!$C$32:$K$32)),INDEX(Inputs!$C$32:$K$32,1,N$6)+(INDEX(Inputs!$C$32:$K$32,1,N$6+1)-INDEX(Inputs!$C$32:$K$32,1,N$6))*(N$5-INDEX(Inputs!$C$31:$K$31,1,N$6))/(INDEX(Inputs!$C$31:$K$31,1,N$6+1)-INDEX(Inputs!$C$31:$K$31,1,N$6)))</f>
        <v>0.723333333333333</v>
      </c>
      <c r="O7" s="25" t="n">
        <f aca="false">IF(O$5&gt;=INDEX(Inputs!$C$31:$K$31,1,COLUMNS(Inputs!$C$31:$K$31)),INDEX(Inputs!$C$32:$K$32,1,COLUMNS(Inputs!$C$32:$K$32)),INDEX(Inputs!$C$32:$K$32,1,O$6)+(INDEX(Inputs!$C$32:$K$32,1,O$6+1)-INDEX(Inputs!$C$32:$K$32,1,O$6))*(O$5-INDEX(Inputs!$C$31:$K$31,1,O$6))/(INDEX(Inputs!$C$31:$K$31,1,O$6+1)-INDEX(Inputs!$C$31:$K$31,1,O$6)))</f>
        <v>0.76</v>
      </c>
      <c r="P7" s="25" t="n">
        <f aca="false">IF(P$5&gt;=INDEX(Inputs!$C$31:$K$31,1,COLUMNS(Inputs!$C$31:$K$31)),INDEX(Inputs!$C$32:$K$32,1,COLUMNS(Inputs!$C$32:$K$32)),INDEX(Inputs!$C$32:$K$32,1,P$6)+(INDEX(Inputs!$C$32:$K$32,1,P$6+1)-INDEX(Inputs!$C$32:$K$32,1,P$6))*(P$5-INDEX(Inputs!$C$31:$K$31,1,P$6))/(INDEX(Inputs!$C$31:$K$31,1,P$6+1)-INDEX(Inputs!$C$31:$K$31,1,P$6)))</f>
        <v>0.783333333333333</v>
      </c>
      <c r="Q7" s="25" t="n">
        <f aca="false">IF(Q$5&gt;=INDEX(Inputs!$C$31:$K$31,1,COLUMNS(Inputs!$C$31:$K$31)),INDEX(Inputs!$C$32:$K$32,1,COLUMNS(Inputs!$C$32:$K$32)),INDEX(Inputs!$C$32:$K$32,1,Q$6)+(INDEX(Inputs!$C$32:$K$32,1,Q$6+1)-INDEX(Inputs!$C$32:$K$32,1,Q$6))*(Q$5-INDEX(Inputs!$C$31:$K$31,1,Q$6))/(INDEX(Inputs!$C$31:$K$31,1,Q$6+1)-INDEX(Inputs!$C$31:$K$31,1,Q$6)))</f>
        <v>0.806666666666667</v>
      </c>
      <c r="R7" s="25" t="n">
        <f aca="false">IF(R$5&gt;=INDEX(Inputs!$C$31:$K$31,1,COLUMNS(Inputs!$C$31:$K$31)),INDEX(Inputs!$C$32:$K$32,1,COLUMNS(Inputs!$C$32:$K$32)),INDEX(Inputs!$C$32:$K$32,1,R$6)+(INDEX(Inputs!$C$32:$K$32,1,R$6+1)-INDEX(Inputs!$C$32:$K$32,1,R$6))*(R$5-INDEX(Inputs!$C$31:$K$31,1,R$6))/(INDEX(Inputs!$C$31:$K$31,1,R$6+1)-INDEX(Inputs!$C$31:$K$31,1,R$6)))</f>
        <v>0.83</v>
      </c>
      <c r="S7" s="25" t="n">
        <f aca="false">IF(S$5&gt;=INDEX(Inputs!$C$31:$K$31,1,COLUMNS(Inputs!$C$31:$K$31)),INDEX(Inputs!$C$32:$K$32,1,COLUMNS(Inputs!$C$32:$K$32)),INDEX(Inputs!$C$32:$K$32,1,S$6)+(INDEX(Inputs!$C$32:$K$32,1,S$6+1)-INDEX(Inputs!$C$32:$K$32,1,S$6))*(S$5-INDEX(Inputs!$C$31:$K$31,1,S$6))/(INDEX(Inputs!$C$31:$K$31,1,S$6+1)-INDEX(Inputs!$C$31:$K$31,1,S$6)))</f>
        <v>0.853333333333333</v>
      </c>
      <c r="T7" s="25" t="n">
        <f aca="false">IF(T$5&gt;=INDEX(Inputs!$C$31:$K$31,1,COLUMNS(Inputs!$C$31:$K$31)),INDEX(Inputs!$C$32:$K$32,1,COLUMNS(Inputs!$C$32:$K$32)),INDEX(Inputs!$C$32:$K$32,1,T$6)+(INDEX(Inputs!$C$32:$K$32,1,T$6+1)-INDEX(Inputs!$C$32:$K$32,1,T$6))*(T$5-INDEX(Inputs!$C$31:$K$31,1,T$6))/(INDEX(Inputs!$C$31:$K$31,1,T$6+1)-INDEX(Inputs!$C$31:$K$31,1,T$6)))</f>
        <v>0.876666666666667</v>
      </c>
      <c r="U7" s="25" t="n">
        <f aca="false">IF(U$5&gt;=INDEX(Inputs!$C$31:$K$31,1,COLUMNS(Inputs!$C$31:$K$31)),INDEX(Inputs!$C$32:$K$32,1,COLUMNS(Inputs!$C$32:$K$32)),INDEX(Inputs!$C$32:$K$32,1,U$6)+(INDEX(Inputs!$C$32:$K$32,1,U$6+1)-INDEX(Inputs!$C$32:$K$32,1,U$6))*(U$5-INDEX(Inputs!$C$31:$K$31,1,U$6))/(INDEX(Inputs!$C$31:$K$31,1,U$6+1)-INDEX(Inputs!$C$31:$K$31,1,U$6)))</f>
        <v>0.9</v>
      </c>
      <c r="V7" s="25" t="n">
        <f aca="false">IF(V$5&gt;=INDEX(Inputs!$C$31:$K$31,1,COLUMNS(Inputs!$C$31:$K$31)),INDEX(Inputs!$C$32:$K$32,1,COLUMNS(Inputs!$C$32:$K$32)),INDEX(Inputs!$C$32:$K$32,1,V$6)+(INDEX(Inputs!$C$32:$K$32,1,V$6+1)-INDEX(Inputs!$C$32:$K$32,1,V$6))*(V$5-INDEX(Inputs!$C$31:$K$31,1,V$6))/(INDEX(Inputs!$C$31:$K$31,1,V$6+1)-INDEX(Inputs!$C$31:$K$31,1,V$6)))</f>
        <v>0.916666666666667</v>
      </c>
      <c r="W7" s="25" t="n">
        <f aca="false">IF(W$5&gt;=INDEX(Inputs!$C$31:$K$31,1,COLUMNS(Inputs!$C$31:$K$31)),INDEX(Inputs!$C$32:$K$32,1,COLUMNS(Inputs!$C$32:$K$32)),INDEX(Inputs!$C$32:$K$32,1,W$6)+(INDEX(Inputs!$C$32:$K$32,1,W$6+1)-INDEX(Inputs!$C$32:$K$32,1,W$6))*(W$5-INDEX(Inputs!$C$31:$K$31,1,W$6))/(INDEX(Inputs!$C$31:$K$31,1,W$6+1)-INDEX(Inputs!$C$31:$K$31,1,W$6)))</f>
        <v>0.933333333333333</v>
      </c>
      <c r="X7" s="25" t="n">
        <f aca="false">IF(X$5&gt;=INDEX(Inputs!$C$31:$K$31,1,COLUMNS(Inputs!$C$31:$K$31)),INDEX(Inputs!$C$32:$K$32,1,COLUMNS(Inputs!$C$32:$K$32)),INDEX(Inputs!$C$32:$K$32,1,X$6)+(INDEX(Inputs!$C$32:$K$32,1,X$6+1)-INDEX(Inputs!$C$32:$K$32,1,X$6))*(X$5-INDEX(Inputs!$C$31:$K$31,1,X$6))/(INDEX(Inputs!$C$31:$K$31,1,X$6+1)-INDEX(Inputs!$C$31:$K$31,1,X$6)))</f>
        <v>0.95</v>
      </c>
      <c r="Y7" s="25" t="n">
        <f aca="false">IF(Y$5&gt;=INDEX(Inputs!$C$31:$K$31,1,COLUMNS(Inputs!$C$31:$K$31)),INDEX(Inputs!$C$32:$K$32,1,COLUMNS(Inputs!$C$32:$K$32)),INDEX(Inputs!$C$32:$K$32,1,Y$6)+(INDEX(Inputs!$C$32:$K$32,1,Y$6+1)-INDEX(Inputs!$C$32:$K$32,1,Y$6))*(Y$5-INDEX(Inputs!$C$31:$K$31,1,Y$6))/(INDEX(Inputs!$C$31:$K$31,1,Y$6+1)-INDEX(Inputs!$C$31:$K$31,1,Y$6)))</f>
        <v>0.966666666666667</v>
      </c>
      <c r="Z7" s="25" t="n">
        <f aca="false">IF(Z$5&gt;=INDEX(Inputs!$C$31:$K$31,1,COLUMNS(Inputs!$C$31:$K$31)),INDEX(Inputs!$C$32:$K$32,1,COLUMNS(Inputs!$C$32:$K$32)),INDEX(Inputs!$C$32:$K$32,1,Z$6)+(INDEX(Inputs!$C$32:$K$32,1,Z$6+1)-INDEX(Inputs!$C$32:$K$32,1,Z$6))*(Z$5-INDEX(Inputs!$C$31:$K$31,1,Z$6))/(INDEX(Inputs!$C$31:$K$31,1,Z$6+1)-INDEX(Inputs!$C$31:$K$31,1,Z$6)))</f>
        <v>0.983333333333333</v>
      </c>
      <c r="AA7" s="25" t="n">
        <f aca="false">IF(AA$5&gt;=INDEX(Inputs!$C$31:$K$31,1,COLUMNS(Inputs!$C$31:$K$31)),INDEX(Inputs!$C$32:$K$32,1,COLUMNS(Inputs!$C$32:$K$32)),INDEX(Inputs!$C$32:$K$32,1,AA$6)+(INDEX(Inputs!$C$32:$K$32,1,AA$6+1)-INDEX(Inputs!$C$32:$K$32,1,AA$6))*(AA$5-INDEX(Inputs!$C$31:$K$31,1,AA$6))/(INDEX(Inputs!$C$31:$K$31,1,AA$6+1)-INDEX(Inputs!$C$31:$K$31,1,AA$6)))</f>
        <v>1</v>
      </c>
    </row>
    <row r="8" customFormat="false" ht="15" hidden="false" customHeight="false" outlineLevel="0" collapsed="false">
      <c r="B8" s="9" t="s">
        <v>105</v>
      </c>
      <c r="C8" s="25" t="n">
        <f aca="false">IF(C$5&gt;=INDEX(Inputs!$C$31:$K$31,1,COLUMNS(Inputs!$C$31:$K$31)),INDEX(Inputs!$C$33:$K$33,1,COLUMNS(Inputs!$C$33:$K$33)),INDEX(Inputs!$C$33:$K$33,1,C$6)+(INDEX(Inputs!$C$33:$K$33,1,C$6+1)-INDEX(Inputs!$C$33:$K$33,1,C$6))*(C$5-INDEX(Inputs!$C$31:$K$31,1,C$6))/(INDEX(Inputs!$C$31:$K$31,1,C$6+1)-INDEX(Inputs!$C$31:$K$31,1,C$6)))</f>
        <v>0</v>
      </c>
      <c r="D8" s="25" t="n">
        <f aca="false">IF(D$5&gt;=INDEX(Inputs!$C$31:$K$31,1,COLUMNS(Inputs!$C$31:$K$31)),INDEX(Inputs!$C$33:$K$33,1,COLUMNS(Inputs!$C$33:$K$33)),INDEX(Inputs!$C$33:$K$33,1,D$6)+(INDEX(Inputs!$C$33:$K$33,1,D$6+1)-INDEX(Inputs!$C$33:$K$33,1,D$6))*(D$5-INDEX(Inputs!$C$31:$K$31,1,D$6))/(INDEX(Inputs!$C$31:$K$31,1,D$6+1)-INDEX(Inputs!$C$31:$K$31,1,D$6)))</f>
        <v>0.06</v>
      </c>
      <c r="E8" s="25" t="n">
        <f aca="false">IF(E$5&gt;=INDEX(Inputs!$C$31:$K$31,1,COLUMNS(Inputs!$C$31:$K$31)),INDEX(Inputs!$C$33:$K$33,1,COLUMNS(Inputs!$C$33:$K$33)),INDEX(Inputs!$C$33:$K$33,1,E$6)+(INDEX(Inputs!$C$33:$K$33,1,E$6+1)-INDEX(Inputs!$C$33:$K$33,1,E$6))*(E$5-INDEX(Inputs!$C$31:$K$31,1,E$6))/(INDEX(Inputs!$C$31:$K$31,1,E$6+1)-INDEX(Inputs!$C$31:$K$31,1,E$6)))</f>
        <v>0.12</v>
      </c>
      <c r="F8" s="25" t="n">
        <f aca="false">IF(F$5&gt;=INDEX(Inputs!$C$31:$K$31,1,COLUMNS(Inputs!$C$31:$K$31)),INDEX(Inputs!$C$33:$K$33,1,COLUMNS(Inputs!$C$33:$K$33)),INDEX(Inputs!$C$33:$K$33,1,F$6)+(INDEX(Inputs!$C$33:$K$33,1,F$6+1)-INDEX(Inputs!$C$33:$K$33,1,F$6))*(F$5-INDEX(Inputs!$C$31:$K$31,1,F$6))/(INDEX(Inputs!$C$31:$K$31,1,F$6+1)-INDEX(Inputs!$C$31:$K$31,1,F$6)))</f>
        <v>0.18</v>
      </c>
      <c r="G8" s="25" t="n">
        <f aca="false">IF(G$5&gt;=INDEX(Inputs!$C$31:$K$31,1,COLUMNS(Inputs!$C$31:$K$31)),INDEX(Inputs!$C$33:$K$33,1,COLUMNS(Inputs!$C$33:$K$33)),INDEX(Inputs!$C$33:$K$33,1,G$6)+(INDEX(Inputs!$C$33:$K$33,1,G$6+1)-INDEX(Inputs!$C$33:$K$33,1,G$6))*(G$5-INDEX(Inputs!$C$31:$K$31,1,G$6))/(INDEX(Inputs!$C$31:$K$31,1,G$6+1)-INDEX(Inputs!$C$31:$K$31,1,G$6)))</f>
        <v>0.24</v>
      </c>
      <c r="H8" s="25" t="n">
        <f aca="false">IF(H$5&gt;=INDEX(Inputs!$C$31:$K$31,1,COLUMNS(Inputs!$C$31:$K$31)),INDEX(Inputs!$C$33:$K$33,1,COLUMNS(Inputs!$C$33:$K$33)),INDEX(Inputs!$C$33:$K$33,1,H$6)+(INDEX(Inputs!$C$33:$K$33,1,H$6+1)-INDEX(Inputs!$C$33:$K$33,1,H$6))*(H$5-INDEX(Inputs!$C$31:$K$31,1,H$6))/(INDEX(Inputs!$C$31:$K$31,1,H$6+1)-INDEX(Inputs!$C$31:$K$31,1,H$6)))</f>
        <v>0.3</v>
      </c>
      <c r="I8" s="25" t="n">
        <f aca="false">IF(I$5&gt;=INDEX(Inputs!$C$31:$K$31,1,COLUMNS(Inputs!$C$31:$K$31)),INDEX(Inputs!$C$33:$K$33,1,COLUMNS(Inputs!$C$33:$K$33)),INDEX(Inputs!$C$33:$K$33,1,I$6)+(INDEX(Inputs!$C$33:$K$33,1,I$6+1)-INDEX(Inputs!$C$33:$K$33,1,I$6))*(I$5-INDEX(Inputs!$C$31:$K$31,1,I$6))/(INDEX(Inputs!$C$31:$K$31,1,I$6+1)-INDEX(Inputs!$C$31:$K$31,1,I$6)))</f>
        <v>0.36</v>
      </c>
      <c r="J8" s="25" t="n">
        <f aca="false">IF(J$5&gt;=INDEX(Inputs!$C$31:$K$31,1,COLUMNS(Inputs!$C$31:$K$31)),INDEX(Inputs!$C$33:$K$33,1,COLUMNS(Inputs!$C$33:$K$33)),INDEX(Inputs!$C$33:$K$33,1,J$6)+(INDEX(Inputs!$C$33:$K$33,1,J$6+1)-INDEX(Inputs!$C$33:$K$33,1,J$6))*(J$5-INDEX(Inputs!$C$31:$K$31,1,J$6))/(INDEX(Inputs!$C$31:$K$31,1,J$6+1)-INDEX(Inputs!$C$31:$K$31,1,J$6)))</f>
        <v>0.406666666666667</v>
      </c>
      <c r="K8" s="25" t="n">
        <f aca="false">IF(K$5&gt;=INDEX(Inputs!$C$31:$K$31,1,COLUMNS(Inputs!$C$31:$K$31)),INDEX(Inputs!$C$33:$K$33,1,COLUMNS(Inputs!$C$33:$K$33)),INDEX(Inputs!$C$33:$K$33,1,K$6)+(INDEX(Inputs!$C$33:$K$33,1,K$6+1)-INDEX(Inputs!$C$33:$K$33,1,K$6))*(K$5-INDEX(Inputs!$C$31:$K$31,1,K$6))/(INDEX(Inputs!$C$31:$K$31,1,K$6+1)-INDEX(Inputs!$C$31:$K$31,1,K$6)))</f>
        <v>0.453333333333333</v>
      </c>
      <c r="L8" s="25" t="n">
        <f aca="false">IF(L$5&gt;=INDEX(Inputs!$C$31:$K$31,1,COLUMNS(Inputs!$C$31:$K$31)),INDEX(Inputs!$C$33:$K$33,1,COLUMNS(Inputs!$C$33:$K$33)),INDEX(Inputs!$C$33:$K$33,1,L$6)+(INDEX(Inputs!$C$33:$K$33,1,L$6+1)-INDEX(Inputs!$C$33:$K$33,1,L$6))*(L$5-INDEX(Inputs!$C$31:$K$31,1,L$6))/(INDEX(Inputs!$C$31:$K$31,1,L$6+1)-INDEX(Inputs!$C$31:$K$31,1,L$6)))</f>
        <v>0.5</v>
      </c>
      <c r="M8" s="25" t="n">
        <f aca="false">IF(M$5&gt;=INDEX(Inputs!$C$31:$K$31,1,COLUMNS(Inputs!$C$31:$K$31)),INDEX(Inputs!$C$33:$K$33,1,COLUMNS(Inputs!$C$33:$K$33)),INDEX(Inputs!$C$33:$K$33,1,M$6)+(INDEX(Inputs!$C$33:$K$33,1,M$6+1)-INDEX(Inputs!$C$33:$K$33,1,M$6))*(M$5-INDEX(Inputs!$C$31:$K$31,1,M$6))/(INDEX(Inputs!$C$31:$K$31,1,M$6+1)-INDEX(Inputs!$C$31:$K$31,1,M$6)))</f>
        <v>0.54</v>
      </c>
      <c r="N8" s="25" t="n">
        <f aca="false">IF(N$5&gt;=INDEX(Inputs!$C$31:$K$31,1,COLUMNS(Inputs!$C$31:$K$31)),INDEX(Inputs!$C$33:$K$33,1,COLUMNS(Inputs!$C$33:$K$33)),INDEX(Inputs!$C$33:$K$33,1,N$6)+(INDEX(Inputs!$C$33:$K$33,1,N$6+1)-INDEX(Inputs!$C$33:$K$33,1,N$6))*(N$5-INDEX(Inputs!$C$31:$K$31,1,N$6))/(INDEX(Inputs!$C$31:$K$31,1,N$6+1)-INDEX(Inputs!$C$31:$K$31,1,N$6)))</f>
        <v>0.58</v>
      </c>
      <c r="O8" s="25" t="n">
        <f aca="false">IF(O$5&gt;=INDEX(Inputs!$C$31:$K$31,1,COLUMNS(Inputs!$C$31:$K$31)),INDEX(Inputs!$C$33:$K$33,1,COLUMNS(Inputs!$C$33:$K$33)),INDEX(Inputs!$C$33:$K$33,1,O$6)+(INDEX(Inputs!$C$33:$K$33,1,O$6+1)-INDEX(Inputs!$C$33:$K$33,1,O$6))*(O$5-INDEX(Inputs!$C$31:$K$31,1,O$6))/(INDEX(Inputs!$C$31:$K$31,1,O$6+1)-INDEX(Inputs!$C$31:$K$31,1,O$6)))</f>
        <v>0.62</v>
      </c>
      <c r="P8" s="25" t="n">
        <f aca="false">IF(P$5&gt;=INDEX(Inputs!$C$31:$K$31,1,COLUMNS(Inputs!$C$31:$K$31)),INDEX(Inputs!$C$33:$K$33,1,COLUMNS(Inputs!$C$33:$K$33)),INDEX(Inputs!$C$33:$K$33,1,P$6)+(INDEX(Inputs!$C$33:$K$33,1,P$6+1)-INDEX(Inputs!$C$33:$K$33,1,P$6))*(P$5-INDEX(Inputs!$C$31:$K$31,1,P$6))/(INDEX(Inputs!$C$31:$K$31,1,P$6+1)-INDEX(Inputs!$C$31:$K$31,1,P$6)))</f>
        <v>0.653333333333333</v>
      </c>
      <c r="Q8" s="25" t="n">
        <f aca="false">IF(Q$5&gt;=INDEX(Inputs!$C$31:$K$31,1,COLUMNS(Inputs!$C$31:$K$31)),INDEX(Inputs!$C$33:$K$33,1,COLUMNS(Inputs!$C$33:$K$33)),INDEX(Inputs!$C$33:$K$33,1,Q$6)+(INDEX(Inputs!$C$33:$K$33,1,Q$6+1)-INDEX(Inputs!$C$33:$K$33,1,Q$6))*(Q$5-INDEX(Inputs!$C$31:$K$31,1,Q$6))/(INDEX(Inputs!$C$31:$K$31,1,Q$6+1)-INDEX(Inputs!$C$31:$K$31,1,Q$6)))</f>
        <v>0.686666666666667</v>
      </c>
      <c r="R8" s="25" t="n">
        <f aca="false">IF(R$5&gt;=INDEX(Inputs!$C$31:$K$31,1,COLUMNS(Inputs!$C$31:$K$31)),INDEX(Inputs!$C$33:$K$33,1,COLUMNS(Inputs!$C$33:$K$33)),INDEX(Inputs!$C$33:$K$33,1,R$6)+(INDEX(Inputs!$C$33:$K$33,1,R$6+1)-INDEX(Inputs!$C$33:$K$33,1,R$6))*(R$5-INDEX(Inputs!$C$31:$K$31,1,R$6))/(INDEX(Inputs!$C$31:$K$31,1,R$6+1)-INDEX(Inputs!$C$31:$K$31,1,R$6)))</f>
        <v>0.72</v>
      </c>
      <c r="S8" s="25" t="n">
        <f aca="false">IF(S$5&gt;=INDEX(Inputs!$C$31:$K$31,1,COLUMNS(Inputs!$C$31:$K$31)),INDEX(Inputs!$C$33:$K$33,1,COLUMNS(Inputs!$C$33:$K$33)),INDEX(Inputs!$C$33:$K$33,1,S$6)+(INDEX(Inputs!$C$33:$K$33,1,S$6+1)-INDEX(Inputs!$C$33:$K$33,1,S$6))*(S$5-INDEX(Inputs!$C$31:$K$31,1,S$6))/(INDEX(Inputs!$C$31:$K$31,1,S$6+1)-INDEX(Inputs!$C$31:$K$31,1,S$6)))</f>
        <v>0.753333333333333</v>
      </c>
      <c r="T8" s="25" t="n">
        <f aca="false">IF(T$5&gt;=INDEX(Inputs!$C$31:$K$31,1,COLUMNS(Inputs!$C$31:$K$31)),INDEX(Inputs!$C$33:$K$33,1,COLUMNS(Inputs!$C$33:$K$33)),INDEX(Inputs!$C$33:$K$33,1,T$6)+(INDEX(Inputs!$C$33:$K$33,1,T$6+1)-INDEX(Inputs!$C$33:$K$33,1,T$6))*(T$5-INDEX(Inputs!$C$31:$K$31,1,T$6))/(INDEX(Inputs!$C$31:$K$31,1,T$6+1)-INDEX(Inputs!$C$31:$K$31,1,T$6)))</f>
        <v>0.786666666666667</v>
      </c>
      <c r="U8" s="25" t="n">
        <f aca="false">IF(U$5&gt;=INDEX(Inputs!$C$31:$K$31,1,COLUMNS(Inputs!$C$31:$K$31)),INDEX(Inputs!$C$33:$K$33,1,COLUMNS(Inputs!$C$33:$K$33)),INDEX(Inputs!$C$33:$K$33,1,U$6)+(INDEX(Inputs!$C$33:$K$33,1,U$6+1)-INDEX(Inputs!$C$33:$K$33,1,U$6))*(U$5-INDEX(Inputs!$C$31:$K$31,1,U$6))/(INDEX(Inputs!$C$31:$K$31,1,U$6+1)-INDEX(Inputs!$C$31:$K$31,1,U$6)))</f>
        <v>0.82</v>
      </c>
      <c r="V8" s="25" t="n">
        <f aca="false">IF(V$5&gt;=INDEX(Inputs!$C$31:$K$31,1,COLUMNS(Inputs!$C$31:$K$31)),INDEX(Inputs!$C$33:$K$33,1,COLUMNS(Inputs!$C$33:$K$33)),INDEX(Inputs!$C$33:$K$33,1,V$6)+(INDEX(Inputs!$C$33:$K$33,1,V$6+1)-INDEX(Inputs!$C$33:$K$33,1,V$6))*(V$5-INDEX(Inputs!$C$31:$K$31,1,V$6))/(INDEX(Inputs!$C$31:$K$31,1,V$6+1)-INDEX(Inputs!$C$31:$K$31,1,V$6)))</f>
        <v>0.85</v>
      </c>
      <c r="W8" s="25" t="n">
        <f aca="false">IF(W$5&gt;=INDEX(Inputs!$C$31:$K$31,1,COLUMNS(Inputs!$C$31:$K$31)),INDEX(Inputs!$C$33:$K$33,1,COLUMNS(Inputs!$C$33:$K$33)),INDEX(Inputs!$C$33:$K$33,1,W$6)+(INDEX(Inputs!$C$33:$K$33,1,W$6+1)-INDEX(Inputs!$C$33:$K$33,1,W$6))*(W$5-INDEX(Inputs!$C$31:$K$31,1,W$6))/(INDEX(Inputs!$C$31:$K$31,1,W$6+1)-INDEX(Inputs!$C$31:$K$31,1,W$6)))</f>
        <v>0.88</v>
      </c>
      <c r="X8" s="25" t="n">
        <f aca="false">IF(X$5&gt;=INDEX(Inputs!$C$31:$K$31,1,COLUMNS(Inputs!$C$31:$K$31)),INDEX(Inputs!$C$33:$K$33,1,COLUMNS(Inputs!$C$33:$K$33)),INDEX(Inputs!$C$33:$K$33,1,X$6)+(INDEX(Inputs!$C$33:$K$33,1,X$6+1)-INDEX(Inputs!$C$33:$K$33,1,X$6))*(X$5-INDEX(Inputs!$C$31:$K$31,1,X$6))/(INDEX(Inputs!$C$31:$K$31,1,X$6+1)-INDEX(Inputs!$C$31:$K$31,1,X$6)))</f>
        <v>0.91</v>
      </c>
      <c r="Y8" s="25" t="n">
        <f aca="false">IF(Y$5&gt;=INDEX(Inputs!$C$31:$K$31,1,COLUMNS(Inputs!$C$31:$K$31)),INDEX(Inputs!$C$33:$K$33,1,COLUMNS(Inputs!$C$33:$K$33)),INDEX(Inputs!$C$33:$K$33,1,Y$6)+(INDEX(Inputs!$C$33:$K$33,1,Y$6+1)-INDEX(Inputs!$C$33:$K$33,1,Y$6))*(Y$5-INDEX(Inputs!$C$31:$K$31,1,Y$6))/(INDEX(Inputs!$C$31:$K$31,1,Y$6+1)-INDEX(Inputs!$C$31:$K$31,1,Y$6)))</f>
        <v>0.94</v>
      </c>
      <c r="Z8" s="25" t="n">
        <f aca="false">IF(Z$5&gt;=INDEX(Inputs!$C$31:$K$31,1,COLUMNS(Inputs!$C$31:$K$31)),INDEX(Inputs!$C$33:$K$33,1,COLUMNS(Inputs!$C$33:$K$33)),INDEX(Inputs!$C$33:$K$33,1,Z$6)+(INDEX(Inputs!$C$33:$K$33,1,Z$6+1)-INDEX(Inputs!$C$33:$K$33,1,Z$6))*(Z$5-INDEX(Inputs!$C$31:$K$31,1,Z$6))/(INDEX(Inputs!$C$31:$K$31,1,Z$6+1)-INDEX(Inputs!$C$31:$K$31,1,Z$6)))</f>
        <v>0.97</v>
      </c>
      <c r="AA8" s="25" t="n">
        <f aca="false">IF(AA$5&gt;=INDEX(Inputs!$C$31:$K$31,1,COLUMNS(Inputs!$C$31:$K$31)),INDEX(Inputs!$C$33:$K$33,1,COLUMNS(Inputs!$C$33:$K$33)),INDEX(Inputs!$C$33:$K$33,1,AA$6)+(INDEX(Inputs!$C$33:$K$33,1,AA$6+1)-INDEX(Inputs!$C$33:$K$33,1,AA$6))*(AA$5-INDEX(Inputs!$C$31:$K$31,1,AA$6))/(INDEX(Inputs!$C$31:$K$31,1,AA$6+1)-INDEX(Inputs!$C$31:$K$31,1,AA$6)))</f>
        <v>1</v>
      </c>
    </row>
    <row r="10" customFormat="false" ht="15" hidden="false" customHeight="false" outlineLevel="0" collapsed="false">
      <c r="B10" s="6" t="s">
        <v>106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6"/>
    <col collapsed="false" customWidth="true" hidden="false" outlineLevel="0" max="8" min="3" style="0" width="14"/>
  </cols>
  <sheetData>
    <row r="1" customFormat="false" ht="6" hidden="false" customHeight="true" outlineLevel="0" collapsed="false"/>
    <row r="2" customFormat="false" ht="17.35" hidden="false" customHeight="false" outlineLevel="0" collapsed="false">
      <c r="B2" s="5" t="s">
        <v>107</v>
      </c>
    </row>
    <row r="3" customFormat="false" ht="15" hidden="false" customHeight="false" outlineLevel="0" collapsed="false">
      <c r="B3" s="6" t="s">
        <v>108</v>
      </c>
    </row>
    <row r="5" customFormat="false" ht="43.5" hidden="false" customHeight="true" outlineLevel="0" collapsed="false">
      <c r="B5" s="14" t="s">
        <v>38</v>
      </c>
      <c r="C5" s="15" t="s">
        <v>109</v>
      </c>
      <c r="D5" s="15" t="s">
        <v>110</v>
      </c>
      <c r="E5" s="15" t="s">
        <v>111</v>
      </c>
      <c r="F5" s="15" t="s">
        <v>112</v>
      </c>
      <c r="G5" s="15" t="s">
        <v>113</v>
      </c>
      <c r="H5" s="15" t="s">
        <v>114</v>
      </c>
    </row>
    <row r="6" customFormat="false" ht="15" hidden="false" customHeight="false" outlineLevel="0" collapsed="false">
      <c r="B6" s="9" t="s">
        <v>115</v>
      </c>
      <c r="C6" s="26" t="n">
        <f aca="false">Inputs!$F$23</f>
        <v>0.985</v>
      </c>
      <c r="D6" s="26" t="n">
        <f aca="false">(1-C6)*Inputs!$G$23*Inputs!$J$23</f>
        <v>0.012</v>
      </c>
      <c r="E6" s="26" t="n">
        <f aca="false">(1-C6-D6)*Inputs!$H$23*Inputs!$J$23</f>
        <v>0.00285</v>
      </c>
      <c r="F6" s="26" t="n">
        <f aca="false">(1-C6-D6-E6)*Inputs!$J$23</f>
        <v>0.00015</v>
      </c>
      <c r="G6" s="26" t="n">
        <f aca="false">(1-C6)*(1-Inputs!$J$23)</f>
        <v>0</v>
      </c>
      <c r="H6" s="27" t="str">
        <f aca="false">IF(ABS(SUM(C6:G6)-1)&lt;0.000000000001,"yes","no")</f>
        <v>yes</v>
      </c>
    </row>
    <row r="7" customFormat="false" ht="15" hidden="false" customHeight="false" outlineLevel="0" collapsed="false">
      <c r="B7" s="9" t="s">
        <v>116</v>
      </c>
      <c r="C7" s="26" t="n">
        <f aca="false">Inputs!$F$24</f>
        <v>0.93</v>
      </c>
      <c r="D7" s="26" t="n">
        <f aca="false">(1-C7)*Inputs!$G$24*Inputs!$J$24</f>
        <v>0.042</v>
      </c>
      <c r="E7" s="26" t="n">
        <f aca="false">(1-C7-D7)*Inputs!$H$24*Inputs!$J$24</f>
        <v>0.0238</v>
      </c>
      <c r="F7" s="26" t="n">
        <f aca="false">(1-C7-D7-E7)*Inputs!$J$24</f>
        <v>0.0042</v>
      </c>
      <c r="G7" s="26" t="n">
        <f aca="false">(1-C7)*(1-Inputs!$J$24)</f>
        <v>0</v>
      </c>
      <c r="H7" s="27" t="str">
        <f aca="false">IF(ABS(SUM(C7:G7)-1)&lt;0.000000000001,"yes","no")</f>
        <v>yes</v>
      </c>
    </row>
    <row r="8" customFormat="false" ht="15" hidden="false" customHeight="false" outlineLevel="0" collapsed="false">
      <c r="B8" s="9" t="s">
        <v>117</v>
      </c>
      <c r="C8" s="26" t="n">
        <f aca="false">Inputs!$F$25</f>
        <v>0.9</v>
      </c>
      <c r="D8" s="26" t="n">
        <f aca="false">(1-C8)*Inputs!$G$25*Inputs!$J$25</f>
        <v>0.06</v>
      </c>
      <c r="E8" s="26" t="n">
        <f aca="false">(1-C8-D8)*Inputs!$H$25*Inputs!$J$25</f>
        <v>0.032</v>
      </c>
      <c r="F8" s="26" t="n">
        <f aca="false">(1-C8-D8-E8)*Inputs!$J$25</f>
        <v>0.008</v>
      </c>
      <c r="G8" s="26" t="n">
        <f aca="false">(1-C8)*(1-Inputs!$J$25)</f>
        <v>0</v>
      </c>
      <c r="H8" s="27" t="str">
        <f aca="false">IF(ABS(SUM(C8:G8)-1)&lt;0.000000000001,"yes","no")</f>
        <v>yes</v>
      </c>
    </row>
    <row r="9" customFormat="false" ht="15" hidden="false" customHeight="false" outlineLevel="0" collapsed="false">
      <c r="B9" s="9" t="s">
        <v>118</v>
      </c>
      <c r="C9" s="26" t="n">
        <f aca="false">Inputs!$F$26</f>
        <v>0.8</v>
      </c>
      <c r="D9" s="26" t="n">
        <f aca="false">(1-C9)*Inputs!$G$26*Inputs!$J$26</f>
        <v>0.08</v>
      </c>
      <c r="E9" s="26" t="n">
        <f aca="false">(1-C9-D9)*Inputs!$H$26*Inputs!$J$26</f>
        <v>0.06</v>
      </c>
      <c r="F9" s="26" t="n">
        <f aca="false">(1-C9-D9-E9)*Inputs!$J$26</f>
        <v>0.06</v>
      </c>
      <c r="G9" s="26" t="n">
        <f aca="false">(1-C9)*(1-Inputs!$J$26)</f>
        <v>0</v>
      </c>
      <c r="H9" s="27" t="str">
        <f aca="false">IF(ABS(SUM(C9:G9)-1)&lt;0.000000000001,"yes","no")</f>
        <v>yes</v>
      </c>
    </row>
    <row r="10" customFormat="false" ht="15" hidden="false" customHeight="false" outlineLevel="0" collapsed="false">
      <c r="B10" s="9" t="s">
        <v>119</v>
      </c>
      <c r="C10" s="26" t="n">
        <f aca="false">Inputs!$F$27</f>
        <v>0.35</v>
      </c>
      <c r="D10" s="26" t="n">
        <f aca="false">(1-C10)*Inputs!$G$27*Inputs!$J$27</f>
        <v>0</v>
      </c>
      <c r="E10" s="26" t="n">
        <f aca="false">(1-C10-D10)*Inputs!$H$27*Inputs!$J$27</f>
        <v>0</v>
      </c>
      <c r="F10" s="26" t="n">
        <f aca="false">(1-C10-D10-E10)*Inputs!$J$27</f>
        <v>0</v>
      </c>
      <c r="G10" s="26" t="n">
        <f aca="false">(1-C10)*(1-Inputs!$J$27)</f>
        <v>0.65</v>
      </c>
      <c r="H10" s="27" t="str">
        <f aca="false">IF(ABS(SUM(C10:G10)-1)&lt;0.000000000001,"yes","no")</f>
        <v>yes</v>
      </c>
    </row>
    <row r="12" customFormat="false" ht="15" hidden="false" customHeight="false" outlineLevel="0" collapsed="false">
      <c r="B12" s="7" t="s">
        <v>120</v>
      </c>
      <c r="C12" s="8"/>
      <c r="D12" s="8"/>
      <c r="E12" s="8"/>
    </row>
    <row r="13" customFormat="false" ht="21.75" hidden="false" customHeight="true" outlineLevel="0" collapsed="false">
      <c r="B13" s="14" t="s">
        <v>38</v>
      </c>
      <c r="C13" s="15" t="s">
        <v>121</v>
      </c>
      <c r="D13" s="15" t="s">
        <v>122</v>
      </c>
      <c r="E13" s="15" t="s">
        <v>123</v>
      </c>
    </row>
    <row r="14" customFormat="false" ht="15" hidden="false" customHeight="false" outlineLevel="0" collapsed="false">
      <c r="B14" s="9" t="s">
        <v>115</v>
      </c>
      <c r="C14" s="28" t="n">
        <f aca="false">Inputs!$D$23</f>
        <v>0.38</v>
      </c>
      <c r="D14" s="29" t="n">
        <f aca="false">ROUND(Inputs!$C$36*C14,0)+(Inputs!$C$36-SUMPRODUCT(ROUND(Inputs!$C$36*Inputs!$D$23:$D$27,0)))</f>
        <v>702</v>
      </c>
      <c r="E14" s="30" t="n">
        <f aca="false">D14*Inputs!$E$23</f>
        <v>2948400</v>
      </c>
    </row>
    <row r="15" customFormat="false" ht="15" hidden="false" customHeight="false" outlineLevel="0" collapsed="false">
      <c r="B15" s="9" t="s">
        <v>116</v>
      </c>
      <c r="C15" s="28" t="n">
        <f aca="false">Inputs!$D$24</f>
        <v>0.27</v>
      </c>
      <c r="D15" s="29" t="n">
        <f aca="false">ROUND(Inputs!$C$36*C15,0)</f>
        <v>500</v>
      </c>
      <c r="E15" s="30" t="n">
        <f aca="false">D15*Inputs!$E$24</f>
        <v>1800000</v>
      </c>
    </row>
    <row r="16" customFormat="false" ht="15" hidden="false" customHeight="false" outlineLevel="0" collapsed="false">
      <c r="B16" s="9" t="s">
        <v>117</v>
      </c>
      <c r="C16" s="28" t="n">
        <f aca="false">Inputs!$D$25</f>
        <v>0.06</v>
      </c>
      <c r="D16" s="29" t="n">
        <f aca="false">ROUND(Inputs!$C$36*C16,0)</f>
        <v>111</v>
      </c>
      <c r="E16" s="30" t="n">
        <f aca="false">D16*Inputs!$E$25</f>
        <v>1054500</v>
      </c>
    </row>
    <row r="17" customFormat="false" ht="15" hidden="false" customHeight="false" outlineLevel="0" collapsed="false">
      <c r="B17" s="9" t="s">
        <v>118</v>
      </c>
      <c r="C17" s="28" t="n">
        <f aca="false">Inputs!$D$26</f>
        <v>0.14</v>
      </c>
      <c r="D17" s="29" t="n">
        <f aca="false">ROUND(Inputs!$C$36*C17,0)</f>
        <v>259</v>
      </c>
      <c r="E17" s="30" t="n">
        <f aca="false">D17*Inputs!$E$26</f>
        <v>414400</v>
      </c>
    </row>
    <row r="18" customFormat="false" ht="15" hidden="false" customHeight="false" outlineLevel="0" collapsed="false">
      <c r="B18" s="9" t="s">
        <v>119</v>
      </c>
      <c r="C18" s="28" t="n">
        <f aca="false">Inputs!$D$27</f>
        <v>0.15</v>
      </c>
      <c r="D18" s="29" t="n">
        <f aca="false">ROUND(Inputs!$C$36*C18,0)</f>
        <v>278</v>
      </c>
      <c r="E18" s="30" t="n">
        <f aca="false">D18*Inputs!$E$27</f>
        <v>194600</v>
      </c>
    </row>
    <row r="19" customFormat="false" ht="15" hidden="false" customHeight="false" outlineLevel="0" collapsed="false">
      <c r="B19" s="31" t="s">
        <v>124</v>
      </c>
      <c r="C19" s="32" t="n">
        <f aca="false">SUM(C14:C18)</f>
        <v>1</v>
      </c>
      <c r="D19" s="33" t="n">
        <f aca="false">SUM(D14:D18)</f>
        <v>1850</v>
      </c>
      <c r="E19" s="34" t="n">
        <f aca="false">SUM(E14:E18)</f>
        <v>6411900</v>
      </c>
    </row>
    <row r="20" customFormat="false" ht="15" hidden="false" customHeight="false" outlineLevel="0" collapsed="false">
      <c r="B20" s="6" t="s">
        <v>125</v>
      </c>
    </row>
    <row r="22" customFormat="false" ht="15" hidden="false" customHeight="false" outlineLevel="0" collapsed="false">
      <c r="B22" s="7" t="s">
        <v>126</v>
      </c>
      <c r="C22" s="8"/>
      <c r="D22" s="8"/>
      <c r="E22" s="8"/>
    </row>
    <row r="23" customFormat="false" ht="21.75" hidden="false" customHeight="true" outlineLevel="0" collapsed="false">
      <c r="B23" s="14" t="s">
        <v>127</v>
      </c>
      <c r="C23" s="15" t="s">
        <v>128</v>
      </c>
      <c r="D23" s="15" t="s">
        <v>129</v>
      </c>
    </row>
    <row r="24" customFormat="false" ht="15" hidden="false" customHeight="false" outlineLevel="0" collapsed="false">
      <c r="B24" s="9" t="s">
        <v>130</v>
      </c>
      <c r="C24" s="20" t="n">
        <v>1850</v>
      </c>
      <c r="D24" s="29" t="n">
        <f aca="false">0</f>
        <v>0</v>
      </c>
    </row>
    <row r="25" customFormat="false" ht="15" hidden="false" customHeight="false" outlineLevel="0" collapsed="false">
      <c r="B25" s="9" t="s">
        <v>131</v>
      </c>
      <c r="C25" s="20" t="n">
        <v>1572</v>
      </c>
      <c r="D25" s="29" t="n">
        <f aca="false">C24-C25</f>
        <v>278</v>
      </c>
    </row>
    <row r="26" customFormat="false" ht="15" hidden="false" customHeight="false" outlineLevel="0" collapsed="false">
      <c r="B26" s="9" t="s">
        <v>132</v>
      </c>
      <c r="C26" s="20" t="n">
        <v>1390</v>
      </c>
      <c r="D26" s="29" t="n">
        <f aca="false">C25-C26</f>
        <v>182</v>
      </c>
    </row>
    <row r="27" customFormat="false" ht="15" hidden="false" customHeight="false" outlineLevel="0" collapsed="false">
      <c r="B27" s="9" t="s">
        <v>133</v>
      </c>
      <c r="C27" s="20" t="n">
        <v>612</v>
      </c>
      <c r="D27" s="29" t="n">
        <f aca="false">C26-C27</f>
        <v>778</v>
      </c>
    </row>
    <row r="28" customFormat="false" ht="15" hidden="false" customHeight="false" outlineLevel="0" collapsed="false">
      <c r="B28" s="9" t="s">
        <v>134</v>
      </c>
      <c r="C28" s="20" t="n">
        <v>150</v>
      </c>
      <c r="D28" s="29" t="n">
        <f aca="false">C27-C28</f>
        <v>462</v>
      </c>
    </row>
    <row r="29" customFormat="false" ht="15" hidden="false" customHeight="false" outlineLevel="0" collapsed="false">
      <c r="B29" s="9" t="s">
        <v>135</v>
      </c>
      <c r="C29" s="20" t="n">
        <v>110</v>
      </c>
      <c r="D29" s="29" t="n">
        <f aca="false">C28-C29</f>
        <v>40</v>
      </c>
    </row>
    <row r="30" customFormat="false" ht="15" hidden="false" customHeight="false" outlineLevel="0" collapsed="false">
      <c r="B30" s="9" t="s">
        <v>136</v>
      </c>
      <c r="C30" s="20" t="n">
        <v>60</v>
      </c>
      <c r="D30" s="29" t="n">
        <f aca="false">C29-C30</f>
        <v>50</v>
      </c>
    </row>
    <row r="32" customFormat="false" ht="15" hidden="false" customHeight="false" outlineLevel="0" collapsed="false">
      <c r="B32" s="9" t="s">
        <v>137</v>
      </c>
      <c r="C32" s="12" t="n">
        <v>25</v>
      </c>
    </row>
    <row r="33" customFormat="false" ht="15" hidden="false" customHeight="false" outlineLevel="0" collapsed="false">
      <c r="B33" s="9" t="s">
        <v>138</v>
      </c>
      <c r="C33" s="19" t="n">
        <v>4</v>
      </c>
    </row>
    <row r="34" customFormat="false" ht="15" hidden="false" customHeight="false" outlineLevel="0" collapsed="false">
      <c r="B34" s="9" t="s">
        <v>139</v>
      </c>
      <c r="C34" s="35" t="n">
        <f aca="false">C28*$C$32/60</f>
        <v>62.5</v>
      </c>
    </row>
    <row r="35" customFormat="false" ht="15" hidden="false" customHeight="false" outlineLevel="0" collapsed="false">
      <c r="B35" s="9" t="s">
        <v>140</v>
      </c>
      <c r="C35" s="30" t="n">
        <f aca="false">C28*$C$33</f>
        <v>600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11" min="3" style="0" width="11"/>
  </cols>
  <sheetData>
    <row r="1" customFormat="false" ht="6" hidden="false" customHeight="true" outlineLevel="0" collapsed="false"/>
    <row r="2" customFormat="false" ht="17.35" hidden="false" customHeight="false" outlineLevel="0" collapsed="false">
      <c r="B2" s="5" t="s">
        <v>141</v>
      </c>
    </row>
    <row r="3" customFormat="false" ht="15" hidden="false" customHeight="false" outlineLevel="0" collapsed="false">
      <c r="B3" s="6" t="s">
        <v>142</v>
      </c>
    </row>
    <row r="5" customFormat="false" ht="15" hidden="false" customHeight="false" outlineLevel="0" collapsed="false">
      <c r="B5" s="7" t="s">
        <v>143</v>
      </c>
      <c r="C5" s="36" t="n">
        <v>0.0025</v>
      </c>
      <c r="D5" s="36" t="n">
        <v>0.01</v>
      </c>
      <c r="E5" s="36" t="n">
        <v>0.03</v>
      </c>
      <c r="F5" s="36" t="n">
        <v>0.05</v>
      </c>
      <c r="G5" s="36" t="n">
        <v>0.07</v>
      </c>
      <c r="H5" s="36" t="n">
        <v>0.09</v>
      </c>
      <c r="I5" s="36" t="n">
        <v>0.13</v>
      </c>
      <c r="J5" s="36" t="n">
        <v>0.18</v>
      </c>
    </row>
    <row r="6" customFormat="false" ht="15" hidden="false" customHeight="false" outlineLevel="0" collapsed="false">
      <c r="B6" s="9" t="s">
        <v>144</v>
      </c>
      <c r="C6" s="25" t="n">
        <f aca="false">Class_Flows!$L$11</f>
        <v>0.0766346621551932</v>
      </c>
      <c r="D6" s="25" t="n">
        <f aca="false">Class_Flows!$L$20</f>
        <v>0.0766346621551932</v>
      </c>
      <c r="E6" s="25" t="n">
        <f aca="false">Class_Flows!$L$29</f>
        <v>0.0773120107020129</v>
      </c>
      <c r="F6" s="25" t="n">
        <f aca="false">Class_Flows!$L$38</f>
        <v>0.0835091613280998</v>
      </c>
      <c r="G6" s="25" t="n">
        <f aca="false">Class_Flows!$L$47</f>
        <v>0.0930576884806846</v>
      </c>
      <c r="H6" s="25" t="n">
        <f aca="false">Class_Flows!$L$56</f>
        <v>0.104193960193682</v>
      </c>
      <c r="I6" s="25" t="n">
        <f aca="false">Class_Flows!$L$65</f>
        <v>0.128983604740644</v>
      </c>
      <c r="J6" s="25" t="n">
        <f aca="false">Class_Flows!$L$74</f>
        <v>0.162313157202603</v>
      </c>
    </row>
    <row r="7" customFormat="false" ht="15" hidden="false" customHeight="false" outlineLevel="0" collapsed="false">
      <c r="B7" s="9" t="s">
        <v>145</v>
      </c>
      <c r="C7" s="25" t="n">
        <f aca="false">Class_Flows!$L$83</f>
        <v>0.0733491784311997</v>
      </c>
      <c r="D7" s="25" t="n">
        <f aca="false">Class_Flows!$L$92</f>
        <v>0.0733491784311997</v>
      </c>
      <c r="E7" s="25" t="n">
        <f aca="false">Class_Flows!$L$101</f>
        <v>0.0747275355424011</v>
      </c>
      <c r="F7" s="25" t="n">
        <f aca="false">Class_Flows!$L$110</f>
        <v>0.0815089212918587</v>
      </c>
      <c r="G7" s="25" t="n">
        <f aca="false">Class_Flows!$L$119</f>
        <v>0.0908977543816594</v>
      </c>
      <c r="H7" s="25" t="n">
        <f aca="false">Class_Flows!$L$128</f>
        <v>0.101520505285589</v>
      </c>
      <c r="I7" s="25" t="n">
        <f aca="false">Class_Flows!$L$137</f>
        <v>0.124723071671024</v>
      </c>
      <c r="J7" s="25" t="n">
        <f aca="false">Class_Flows!$L$146</f>
        <v>0.155548710255304</v>
      </c>
    </row>
    <row r="8" customFormat="false" ht="15" hidden="false" customHeight="false" outlineLevel="0" collapsed="false">
      <c r="B8" s="9" t="s">
        <v>146</v>
      </c>
      <c r="C8" s="25" t="n">
        <f aca="false">Class_Flows!$L$155</f>
        <v>0.0736184473167751</v>
      </c>
      <c r="D8" s="25" t="n">
        <f aca="false">Class_Flows!$L$164</f>
        <v>0.0736184473167751</v>
      </c>
      <c r="E8" s="25" t="n">
        <f aca="false">Class_Flows!$L$173</f>
        <v>0.0752678830281852</v>
      </c>
      <c r="F8" s="25" t="n">
        <f aca="false">Class_Flows!$L$182</f>
        <v>0.0823084418136835</v>
      </c>
      <c r="G8" s="25" t="n">
        <f aca="false">Class_Flows!$L$191</f>
        <v>0.0916774485547376</v>
      </c>
      <c r="H8" s="25" t="n">
        <f aca="false">Class_Flows!$L$200</f>
        <v>0.102146438751332</v>
      </c>
      <c r="I8" s="25" t="n">
        <f aca="false">Class_Flows!$L$209</f>
        <v>0.124824085894216</v>
      </c>
      <c r="J8" s="25" t="n">
        <f aca="false">Class_Flows!$L$218</f>
        <v>0.154780381811056</v>
      </c>
    </row>
    <row r="9" customFormat="false" ht="15" hidden="false" customHeight="false" outlineLevel="0" collapsed="false">
      <c r="B9" s="9" t="s">
        <v>147</v>
      </c>
      <c r="C9" s="25" t="n">
        <f aca="false">Class_Flows!$L$227</f>
        <v>0.0154911770119233</v>
      </c>
      <c r="D9" s="25" t="n">
        <f aca="false">Class_Flows!$L$236</f>
        <v>0.0154911770119233</v>
      </c>
      <c r="E9" s="25" t="n">
        <f aca="false">Class_Flows!$L$245</f>
        <v>0.0173269216969898</v>
      </c>
      <c r="F9" s="25" t="n">
        <f aca="false">Class_Flows!$L$254</f>
        <v>0.0236152410661403</v>
      </c>
      <c r="G9" s="25" t="n">
        <f aca="false">Class_Flows!$L$263</f>
        <v>0.0313994306939855</v>
      </c>
      <c r="H9" s="25" t="n">
        <f aca="false">Class_Flows!$L$272</f>
        <v>0.0398883247624016</v>
      </c>
      <c r="I9" s="25" t="n">
        <f aca="false">Class_Flows!$L$281</f>
        <v>0.0579958014195281</v>
      </c>
      <c r="J9" s="25" t="n">
        <f aca="false">Class_Flows!$L$290</f>
        <v>0.0817179827652024</v>
      </c>
    </row>
    <row r="10" customFormat="false" ht="15" hidden="false" customHeight="false" outlineLevel="0" collapsed="false">
      <c r="B10" s="9" t="s">
        <v>148</v>
      </c>
      <c r="C10" s="25" t="n">
        <f aca="false">Class_Flows!$L$308</f>
        <v>-0.658797330852547</v>
      </c>
      <c r="J10" s="25" t="n">
        <f aca="false">Class_Flows!$L$299</f>
        <v>-0.619580627111928</v>
      </c>
    </row>
    <row r="12" customFormat="false" ht="15" hidden="false" customHeight="false" outlineLevel="0" collapsed="false">
      <c r="B12" s="7" t="s">
        <v>149</v>
      </c>
      <c r="C12" s="8"/>
      <c r="D12" s="8"/>
      <c r="E12" s="8"/>
      <c r="F12" s="8"/>
      <c r="G12" s="8"/>
      <c r="H12" s="8"/>
    </row>
    <row r="13" customFormat="false" ht="43.5" hidden="false" customHeight="true" outlineLevel="0" collapsed="false">
      <c r="B13" s="14" t="s">
        <v>150</v>
      </c>
      <c r="C13" s="15" t="s">
        <v>151</v>
      </c>
      <c r="D13" s="15" t="s">
        <v>152</v>
      </c>
      <c r="E13" s="15" t="s">
        <v>153</v>
      </c>
      <c r="F13" s="15" t="s">
        <v>154</v>
      </c>
      <c r="G13" s="15" t="s">
        <v>155</v>
      </c>
      <c r="H13" s="15" t="s">
        <v>156</v>
      </c>
    </row>
    <row r="14" customFormat="false" ht="15" hidden="false" customHeight="false" outlineLevel="0" collapsed="false">
      <c r="B14" s="9" t="s">
        <v>157</v>
      </c>
      <c r="C14" s="25" t="n">
        <f aca="false">Inputs!$C$19</f>
        <v>0.08</v>
      </c>
      <c r="D14" s="26" t="n">
        <f aca="false">Bid_Floor!$C$9</f>
        <v>0.0425</v>
      </c>
      <c r="E14" s="26" t="n">
        <f aca="false">Bid_Floor!$L$11</f>
        <v>0.080675235454337</v>
      </c>
      <c r="F14" s="26" t="n">
        <f aca="false">Bid_Floor!$C$18</f>
        <v>0.04</v>
      </c>
      <c r="G14" s="26" t="n">
        <f aca="false">Bid_Floor!$L$20</f>
        <v>0.079829374892368</v>
      </c>
      <c r="H14" s="27" t="str">
        <f aca="false">IF(AND(E14&gt;=C14,G14&lt;C14),"yes","no")</f>
        <v>yes</v>
      </c>
    </row>
    <row r="15" customFormat="false" ht="15" hidden="false" customHeight="false" outlineLevel="0" collapsed="false">
      <c r="B15" s="9" t="s">
        <v>158</v>
      </c>
      <c r="C15" s="25" t="n">
        <f aca="false">Inputs!$C$19</f>
        <v>0.08</v>
      </c>
      <c r="D15" s="26" t="n">
        <f aca="false">Bid_Floor!$C$27</f>
        <v>0.0475</v>
      </c>
      <c r="E15" s="26" t="n">
        <f aca="false">Bid_Floor!$L$29</f>
        <v>0.0805022470973211</v>
      </c>
      <c r="F15" s="26" t="n">
        <f aca="false">Bid_Floor!$C$36</f>
        <v>0.045</v>
      </c>
      <c r="G15" s="26" t="n">
        <f aca="false">Bid_Floor!$L$38</f>
        <v>0.0795183350812028</v>
      </c>
      <c r="H15" s="27" t="str">
        <f aca="false">IF(AND(E15&gt;=C15,G15&lt;C15),"yes","no")</f>
        <v>yes</v>
      </c>
    </row>
    <row r="16" customFormat="false" ht="15" hidden="false" customHeight="false" outlineLevel="0" collapsed="false">
      <c r="B16" s="9" t="s">
        <v>159</v>
      </c>
      <c r="C16" s="25" t="n">
        <f aca="false">Inputs!$C$19</f>
        <v>0.08</v>
      </c>
      <c r="D16" s="26" t="n">
        <f aca="false">Bid_Floor!$C$45</f>
        <v>0.045</v>
      </c>
      <c r="E16" s="26" t="n">
        <f aca="false">Bid_Floor!$L$47</f>
        <v>0.0802846440870781</v>
      </c>
      <c r="F16" s="26" t="n">
        <f aca="false">Bid_Floor!$C$54</f>
        <v>0.0425</v>
      </c>
      <c r="G16" s="26" t="n">
        <f aca="false">Bid_Floor!$L$56</f>
        <v>0.0793136968362707</v>
      </c>
      <c r="H16" s="27" t="str">
        <f aca="false">IF(AND(E16&gt;=C16,G16&lt;C16),"yes","no")</f>
        <v>yes</v>
      </c>
    </row>
    <row r="17" customFormat="false" ht="15" hidden="false" customHeight="false" outlineLevel="0" collapsed="false">
      <c r="B17" s="9" t="s">
        <v>160</v>
      </c>
      <c r="C17" s="25" t="n">
        <f aca="false">Inputs!$C$19</f>
        <v>0.08</v>
      </c>
      <c r="D17" s="26" t="n">
        <f aca="false">Bid_Floor!$C$63</f>
        <v>0.1775</v>
      </c>
      <c r="E17" s="26" t="n">
        <f aca="false">Bid_Floor!$L$65</f>
        <v>0.0805196270049138</v>
      </c>
      <c r="F17" s="26" t="n">
        <f aca="false">Bid_Floor!$C$72</f>
        <v>0.175</v>
      </c>
      <c r="G17" s="26" t="n">
        <f aca="false">Bid_Floor!$L$74</f>
        <v>0.0793213502326047</v>
      </c>
      <c r="H17" s="27" t="str">
        <f aca="false">IF(AND(E17&gt;=C17,G17&lt;C17),"yes","no")</f>
        <v>yes</v>
      </c>
    </row>
    <row r="18" customFormat="false" ht="15" hidden="false" customHeight="false" outlineLevel="0" collapsed="false">
      <c r="B18" s="9" t="s">
        <v>161</v>
      </c>
      <c r="C18" s="25" t="n">
        <f aca="false">Inputs!$C$18</f>
        <v>0.04</v>
      </c>
      <c r="D18" s="26" t="n">
        <f aca="false">Bid_Floor!$C$81</f>
        <v>0.0025</v>
      </c>
      <c r="E18" s="26" t="n">
        <f aca="false">Bid_Floor!$L$83</f>
        <v>0.0766346621551932</v>
      </c>
      <c r="F18" s="26" t="n">
        <f aca="false">Bid_Floor!$C$90</f>
        <v>0</v>
      </c>
      <c r="G18" s="26" t="n">
        <f aca="false">Bid_Floor!$L$92</f>
        <v>0.0236554247768412</v>
      </c>
      <c r="H18" s="27" t="str">
        <f aca="false">IF(AND(E18&gt;=C18,G18&lt;C18),"yes","no")</f>
        <v>yes</v>
      </c>
    </row>
    <row r="19" customFormat="false" ht="15" hidden="false" customHeight="false" outlineLevel="0" collapsed="false">
      <c r="B19" s="9" t="s">
        <v>162</v>
      </c>
      <c r="C19" s="25" t="n">
        <f aca="false">Inputs!$C$18</f>
        <v>0.04</v>
      </c>
      <c r="D19" s="26" t="n">
        <f aca="false">Bid_Floor!$C$99</f>
        <v>0.0025</v>
      </c>
      <c r="E19" s="26" t="n">
        <f aca="false">Bid_Floor!$L$101</f>
        <v>0.0733491784311997</v>
      </c>
      <c r="F19" s="26" t="n">
        <f aca="false">Bid_Floor!$C$108</f>
        <v>0</v>
      </c>
      <c r="G19" s="26" t="n">
        <f aca="false">Bid_Floor!$L$110</f>
        <v>0.0299408969738637</v>
      </c>
      <c r="H19" s="27" t="str">
        <f aca="false">IF(AND(E19&gt;=C19,G19&lt;C19),"yes","no")</f>
        <v>yes</v>
      </c>
    </row>
    <row r="20" customFormat="false" ht="15" hidden="false" customHeight="false" outlineLevel="0" collapsed="false">
      <c r="B20" s="9" t="s">
        <v>163</v>
      </c>
      <c r="C20" s="25" t="n">
        <f aca="false">Inputs!$C$18</f>
        <v>0.04</v>
      </c>
      <c r="D20" s="26" t="n">
        <f aca="false">Bid_Floor!$C$117</f>
        <v>0.0025</v>
      </c>
      <c r="E20" s="26" t="n">
        <f aca="false">Bid_Floor!$L$119</f>
        <v>0.0736184473167751</v>
      </c>
      <c r="F20" s="26" t="n">
        <f aca="false">Bid_Floor!$C$126</f>
        <v>0</v>
      </c>
      <c r="G20" s="26" t="n">
        <f aca="false">Bid_Floor!$L$128</f>
        <v>0.0336609424951313</v>
      </c>
      <c r="H20" s="27" t="str">
        <f aca="false">IF(AND(E20&gt;=C20,G20&lt;C20),"yes","no")</f>
        <v>yes</v>
      </c>
    </row>
    <row r="21" customFormat="false" ht="15" hidden="false" customHeight="false" outlineLevel="0" collapsed="false">
      <c r="B21" s="9" t="s">
        <v>164</v>
      </c>
      <c r="C21" s="25" t="n">
        <f aca="false">Inputs!$C$18</f>
        <v>0.04</v>
      </c>
      <c r="D21" s="26" t="n">
        <f aca="false">Bid_Floor!$C$135</f>
        <v>0.0925</v>
      </c>
      <c r="E21" s="26" t="n">
        <f aca="false">Bid_Floor!$L$137</f>
        <v>0.0409805752502275</v>
      </c>
      <c r="F21" s="26" t="n">
        <f aca="false">Bid_Floor!$C$144</f>
        <v>0.09</v>
      </c>
      <c r="G21" s="26" t="n">
        <f aca="false">Bid_Floor!$L$146</f>
        <v>0.0398883247624016</v>
      </c>
      <c r="H21" s="27" t="str">
        <f aca="false">IF(AND(E21&gt;=C21,G21&lt;C21),"yes","no")</f>
        <v>yes</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AY3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12" min="3" style="0" width="12.5"/>
    <col collapsed="false" customWidth="true" hidden="false" outlineLevel="0" max="13" min="13" style="0" width="2"/>
    <col collapsed="false" customWidth="true" hidden="false" outlineLevel="0" max="51" min="14" style="0" width="10.5"/>
  </cols>
  <sheetData>
    <row r="1" customFormat="false" ht="6" hidden="false" customHeight="true" outlineLevel="0" collapsed="false"/>
    <row r="2" customFormat="false" ht="17.35" hidden="false" customHeight="false" outlineLevel="0" collapsed="false">
      <c r="B2" s="5" t="s">
        <v>165</v>
      </c>
    </row>
    <row r="3" customFormat="false" ht="15" hidden="false" customHeight="false" outlineLevel="0" collapsed="false">
      <c r="B3" s="6" t="s">
        <v>166</v>
      </c>
    </row>
    <row r="5" customFormat="false" ht="15" hidden="false" customHeight="false" outlineLevel="0" collapsed="false">
      <c r="B5" s="7" t="s">
        <v>167</v>
      </c>
      <c r="N5" s="24" t="n">
        <v>0</v>
      </c>
      <c r="O5" s="24" t="n">
        <v>1</v>
      </c>
      <c r="P5" s="24" t="n">
        <v>2</v>
      </c>
      <c r="Q5" s="24" t="n">
        <v>3</v>
      </c>
      <c r="R5" s="24" t="n">
        <v>4</v>
      </c>
      <c r="S5" s="24" t="n">
        <v>5</v>
      </c>
      <c r="T5" s="24" t="n">
        <v>6</v>
      </c>
      <c r="U5" s="24" t="n">
        <v>7</v>
      </c>
      <c r="V5" s="24" t="n">
        <v>8</v>
      </c>
      <c r="W5" s="24" t="n">
        <v>9</v>
      </c>
      <c r="X5" s="24" t="n">
        <v>10</v>
      </c>
      <c r="Y5" s="24" t="n">
        <v>11</v>
      </c>
      <c r="Z5" s="24" t="n">
        <v>12</v>
      </c>
      <c r="AA5" s="24" t="n">
        <v>13</v>
      </c>
      <c r="AB5" s="24" t="n">
        <v>14</v>
      </c>
      <c r="AC5" s="24" t="n">
        <v>15</v>
      </c>
      <c r="AD5" s="24" t="n">
        <v>16</v>
      </c>
      <c r="AE5" s="24" t="n">
        <v>17</v>
      </c>
      <c r="AF5" s="24" t="n">
        <v>18</v>
      </c>
      <c r="AG5" s="24" t="n">
        <v>19</v>
      </c>
      <c r="AH5" s="24" t="n">
        <v>20</v>
      </c>
      <c r="AI5" s="24" t="n">
        <v>21</v>
      </c>
      <c r="AJ5" s="24" t="n">
        <v>22</v>
      </c>
      <c r="AK5" s="24" t="n">
        <v>23</v>
      </c>
      <c r="AL5" s="24" t="n">
        <v>24</v>
      </c>
      <c r="AM5" s="24" t="n">
        <v>25</v>
      </c>
      <c r="AN5" s="24" t="n">
        <v>26</v>
      </c>
      <c r="AO5" s="24" t="n">
        <v>27</v>
      </c>
      <c r="AP5" s="24" t="n">
        <v>28</v>
      </c>
      <c r="AQ5" s="24" t="n">
        <v>29</v>
      </c>
      <c r="AR5" s="24" t="n">
        <v>30</v>
      </c>
      <c r="AS5" s="24" t="n">
        <v>31</v>
      </c>
      <c r="AT5" s="24" t="n">
        <v>32</v>
      </c>
      <c r="AU5" s="24" t="n">
        <v>33</v>
      </c>
      <c r="AV5" s="24" t="n">
        <v>34</v>
      </c>
      <c r="AW5" s="24" t="n">
        <v>35</v>
      </c>
      <c r="AX5" s="24" t="n">
        <v>36</v>
      </c>
      <c r="AY5" s="24" t="n">
        <v>37</v>
      </c>
    </row>
    <row r="7" customFormat="false" ht="15" hidden="false" customHeight="false" outlineLevel="0" collapsed="false">
      <c r="B7" s="7" t="s">
        <v>168</v>
      </c>
      <c r="C7" s="8"/>
      <c r="D7" s="8"/>
      <c r="E7" s="8"/>
      <c r="F7" s="8"/>
      <c r="G7" s="8"/>
      <c r="H7" s="8"/>
      <c r="I7" s="8"/>
      <c r="J7" s="8"/>
      <c r="K7" s="8"/>
      <c r="L7" s="8"/>
    </row>
    <row r="8" customFormat="false" ht="30" hidden="false" customHeight="true" outlineLevel="0" collapsed="false">
      <c r="B8" s="37"/>
      <c r="C8" s="38" t="s">
        <v>169</v>
      </c>
      <c r="D8" s="38" t="s">
        <v>170</v>
      </c>
      <c r="E8" s="38" t="s">
        <v>171</v>
      </c>
      <c r="F8" s="38" t="s">
        <v>43</v>
      </c>
      <c r="G8" s="38" t="s">
        <v>44</v>
      </c>
      <c r="H8" s="38" t="s">
        <v>45</v>
      </c>
      <c r="I8" s="38" t="s">
        <v>172</v>
      </c>
      <c r="J8" s="38" t="s">
        <v>90</v>
      </c>
      <c r="K8" s="38" t="s">
        <v>89</v>
      </c>
      <c r="L8" s="38" t="s">
        <v>173</v>
      </c>
    </row>
    <row r="9" customFormat="false" ht="15" hidden="false" customHeight="false" outlineLevel="0" collapsed="false">
      <c r="B9" s="39" t="s">
        <v>174</v>
      </c>
      <c r="C9" s="26" t="n">
        <f aca="false">Class_IRR!$C$5</f>
        <v>0.0025</v>
      </c>
      <c r="D9" s="30" t="n">
        <f aca="false">Inputs!$E$23</f>
        <v>4200</v>
      </c>
      <c r="E9" s="26" t="n">
        <f aca="false">Inputs!$F$23</f>
        <v>0.985</v>
      </c>
      <c r="F9" s="25" t="n">
        <f aca="false">Inputs!$G$23</f>
        <v>0.8</v>
      </c>
      <c r="G9" s="25" t="n">
        <f aca="false">Inputs!$H$23</f>
        <v>0.95</v>
      </c>
      <c r="H9" s="25" t="n">
        <f aca="false">Inputs!$I$23</f>
        <v>0.9</v>
      </c>
      <c r="I9" s="22" t="n">
        <f aca="false">Inputs!$J$23</f>
        <v>1</v>
      </c>
      <c r="J9" s="23" t="n">
        <f aca="false">Inputs!$C$9</f>
        <v>10</v>
      </c>
      <c r="K9" s="22" t="n">
        <f aca="false">Inputs!$C$10</f>
        <v>1</v>
      </c>
      <c r="L9" s="22" t="n">
        <f aca="false">1</f>
        <v>1</v>
      </c>
    </row>
    <row r="10" customFormat="false" ht="30" hidden="false" customHeight="true" outlineLevel="0" collapsed="false">
      <c r="B10" s="37"/>
      <c r="C10" s="38" t="s">
        <v>175</v>
      </c>
      <c r="D10" s="38" t="s">
        <v>176</v>
      </c>
      <c r="E10" s="38" t="s">
        <v>177</v>
      </c>
      <c r="F10" s="38" t="s">
        <v>178</v>
      </c>
      <c r="G10" s="38" t="s">
        <v>112</v>
      </c>
      <c r="H10" s="38" t="s">
        <v>179</v>
      </c>
      <c r="I10" s="38" t="s">
        <v>180</v>
      </c>
      <c r="J10" s="38" t="s">
        <v>181</v>
      </c>
      <c r="K10" s="38" t="s">
        <v>182</v>
      </c>
      <c r="L10" s="38" t="s">
        <v>183</v>
      </c>
    </row>
    <row r="11" customFormat="false" ht="15" hidden="false" customHeight="false" outlineLevel="0" collapsed="false">
      <c r="B11" s="39" t="s">
        <v>184</v>
      </c>
      <c r="C11" s="40" t="n">
        <f aca="false">1-$E$9*CHOOSE($L$9,INDEX(Timing!$C$7:$AA$7,1,Inputs!$C$12+1),INDEX(Timing!$C$8:$AA$8,1,Inputs!$C$12+1))</f>
        <v>0.2514</v>
      </c>
      <c r="D11" s="40" t="n">
        <f aca="false">1-$E$9*CHOOSE($L$9,INDEX(Timing!$C$7:$AA$7,1,Inputs!$C$13+1),INDEX(Timing!$C$8:$AA$8,1,Inputs!$C$13+1))</f>
        <v>0.015</v>
      </c>
      <c r="E11" s="40" t="n">
        <f aca="false">$I$9*$D$11*$F$9</f>
        <v>0.012</v>
      </c>
      <c r="F11" s="40" t="n">
        <f aca="false">$I$9*($D$11-$E$11)*$G$9</f>
        <v>0.00285</v>
      </c>
      <c r="G11" s="40" t="n">
        <f aca="false">$I$9*($D$11-$E$11-$F$11)</f>
        <v>0.00015</v>
      </c>
      <c r="H11" s="23" t="n">
        <f aca="false">$I$9*(3*$D$9+Inputs!$C$14)</f>
        <v>14400</v>
      </c>
      <c r="I11" s="23" t="n">
        <f aca="false">$I$9*($D$9*(1+IF($C$9&lt;=0,0,MAX($C$9*Inputs!$C$15/12,Inputs!$C$8)))+$D$9*(1+Inputs!$C$11*(Inputs!$C$15-Inputs!$C$12)/12)+$D$9*(1+Inputs!$C$11*(Inputs!$C$15-Inputs!$C$13)/12)+Inputs!$C$14)</f>
        <v>15744</v>
      </c>
      <c r="J11" s="23" t="n">
        <f aca="false">$I$9*($D$9*(1+IF($C$9&lt;=0,0,MAX($C$9*Inputs!$C$16/12,Inputs!$C$8)))+$D$9*(1+Inputs!$C$11*(Inputs!$C$16-Inputs!$C$12)/12)+$D$9*(1+Inputs!$C$11*(Inputs!$C$16-Inputs!$C$13)/12)+Inputs!$C$14)</f>
        <v>16122</v>
      </c>
      <c r="K11" s="40" t="n">
        <f aca="false">IRR($N$14:$AY$14,0.005)</f>
        <v>0.00617231425722721</v>
      </c>
      <c r="L11" s="41" t="n">
        <f aca="false">(1+$K$11)^12-1</f>
        <v>0.0766346621551932</v>
      </c>
    </row>
    <row r="12" customFormat="false" ht="15" hidden="false" customHeight="false" outlineLevel="0" collapsed="false">
      <c r="B12" s="9" t="s">
        <v>185</v>
      </c>
      <c r="N12" s="40" t="n">
        <f aca="false">0</f>
        <v>0</v>
      </c>
      <c r="O12" s="40" t="n">
        <f aca="false">$E$9*(CHOOSE($L$9,Timing!D$7,Timing!D$8)-CHOOSE($L$9,Timing!C$7,Timing!C$8))</f>
        <v>0.1182</v>
      </c>
      <c r="P12" s="40" t="n">
        <f aca="false">$E$9*(CHOOSE($L$9,Timing!E$7,Timing!E$8)-CHOOSE($L$9,Timing!D$7,Timing!D$8))</f>
        <v>0.0985</v>
      </c>
      <c r="Q12" s="40" t="n">
        <f aca="false">$E$9*(CHOOSE($L$9,Timing!F$7,Timing!F$8)-CHOOSE($L$9,Timing!E$7,Timing!E$8))</f>
        <v>0.08865</v>
      </c>
      <c r="R12" s="40" t="n">
        <f aca="false">$E$9*(CHOOSE($L$9,Timing!G$7,Timing!G$8)-CHOOSE($L$9,Timing!F$7,Timing!F$8))</f>
        <v>0.06895</v>
      </c>
      <c r="S12" s="40" t="n">
        <f aca="false">$E$9*(CHOOSE($L$9,Timing!H$7,Timing!H$8)-CHOOSE($L$9,Timing!G$7,Timing!G$8))</f>
        <v>0.06895</v>
      </c>
      <c r="T12" s="40" t="n">
        <f aca="false">$E$9*(CHOOSE($L$9,Timing!I$7,Timing!I$8)-CHOOSE($L$9,Timing!H$7,Timing!H$8))</f>
        <v>0.06895</v>
      </c>
      <c r="U12" s="40" t="n">
        <f aca="false">$E$9*(CHOOSE($L$9,Timing!J$7,Timing!J$8)-CHOOSE($L$9,Timing!I$7,Timing!I$8))</f>
        <v>0.0426833333333333</v>
      </c>
      <c r="V12" s="40" t="n">
        <f aca="false">$E$9*(CHOOSE($L$9,Timing!K$7,Timing!K$8)-CHOOSE($L$9,Timing!J$7,Timing!J$8))</f>
        <v>0.0426833333333333</v>
      </c>
      <c r="W12" s="40" t="n">
        <f aca="false">$E$9*(CHOOSE($L$9,Timing!L$7,Timing!L$8)-CHOOSE($L$9,Timing!K$7,Timing!K$8))</f>
        <v>0.0426833333333333</v>
      </c>
      <c r="X12" s="40" t="n">
        <f aca="false">$E$9*(CHOOSE($L$9,Timing!M$7,Timing!M$8)-CHOOSE($L$9,Timing!L$7,Timing!L$8))</f>
        <v>0.0361166666666666</v>
      </c>
      <c r="Y12" s="40" t="n">
        <f aca="false">$E$9*(CHOOSE($L$9,Timing!N$7,Timing!N$8)-CHOOSE($L$9,Timing!M$7,Timing!M$8))</f>
        <v>0.0361166666666667</v>
      </c>
      <c r="Z12" s="40" t="n">
        <f aca="false">$E$9*(CHOOSE($L$9,Timing!O$7,Timing!O$8)-CHOOSE($L$9,Timing!N$7,Timing!N$8))</f>
        <v>0.0361166666666666</v>
      </c>
      <c r="AA12" s="40" t="n">
        <f aca="false">$E$9*(CHOOSE($L$9,Timing!P$7,Timing!P$8)-CHOOSE($L$9,Timing!O$7,Timing!O$8))</f>
        <v>0.0229833333333333</v>
      </c>
      <c r="AB12" s="40" t="n">
        <f aca="false">$E$9*(CHOOSE($L$9,Timing!Q$7,Timing!Q$8)-CHOOSE($L$9,Timing!P$7,Timing!P$8))</f>
        <v>0.0229833333333333</v>
      </c>
      <c r="AC12" s="40" t="n">
        <f aca="false">$E$9*(CHOOSE($L$9,Timing!R$7,Timing!R$8)-CHOOSE($L$9,Timing!Q$7,Timing!Q$8))</f>
        <v>0.0229833333333334</v>
      </c>
      <c r="AD12" s="40" t="n">
        <f aca="false">$E$9*(CHOOSE($L$9,Timing!S$7,Timing!S$8)-CHOOSE($L$9,Timing!R$7,Timing!R$8))</f>
        <v>0.0229833333333333</v>
      </c>
      <c r="AE12" s="40" t="n">
        <f aca="false">$E$9*(CHOOSE($L$9,Timing!T$7,Timing!T$8)-CHOOSE($L$9,Timing!S$7,Timing!S$8))</f>
        <v>0.0229833333333333</v>
      </c>
      <c r="AF12" s="40" t="n">
        <f aca="false">$E$9*(CHOOSE($L$9,Timing!U$7,Timing!U$8)-CHOOSE($L$9,Timing!T$7,Timing!T$8))</f>
        <v>0.0229833333333333</v>
      </c>
      <c r="AG12" s="40" t="n">
        <f aca="false">$E$9*(CHOOSE($L$9,Timing!V$7,Timing!V$8)-CHOOSE($L$9,Timing!U$7,Timing!U$8))</f>
        <v>0.0164166666666667</v>
      </c>
      <c r="AH12" s="40" t="n">
        <f aca="false">$E$9*(CHOOSE($L$9,Timing!W$7,Timing!W$8)-CHOOSE($L$9,Timing!V$7,Timing!V$8))</f>
        <v>0.0164166666666666</v>
      </c>
      <c r="AI12" s="40" t="n">
        <f aca="false">$E$9*(CHOOSE($L$9,Timing!X$7,Timing!X$8)-CHOOSE($L$9,Timing!W$7,Timing!W$8))</f>
        <v>0.0164166666666666</v>
      </c>
      <c r="AJ12" s="40" t="n">
        <f aca="false">$E$9*(CHOOSE($L$9,Timing!Y$7,Timing!Y$8)-CHOOSE($L$9,Timing!X$7,Timing!X$8))</f>
        <v>0.0164166666666667</v>
      </c>
      <c r="AK12" s="40" t="n">
        <f aca="false">$E$9*(CHOOSE($L$9,Timing!Z$7,Timing!Z$8)-CHOOSE($L$9,Timing!Y$7,Timing!Y$8))</f>
        <v>0.0164166666666667</v>
      </c>
      <c r="AL12" s="40" t="n">
        <f aca="false">$E$9*(CHOOSE($L$9,Timing!AA$7,Timing!AA$8)-CHOOSE($L$9,Timing!Z$7,Timing!Z$8))</f>
        <v>0.0164166666666666</v>
      </c>
    </row>
    <row r="13" customFormat="false" ht="15" hidden="false" customHeight="false" outlineLevel="0" collapsed="false">
      <c r="B13" s="9" t="s">
        <v>186</v>
      </c>
      <c r="N13" s="42" t="n">
        <f aca="false">0</f>
        <v>0</v>
      </c>
      <c r="O13" s="42" t="n">
        <f aca="false">$D$9*(1+IF($C$9&lt;=0,0,MAX($C$9*O$5/12,Inputs!$C$8)))+$I$9*(O$5&gt;Inputs!$C$12)*$D$9*(1+Inputs!$C$11*(O$5-Inputs!$C$12)/12)</f>
        <v>4410</v>
      </c>
      <c r="P13" s="42" t="n">
        <f aca="false">$D$9*(1+IF($C$9&lt;=0,0,MAX($C$9*P$5/12,Inputs!$C$8)))+$I$9*(P$5&gt;Inputs!$C$12)*$D$9*(1+Inputs!$C$11*(P$5-Inputs!$C$12)/12)</f>
        <v>4410</v>
      </c>
      <c r="Q13" s="42" t="n">
        <f aca="false">$D$9*(1+IF($C$9&lt;=0,0,MAX($C$9*Q$5/12,Inputs!$C$8)))+$I$9*(Q$5&gt;Inputs!$C$12)*$D$9*(1+Inputs!$C$11*(Q$5-Inputs!$C$12)/12)</f>
        <v>4410</v>
      </c>
      <c r="R13" s="42" t="n">
        <f aca="false">$D$9*(1+IF($C$9&lt;=0,0,MAX($C$9*R$5/12,Inputs!$C$8)))+$I$9*(R$5&gt;Inputs!$C$12)*$D$9*(1+Inputs!$C$11*(R$5-Inputs!$C$12)/12)</f>
        <v>4410</v>
      </c>
      <c r="S13" s="42" t="n">
        <f aca="false">$D$9*(1+IF($C$9&lt;=0,0,MAX($C$9*S$5/12,Inputs!$C$8)))+$I$9*(S$5&gt;Inputs!$C$12)*$D$9*(1+Inputs!$C$11*(S$5-Inputs!$C$12)/12)</f>
        <v>4410</v>
      </c>
      <c r="T13" s="42" t="n">
        <f aca="false">$D$9*(1+IF($C$9&lt;=0,0,MAX($C$9*T$5/12,Inputs!$C$8)))+$I$9*(T$5&gt;Inputs!$C$12)*$D$9*(1+Inputs!$C$11*(T$5-Inputs!$C$12)/12)</f>
        <v>4410</v>
      </c>
      <c r="U13" s="42" t="n">
        <f aca="false">$D$9*(1+IF($C$9&lt;=0,0,MAX($C$9*U$5/12,Inputs!$C$8)))+$I$9*(U$5&gt;Inputs!$C$12)*$D$9*(1+Inputs!$C$11*(U$5-Inputs!$C$12)/12)</f>
        <v>4410</v>
      </c>
      <c r="V13" s="42" t="n">
        <f aca="false">$D$9*(1+IF($C$9&lt;=0,0,MAX($C$9*V$5/12,Inputs!$C$8)))+$I$9*(V$5&gt;Inputs!$C$12)*$D$9*(1+Inputs!$C$11*(V$5-Inputs!$C$12)/12)</f>
        <v>4410</v>
      </c>
      <c r="W13" s="42" t="n">
        <f aca="false">$D$9*(1+IF($C$9&lt;=0,0,MAX($C$9*W$5/12,Inputs!$C$8)))+$I$9*(W$5&gt;Inputs!$C$12)*$D$9*(1+Inputs!$C$11*(W$5-Inputs!$C$12)/12)</f>
        <v>4410</v>
      </c>
      <c r="X13" s="42" t="n">
        <f aca="false">$D$9*(1+IF($C$9&lt;=0,0,MAX($C$9*X$5/12,Inputs!$C$8)))+$I$9*(X$5&gt;Inputs!$C$12)*$D$9*(1+Inputs!$C$11*(X$5-Inputs!$C$12)/12)</f>
        <v>4410</v>
      </c>
      <c r="Y13" s="42" t="n">
        <f aca="false">$D$9*(1+IF($C$9&lt;=0,0,MAX($C$9*Y$5/12,Inputs!$C$8)))+$I$9*(Y$5&gt;Inputs!$C$12)*$D$9*(1+Inputs!$C$11*(Y$5-Inputs!$C$12)/12)</f>
        <v>4410</v>
      </c>
      <c r="Z13" s="42" t="n">
        <f aca="false">$D$9*(1+IF($C$9&lt;=0,0,MAX($C$9*Z$5/12,Inputs!$C$8)))+$I$9*(Z$5&gt;Inputs!$C$12)*$D$9*(1+Inputs!$C$11*(Z$5-Inputs!$C$12)/12)</f>
        <v>4410</v>
      </c>
      <c r="AA13" s="42" t="n">
        <f aca="false">$D$9*(1+IF($C$9&lt;=0,0,MAX($C$9*AA$5/12,Inputs!$C$8)))+$I$9*(AA$5&gt;Inputs!$C$12)*$D$9*(1+Inputs!$C$11*(AA$5-Inputs!$C$12)/12)</f>
        <v>8673</v>
      </c>
      <c r="AB13" s="42" t="n">
        <f aca="false">$D$9*(1+IF($C$9&lt;=0,0,MAX($C$9*AB$5/12,Inputs!$C$8)))+$I$9*(AB$5&gt;Inputs!$C$12)*$D$9*(1+Inputs!$C$11*(AB$5-Inputs!$C$12)/12)</f>
        <v>8736</v>
      </c>
      <c r="AC13" s="42" t="n">
        <f aca="false">$D$9*(1+IF($C$9&lt;=0,0,MAX($C$9*AC$5/12,Inputs!$C$8)))+$I$9*(AC$5&gt;Inputs!$C$12)*$D$9*(1+Inputs!$C$11*(AC$5-Inputs!$C$12)/12)</f>
        <v>8799</v>
      </c>
      <c r="AD13" s="42" t="n">
        <f aca="false">$D$9*(1+IF($C$9&lt;=0,0,MAX($C$9*AD$5/12,Inputs!$C$8)))+$I$9*(AD$5&gt;Inputs!$C$12)*$D$9*(1+Inputs!$C$11*(AD$5-Inputs!$C$12)/12)</f>
        <v>8862</v>
      </c>
      <c r="AE13" s="42" t="n">
        <f aca="false">$D$9*(1+IF($C$9&lt;=0,0,MAX($C$9*AE$5/12,Inputs!$C$8)))+$I$9*(AE$5&gt;Inputs!$C$12)*$D$9*(1+Inputs!$C$11*(AE$5-Inputs!$C$12)/12)</f>
        <v>8925</v>
      </c>
      <c r="AF13" s="42" t="n">
        <f aca="false">$D$9*(1+IF($C$9&lt;=0,0,MAX($C$9*AF$5/12,Inputs!$C$8)))+$I$9*(AF$5&gt;Inputs!$C$12)*$D$9*(1+Inputs!$C$11*(AF$5-Inputs!$C$12)/12)</f>
        <v>8988</v>
      </c>
      <c r="AG13" s="42" t="n">
        <f aca="false">$D$9*(1+IF($C$9&lt;=0,0,MAX($C$9*AG$5/12,Inputs!$C$8)))+$I$9*(AG$5&gt;Inputs!$C$12)*$D$9*(1+Inputs!$C$11*(AG$5-Inputs!$C$12)/12)</f>
        <v>9051</v>
      </c>
      <c r="AH13" s="42" t="n">
        <f aca="false">$D$9*(1+IF($C$9&lt;=0,0,MAX($C$9*AH$5/12,Inputs!$C$8)))+$I$9*(AH$5&gt;Inputs!$C$12)*$D$9*(1+Inputs!$C$11*(AH$5-Inputs!$C$12)/12)</f>
        <v>9114</v>
      </c>
      <c r="AI13" s="42" t="n">
        <f aca="false">$D$9*(1+IF($C$9&lt;=0,0,MAX($C$9*AI$5/12,Inputs!$C$8)))+$I$9*(AI$5&gt;Inputs!$C$12)*$D$9*(1+Inputs!$C$11*(AI$5-Inputs!$C$12)/12)</f>
        <v>9177</v>
      </c>
      <c r="AJ13" s="42" t="n">
        <f aca="false">$D$9*(1+IF($C$9&lt;=0,0,MAX($C$9*AJ$5/12,Inputs!$C$8)))+$I$9*(AJ$5&gt;Inputs!$C$12)*$D$9*(1+Inputs!$C$11*(AJ$5-Inputs!$C$12)/12)</f>
        <v>9240</v>
      </c>
      <c r="AK13" s="42" t="n">
        <f aca="false">$D$9*(1+IF($C$9&lt;=0,0,MAX($C$9*AK$5/12,Inputs!$C$8)))+$I$9*(AK$5&gt;Inputs!$C$12)*$D$9*(1+Inputs!$C$11*(AK$5-Inputs!$C$12)/12)</f>
        <v>9303</v>
      </c>
      <c r="AL13" s="42" t="n">
        <f aca="false">$D$9*(1+IF($C$9&lt;=0,0,MAX($C$9*AL$5/12,Inputs!$C$8)))+$I$9*(AL$5&gt;Inputs!$C$12)*$D$9*(1+Inputs!$C$11*(AL$5-Inputs!$C$12)/12)</f>
        <v>9366</v>
      </c>
    </row>
    <row r="14" customFormat="false" ht="15" hidden="false" customHeight="false" outlineLevel="0" collapsed="false">
      <c r="B14" s="31" t="s">
        <v>187</v>
      </c>
      <c r="N14" s="42" t="n">
        <f aca="false">-($D$9+$J$9)*(N$5=0)+IF(AND(N$5-$K$9&gt;=1,N$5-$K$9&lt;=Inputs!$C$13),INDEX($N$12:$AL$12,1,N$5-$K$9+1)*INDEX($N$13:$AL$13,1,N$5-$K$9+1),0)-$I$9*((N$5=Inputs!$C$12)*$C$11*$D$9+(N$5=Inputs!$C$13)*$D$11*($D$9+Inputs!$C$14))+$I$9*((N$5=Inputs!$C$15+$K$9)*$E$11*$I$11+(N$5=Inputs!$C$16+$K$9)*$F$11*$J$11+(N$5=Inputs!$C$17)*$G$11*$H$9*$H$11)</f>
        <v>-4210</v>
      </c>
      <c r="O14" s="42" t="n">
        <f aca="false">-($D$9+$J$9)*(O$5=0)+IF(AND(O$5-$K$9&gt;=1,O$5-$K$9&lt;=Inputs!$C$13),INDEX($N$12:$AL$12,1,O$5-$K$9+1)*INDEX($N$13:$AL$13,1,O$5-$K$9+1),0)-$I$9*((O$5=Inputs!$C$12)*$C$11*$D$9+(O$5=Inputs!$C$13)*$D$11*($D$9+Inputs!$C$14))+$I$9*((O$5=Inputs!$C$15+$K$9)*$E$11*$I$11+(O$5=Inputs!$C$16+$K$9)*$F$11*$J$11+(O$5=Inputs!$C$17)*$G$11*$H$9*$H$11)</f>
        <v>0</v>
      </c>
      <c r="P14" s="42" t="n">
        <f aca="false">-($D$9+$J$9)*(P$5=0)+IF(AND(P$5-$K$9&gt;=1,P$5-$K$9&lt;=Inputs!$C$13),INDEX($N$12:$AL$12,1,P$5-$K$9+1)*INDEX($N$13:$AL$13,1,P$5-$K$9+1),0)-$I$9*((P$5=Inputs!$C$12)*$C$11*$D$9+(P$5=Inputs!$C$13)*$D$11*($D$9+Inputs!$C$14))+$I$9*((P$5=Inputs!$C$15+$K$9)*$E$11*$I$11+(P$5=Inputs!$C$16+$K$9)*$F$11*$J$11+(P$5=Inputs!$C$17)*$G$11*$H$9*$H$11)</f>
        <v>521.262</v>
      </c>
      <c r="Q14" s="42" t="n">
        <f aca="false">-($D$9+$J$9)*(Q$5=0)+IF(AND(Q$5-$K$9&gt;=1,Q$5-$K$9&lt;=Inputs!$C$13),INDEX($N$12:$AL$12,1,Q$5-$K$9+1)*INDEX($N$13:$AL$13,1,Q$5-$K$9+1),0)-$I$9*((Q$5=Inputs!$C$12)*$C$11*$D$9+(Q$5=Inputs!$C$13)*$D$11*($D$9+Inputs!$C$14))+$I$9*((Q$5=Inputs!$C$15+$K$9)*$E$11*$I$11+(Q$5=Inputs!$C$16+$K$9)*$F$11*$J$11+(Q$5=Inputs!$C$17)*$G$11*$H$9*$H$11)</f>
        <v>434.385</v>
      </c>
      <c r="R14" s="42" t="n">
        <f aca="false">-($D$9+$J$9)*(R$5=0)+IF(AND(R$5-$K$9&gt;=1,R$5-$K$9&lt;=Inputs!$C$13),INDEX($N$12:$AL$12,1,R$5-$K$9+1)*INDEX($N$13:$AL$13,1,R$5-$K$9+1),0)-$I$9*((R$5=Inputs!$C$12)*$C$11*$D$9+(R$5=Inputs!$C$13)*$D$11*($D$9+Inputs!$C$14))+$I$9*((R$5=Inputs!$C$15+$K$9)*$E$11*$I$11+(R$5=Inputs!$C$16+$K$9)*$F$11*$J$11+(R$5=Inputs!$C$17)*$G$11*$H$9*$H$11)</f>
        <v>390.9465</v>
      </c>
      <c r="S14" s="42" t="n">
        <f aca="false">-($D$9+$J$9)*(S$5=0)+IF(AND(S$5-$K$9&gt;=1,S$5-$K$9&lt;=Inputs!$C$13),INDEX($N$12:$AL$12,1,S$5-$K$9+1)*INDEX($N$13:$AL$13,1,S$5-$K$9+1),0)-$I$9*((S$5=Inputs!$C$12)*$C$11*$D$9+(S$5=Inputs!$C$13)*$D$11*($D$9+Inputs!$C$14))+$I$9*((S$5=Inputs!$C$15+$K$9)*$E$11*$I$11+(S$5=Inputs!$C$16+$K$9)*$F$11*$J$11+(S$5=Inputs!$C$17)*$G$11*$H$9*$H$11)</f>
        <v>304.0695</v>
      </c>
      <c r="T14" s="42" t="n">
        <f aca="false">-($D$9+$J$9)*(T$5=0)+IF(AND(T$5-$K$9&gt;=1,T$5-$K$9&lt;=Inputs!$C$13),INDEX($N$12:$AL$12,1,T$5-$K$9+1)*INDEX($N$13:$AL$13,1,T$5-$K$9+1),0)-$I$9*((T$5=Inputs!$C$12)*$C$11*$D$9+(T$5=Inputs!$C$13)*$D$11*($D$9+Inputs!$C$14))+$I$9*((T$5=Inputs!$C$15+$K$9)*$E$11*$I$11+(T$5=Inputs!$C$16+$K$9)*$F$11*$J$11+(T$5=Inputs!$C$17)*$G$11*$H$9*$H$11)</f>
        <v>304.0695</v>
      </c>
      <c r="U14" s="42" t="n">
        <f aca="false">-($D$9+$J$9)*(U$5=0)+IF(AND(U$5-$K$9&gt;=1,U$5-$K$9&lt;=Inputs!$C$13),INDEX($N$12:$AL$12,1,U$5-$K$9+1)*INDEX($N$13:$AL$13,1,U$5-$K$9+1),0)-$I$9*((U$5=Inputs!$C$12)*$C$11*$D$9+(U$5=Inputs!$C$13)*$D$11*($D$9+Inputs!$C$14))+$I$9*((U$5=Inputs!$C$15+$K$9)*$E$11*$I$11+(U$5=Inputs!$C$16+$K$9)*$F$11*$J$11+(U$5=Inputs!$C$17)*$G$11*$H$9*$H$11)</f>
        <v>304.0695</v>
      </c>
      <c r="V14" s="42" t="n">
        <f aca="false">-($D$9+$J$9)*(V$5=0)+IF(AND(V$5-$K$9&gt;=1,V$5-$K$9&lt;=Inputs!$C$13),INDEX($N$12:$AL$12,1,V$5-$K$9+1)*INDEX($N$13:$AL$13,1,V$5-$K$9+1),0)-$I$9*((V$5=Inputs!$C$12)*$C$11*$D$9+(V$5=Inputs!$C$13)*$D$11*($D$9+Inputs!$C$14))+$I$9*((V$5=Inputs!$C$15+$K$9)*$E$11*$I$11+(V$5=Inputs!$C$16+$K$9)*$F$11*$J$11+(V$5=Inputs!$C$17)*$G$11*$H$9*$H$11)</f>
        <v>188.2335</v>
      </c>
      <c r="W14" s="42" t="n">
        <f aca="false">-($D$9+$J$9)*(W$5=0)+IF(AND(W$5-$K$9&gt;=1,W$5-$K$9&lt;=Inputs!$C$13),INDEX($N$12:$AL$12,1,W$5-$K$9+1)*INDEX($N$13:$AL$13,1,W$5-$K$9+1),0)-$I$9*((W$5=Inputs!$C$12)*$C$11*$D$9+(W$5=Inputs!$C$13)*$D$11*($D$9+Inputs!$C$14))+$I$9*((W$5=Inputs!$C$15+$K$9)*$E$11*$I$11+(W$5=Inputs!$C$16+$K$9)*$F$11*$J$11+(W$5=Inputs!$C$17)*$G$11*$H$9*$H$11)</f>
        <v>188.2335</v>
      </c>
      <c r="X14" s="42" t="n">
        <f aca="false">-($D$9+$J$9)*(X$5=0)+IF(AND(X$5-$K$9&gt;=1,X$5-$K$9&lt;=Inputs!$C$13),INDEX($N$12:$AL$12,1,X$5-$K$9+1)*INDEX($N$13:$AL$13,1,X$5-$K$9+1),0)-$I$9*((X$5=Inputs!$C$12)*$C$11*$D$9+(X$5=Inputs!$C$13)*$D$11*($D$9+Inputs!$C$14))+$I$9*((X$5=Inputs!$C$15+$K$9)*$E$11*$I$11+(X$5=Inputs!$C$16+$K$9)*$F$11*$J$11+(X$5=Inputs!$C$17)*$G$11*$H$9*$H$11)</f>
        <v>188.2335</v>
      </c>
      <c r="Y14" s="42" t="n">
        <f aca="false">-($D$9+$J$9)*(Y$5=0)+IF(AND(Y$5-$K$9&gt;=1,Y$5-$K$9&lt;=Inputs!$C$13),INDEX($N$12:$AL$12,1,Y$5-$K$9+1)*INDEX($N$13:$AL$13,1,Y$5-$K$9+1),0)-$I$9*((Y$5=Inputs!$C$12)*$C$11*$D$9+(Y$5=Inputs!$C$13)*$D$11*($D$9+Inputs!$C$14))+$I$9*((Y$5=Inputs!$C$15+$K$9)*$E$11*$I$11+(Y$5=Inputs!$C$16+$K$9)*$F$11*$J$11+(Y$5=Inputs!$C$17)*$G$11*$H$9*$H$11)</f>
        <v>159.2745</v>
      </c>
      <c r="Z14" s="42" t="n">
        <f aca="false">-($D$9+$J$9)*(Z$5=0)+IF(AND(Z$5-$K$9&gt;=1,Z$5-$K$9&lt;=Inputs!$C$13),INDEX($N$12:$AL$12,1,Z$5-$K$9+1)*INDEX($N$13:$AL$13,1,Z$5-$K$9+1),0)-$I$9*((Z$5=Inputs!$C$12)*$C$11*$D$9+(Z$5=Inputs!$C$13)*$D$11*($D$9+Inputs!$C$14))+$I$9*((Z$5=Inputs!$C$15+$K$9)*$E$11*$I$11+(Z$5=Inputs!$C$16+$K$9)*$F$11*$J$11+(Z$5=Inputs!$C$17)*$G$11*$H$9*$H$11)</f>
        <v>-896.6055</v>
      </c>
      <c r="AA14" s="42" t="n">
        <f aca="false">-($D$9+$J$9)*(AA$5=0)+IF(AND(AA$5-$K$9&gt;=1,AA$5-$K$9&lt;=Inputs!$C$13),INDEX($N$12:$AL$12,1,AA$5-$K$9+1)*INDEX($N$13:$AL$13,1,AA$5-$K$9+1),0)-$I$9*((AA$5=Inputs!$C$12)*$C$11*$D$9+(AA$5=Inputs!$C$13)*$D$11*($D$9+Inputs!$C$14))+$I$9*((AA$5=Inputs!$C$15+$K$9)*$E$11*$I$11+(AA$5=Inputs!$C$16+$K$9)*$F$11*$J$11+(AA$5=Inputs!$C$17)*$G$11*$H$9*$H$11)</f>
        <v>159.2745</v>
      </c>
      <c r="AB14" s="42" t="n">
        <f aca="false">-($D$9+$J$9)*(AB$5=0)+IF(AND(AB$5-$K$9&gt;=1,AB$5-$K$9&lt;=Inputs!$C$13),INDEX($N$12:$AL$12,1,AB$5-$K$9+1)*INDEX($N$13:$AL$13,1,AB$5-$K$9+1),0)-$I$9*((AB$5=Inputs!$C$12)*$C$11*$D$9+(AB$5=Inputs!$C$13)*$D$11*($D$9+Inputs!$C$14))+$I$9*((AB$5=Inputs!$C$15+$K$9)*$E$11*$I$11+(AB$5=Inputs!$C$16+$K$9)*$F$11*$J$11+(AB$5=Inputs!$C$17)*$G$11*$H$9*$H$11)</f>
        <v>199.33445</v>
      </c>
      <c r="AC14" s="42" t="n">
        <f aca="false">-($D$9+$J$9)*(AC$5=0)+IF(AND(AC$5-$K$9&gt;=1,AC$5-$K$9&lt;=Inputs!$C$13),INDEX($N$12:$AL$12,1,AC$5-$K$9+1)*INDEX($N$13:$AL$13,1,AC$5-$K$9+1),0)-$I$9*((AC$5=Inputs!$C$12)*$C$11*$D$9+(AC$5=Inputs!$C$13)*$D$11*($D$9+Inputs!$C$14))+$I$9*((AC$5=Inputs!$C$15+$K$9)*$E$11*$I$11+(AC$5=Inputs!$C$16+$K$9)*$F$11*$J$11+(AC$5=Inputs!$C$17)*$G$11*$H$9*$H$11)</f>
        <v>200.7824</v>
      </c>
      <c r="AD14" s="42" t="n">
        <f aca="false">-($D$9+$J$9)*(AD$5=0)+IF(AND(AD$5-$K$9&gt;=1,AD$5-$K$9&lt;=Inputs!$C$13),INDEX($N$12:$AL$12,1,AD$5-$K$9+1)*INDEX($N$13:$AL$13,1,AD$5-$K$9+1),0)-$I$9*((AD$5=Inputs!$C$12)*$C$11*$D$9+(AD$5=Inputs!$C$13)*$D$11*($D$9+Inputs!$C$14))+$I$9*((AD$5=Inputs!$C$15+$K$9)*$E$11*$I$11+(AD$5=Inputs!$C$16+$K$9)*$F$11*$J$11+(AD$5=Inputs!$C$17)*$G$11*$H$9*$H$11)</f>
        <v>202.230350000001</v>
      </c>
      <c r="AE14" s="42" t="n">
        <f aca="false">-($D$9+$J$9)*(AE$5=0)+IF(AND(AE$5-$K$9&gt;=1,AE$5-$K$9&lt;=Inputs!$C$13),INDEX($N$12:$AL$12,1,AE$5-$K$9+1)*INDEX($N$13:$AL$13,1,AE$5-$K$9+1),0)-$I$9*((AE$5=Inputs!$C$12)*$C$11*$D$9+(AE$5=Inputs!$C$13)*$D$11*($D$9+Inputs!$C$14))+$I$9*((AE$5=Inputs!$C$15+$K$9)*$E$11*$I$11+(AE$5=Inputs!$C$16+$K$9)*$F$11*$J$11+(AE$5=Inputs!$C$17)*$G$11*$H$9*$H$11)</f>
        <v>203.6783</v>
      </c>
      <c r="AF14" s="42" t="n">
        <f aca="false">-($D$9+$J$9)*(AF$5=0)+IF(AND(AF$5-$K$9&gt;=1,AF$5-$K$9&lt;=Inputs!$C$13),INDEX($N$12:$AL$12,1,AF$5-$K$9+1)*INDEX($N$13:$AL$13,1,AF$5-$K$9+1),0)-$I$9*((AF$5=Inputs!$C$12)*$C$11*$D$9+(AF$5=Inputs!$C$13)*$D$11*($D$9+Inputs!$C$14))+$I$9*((AF$5=Inputs!$C$15+$K$9)*$E$11*$I$11+(AF$5=Inputs!$C$16+$K$9)*$F$11*$J$11+(AF$5=Inputs!$C$17)*$G$11*$H$9*$H$11)</f>
        <v>205.12625</v>
      </c>
      <c r="AG14" s="42" t="n">
        <f aca="false">-($D$9+$J$9)*(AG$5=0)+IF(AND(AG$5-$K$9&gt;=1,AG$5-$K$9&lt;=Inputs!$C$13),INDEX($N$12:$AL$12,1,AG$5-$K$9+1)*INDEX($N$13:$AL$13,1,AG$5-$K$9+1),0)-$I$9*((AG$5=Inputs!$C$12)*$C$11*$D$9+(AG$5=Inputs!$C$13)*$D$11*($D$9+Inputs!$C$14))+$I$9*((AG$5=Inputs!$C$15+$K$9)*$E$11*$I$11+(AG$5=Inputs!$C$16+$K$9)*$F$11*$J$11+(AG$5=Inputs!$C$17)*$G$11*$H$9*$H$11)</f>
        <v>206.5742</v>
      </c>
      <c r="AH14" s="42" t="n">
        <f aca="false">-($D$9+$J$9)*(AH$5=0)+IF(AND(AH$5-$K$9&gt;=1,AH$5-$K$9&lt;=Inputs!$C$13),INDEX($N$12:$AL$12,1,AH$5-$K$9+1)*INDEX($N$13:$AL$13,1,AH$5-$K$9+1),0)-$I$9*((AH$5=Inputs!$C$12)*$C$11*$D$9+(AH$5=Inputs!$C$13)*$D$11*($D$9+Inputs!$C$14))+$I$9*((AH$5=Inputs!$C$15+$K$9)*$E$11*$I$11+(AH$5=Inputs!$C$16+$K$9)*$F$11*$J$11+(AH$5=Inputs!$C$17)*$G$11*$H$9*$H$11)</f>
        <v>148.58725</v>
      </c>
      <c r="AI14" s="42" t="n">
        <f aca="false">-($D$9+$J$9)*(AI$5=0)+IF(AND(AI$5-$K$9&gt;=1,AI$5-$K$9&lt;=Inputs!$C$13),INDEX($N$12:$AL$12,1,AI$5-$K$9+1)*INDEX($N$13:$AL$13,1,AI$5-$K$9+1),0)-$I$9*((AI$5=Inputs!$C$12)*$C$11*$D$9+(AI$5=Inputs!$C$13)*$D$11*($D$9+Inputs!$C$14))+$I$9*((AI$5=Inputs!$C$15+$K$9)*$E$11*$I$11+(AI$5=Inputs!$C$16+$K$9)*$F$11*$J$11+(AI$5=Inputs!$C$17)*$G$11*$H$9*$H$11)</f>
        <v>149.621499999999</v>
      </c>
      <c r="AJ14" s="42" t="n">
        <f aca="false">-($D$9+$J$9)*(AJ$5=0)+IF(AND(AJ$5-$K$9&gt;=1,AJ$5-$K$9&lt;=Inputs!$C$13),INDEX($N$12:$AL$12,1,AJ$5-$K$9+1)*INDEX($N$13:$AL$13,1,AJ$5-$K$9+1),0)-$I$9*((AJ$5=Inputs!$C$12)*$C$11*$D$9+(AJ$5=Inputs!$C$13)*$D$11*($D$9+Inputs!$C$14))+$I$9*((AJ$5=Inputs!$C$15+$K$9)*$E$11*$I$11+(AJ$5=Inputs!$C$16+$K$9)*$F$11*$J$11+(AJ$5=Inputs!$C$17)*$G$11*$H$9*$H$11)</f>
        <v>150.655749999999</v>
      </c>
      <c r="AK14" s="42" t="n">
        <f aca="false">-($D$9+$J$9)*(AK$5=0)+IF(AND(AK$5-$K$9&gt;=1,AK$5-$K$9&lt;=Inputs!$C$13),INDEX($N$12:$AL$12,1,AK$5-$K$9+1)*INDEX($N$13:$AL$13,1,AK$5-$K$9+1),0)-$I$9*((AK$5=Inputs!$C$12)*$C$11*$D$9+(AK$5=Inputs!$C$13)*$D$11*($D$9+Inputs!$C$14))+$I$9*((AK$5=Inputs!$C$15+$K$9)*$E$11*$I$11+(AK$5=Inputs!$C$16+$K$9)*$F$11*$J$11+(AK$5=Inputs!$C$17)*$G$11*$H$9*$H$11)</f>
        <v>151.69</v>
      </c>
      <c r="AL14" s="42" t="n">
        <f aca="false">-($D$9+$J$9)*(AL$5=0)+IF(AND(AL$5-$K$9&gt;=1,AL$5-$K$9&lt;=Inputs!$C$13),INDEX($N$12:$AL$12,1,AL$5-$K$9+1)*INDEX($N$13:$AL$13,1,AL$5-$K$9+1),0)-$I$9*((AL$5=Inputs!$C$12)*$C$11*$D$9+(AL$5=Inputs!$C$13)*$D$11*($D$9+Inputs!$C$14))+$I$9*((AL$5=Inputs!$C$15+$K$9)*$E$11*$I$11+(AL$5=Inputs!$C$16+$K$9)*$F$11*$J$11+(AL$5=Inputs!$C$17)*$G$11*$H$9*$H$11)</f>
        <v>62.7242500000004</v>
      </c>
      <c r="AM14" s="42" t="n">
        <f aca="false">-($D$9+$J$9)*(AM$5=0)+IF(AND(AM$5-$K$9&gt;=1,AM$5-$K$9&lt;=Inputs!$C$13),INDEX($N$12:$AL$12,1,AM$5-$K$9+1)*INDEX($N$13:$AL$13,1,AM$5-$K$9+1),0)-$I$9*((AM$5=Inputs!$C$12)*$C$11*$D$9+(AM$5=Inputs!$C$13)*$D$11*($D$9+Inputs!$C$14))+$I$9*((AM$5=Inputs!$C$15+$K$9)*$E$11*$I$11+(AM$5=Inputs!$C$16+$K$9)*$F$11*$J$11+(AM$5=Inputs!$C$17)*$G$11*$H$9*$H$11)</f>
        <v>153.758499999999</v>
      </c>
      <c r="AN14" s="42" t="n">
        <f aca="false">-($D$9+$J$9)*(AN$5=0)+IF(AND(AN$5-$K$9&gt;=1,AN$5-$K$9&lt;=Inputs!$C$13),INDEX($N$12:$AL$12,1,AN$5-$K$9+1)*INDEX($N$13:$AL$13,1,AN$5-$K$9+1),0)-$I$9*((AN$5=Inputs!$C$12)*$C$11*$D$9+(AN$5=Inputs!$C$13)*$D$11*($D$9+Inputs!$C$14))+$I$9*((AN$5=Inputs!$C$15+$K$9)*$E$11*$I$11+(AN$5=Inputs!$C$16+$K$9)*$F$11*$J$11+(AN$5=Inputs!$C$17)*$G$11*$H$9*$H$11)</f>
        <v>0</v>
      </c>
      <c r="AO14" s="42" t="n">
        <f aca="false">-($D$9+$J$9)*(AO$5=0)+IF(AND(AO$5-$K$9&gt;=1,AO$5-$K$9&lt;=Inputs!$C$13),INDEX($N$12:$AL$12,1,AO$5-$K$9+1)*INDEX($N$13:$AL$13,1,AO$5-$K$9+1),0)-$I$9*((AO$5=Inputs!$C$12)*$C$11*$D$9+(AO$5=Inputs!$C$13)*$D$11*($D$9+Inputs!$C$14))+$I$9*((AO$5=Inputs!$C$15+$K$9)*$E$11*$I$11+(AO$5=Inputs!$C$16+$K$9)*$F$11*$J$11+(AO$5=Inputs!$C$17)*$G$11*$H$9*$H$11)</f>
        <v>0</v>
      </c>
      <c r="AP14" s="42" t="n">
        <f aca="false">-($D$9+$J$9)*(AP$5=0)+IF(AND(AP$5-$K$9&gt;=1,AP$5-$K$9&lt;=Inputs!$C$13),INDEX($N$12:$AL$12,1,AP$5-$K$9+1)*INDEX($N$13:$AL$13,1,AP$5-$K$9+1),0)-$I$9*((AP$5=Inputs!$C$12)*$C$11*$D$9+(AP$5=Inputs!$C$13)*$D$11*($D$9+Inputs!$C$14))+$I$9*((AP$5=Inputs!$C$15+$K$9)*$E$11*$I$11+(AP$5=Inputs!$C$16+$K$9)*$F$11*$J$11+(AP$5=Inputs!$C$17)*$G$11*$H$9*$H$11)</f>
        <v>188.928</v>
      </c>
      <c r="AQ14" s="42" t="n">
        <f aca="false">-($D$9+$J$9)*(AQ$5=0)+IF(AND(AQ$5-$K$9&gt;=1,AQ$5-$K$9&lt;=Inputs!$C$13),INDEX($N$12:$AL$12,1,AQ$5-$K$9+1)*INDEX($N$13:$AL$13,1,AQ$5-$K$9+1),0)-$I$9*((AQ$5=Inputs!$C$12)*$C$11*$D$9+(AQ$5=Inputs!$C$13)*$D$11*($D$9+Inputs!$C$14))+$I$9*((AQ$5=Inputs!$C$15+$K$9)*$E$11*$I$11+(AQ$5=Inputs!$C$16+$K$9)*$F$11*$J$11+(AQ$5=Inputs!$C$17)*$G$11*$H$9*$H$11)</f>
        <v>0</v>
      </c>
      <c r="AR14" s="42" t="n">
        <f aca="false">-($D$9+$J$9)*(AR$5=0)+IF(AND(AR$5-$K$9&gt;=1,AR$5-$K$9&lt;=Inputs!$C$13),INDEX($N$12:$AL$12,1,AR$5-$K$9+1)*INDEX($N$13:$AL$13,1,AR$5-$K$9+1),0)-$I$9*((AR$5=Inputs!$C$12)*$C$11*$D$9+(AR$5=Inputs!$C$13)*$D$11*($D$9+Inputs!$C$14))+$I$9*((AR$5=Inputs!$C$15+$K$9)*$E$11*$I$11+(AR$5=Inputs!$C$16+$K$9)*$F$11*$J$11+(AR$5=Inputs!$C$17)*$G$11*$H$9*$H$11)</f>
        <v>0</v>
      </c>
      <c r="AS14" s="42" t="n">
        <f aca="false">-($D$9+$J$9)*(AS$5=0)+IF(AND(AS$5-$K$9&gt;=1,AS$5-$K$9&lt;=Inputs!$C$13),INDEX($N$12:$AL$12,1,AS$5-$K$9+1)*INDEX($N$13:$AL$13,1,AS$5-$K$9+1),0)-$I$9*((AS$5=Inputs!$C$12)*$C$11*$D$9+(AS$5=Inputs!$C$13)*$D$11*($D$9+Inputs!$C$14))+$I$9*((AS$5=Inputs!$C$15+$K$9)*$E$11*$I$11+(AS$5=Inputs!$C$16+$K$9)*$F$11*$J$11+(AS$5=Inputs!$C$17)*$G$11*$H$9*$H$11)</f>
        <v>45.9477</v>
      </c>
      <c r="AT14" s="42" t="n">
        <f aca="false">-($D$9+$J$9)*(AT$5=0)+IF(AND(AT$5-$K$9&gt;=1,AT$5-$K$9&lt;=Inputs!$C$13),INDEX($N$12:$AL$12,1,AT$5-$K$9+1)*INDEX($N$13:$AL$13,1,AT$5-$K$9+1),0)-$I$9*((AT$5=Inputs!$C$12)*$C$11*$D$9+(AT$5=Inputs!$C$13)*$D$11*($D$9+Inputs!$C$14))+$I$9*((AT$5=Inputs!$C$15+$K$9)*$E$11*$I$11+(AT$5=Inputs!$C$16+$K$9)*$F$11*$J$11+(AT$5=Inputs!$C$17)*$G$11*$H$9*$H$11)</f>
        <v>0</v>
      </c>
      <c r="AU14" s="42" t="n">
        <f aca="false">-($D$9+$J$9)*(AU$5=0)+IF(AND(AU$5-$K$9&gt;=1,AU$5-$K$9&lt;=Inputs!$C$13),INDEX($N$12:$AL$12,1,AU$5-$K$9+1)*INDEX($N$13:$AL$13,1,AU$5-$K$9+1),0)-$I$9*((AU$5=Inputs!$C$12)*$C$11*$D$9+(AU$5=Inputs!$C$13)*$D$11*($D$9+Inputs!$C$14))+$I$9*((AU$5=Inputs!$C$15+$K$9)*$E$11*$I$11+(AU$5=Inputs!$C$16+$K$9)*$F$11*$J$11+(AU$5=Inputs!$C$17)*$G$11*$H$9*$H$11)</f>
        <v>0</v>
      </c>
      <c r="AV14" s="42" t="n">
        <f aca="false">-($D$9+$J$9)*(AV$5=0)+IF(AND(AV$5-$K$9&gt;=1,AV$5-$K$9&lt;=Inputs!$C$13),INDEX($N$12:$AL$12,1,AV$5-$K$9+1)*INDEX($N$13:$AL$13,1,AV$5-$K$9+1),0)-$I$9*((AV$5=Inputs!$C$12)*$C$11*$D$9+(AV$5=Inputs!$C$13)*$D$11*($D$9+Inputs!$C$14))+$I$9*((AV$5=Inputs!$C$15+$K$9)*$E$11*$I$11+(AV$5=Inputs!$C$16+$K$9)*$F$11*$J$11+(AV$5=Inputs!$C$17)*$G$11*$H$9*$H$11)</f>
        <v>0</v>
      </c>
      <c r="AW14" s="42" t="n">
        <f aca="false">-($D$9+$J$9)*(AW$5=0)+IF(AND(AW$5-$K$9&gt;=1,AW$5-$K$9&lt;=Inputs!$C$13),INDEX($N$12:$AL$12,1,AW$5-$K$9+1)*INDEX($N$13:$AL$13,1,AW$5-$K$9+1),0)-$I$9*((AW$5=Inputs!$C$12)*$C$11*$D$9+(AW$5=Inputs!$C$13)*$D$11*($D$9+Inputs!$C$14))+$I$9*((AW$5=Inputs!$C$15+$K$9)*$E$11*$I$11+(AW$5=Inputs!$C$16+$K$9)*$F$11*$J$11+(AW$5=Inputs!$C$17)*$G$11*$H$9*$H$11)</f>
        <v>0</v>
      </c>
      <c r="AX14" s="42" t="n">
        <f aca="false">-($D$9+$J$9)*(AX$5=0)+IF(AND(AX$5-$K$9&gt;=1,AX$5-$K$9&lt;=Inputs!$C$13),INDEX($N$12:$AL$12,1,AX$5-$K$9+1)*INDEX($N$13:$AL$13,1,AX$5-$K$9+1),0)-$I$9*((AX$5=Inputs!$C$12)*$C$11*$D$9+(AX$5=Inputs!$C$13)*$D$11*($D$9+Inputs!$C$14))+$I$9*((AX$5=Inputs!$C$15+$K$9)*$E$11*$I$11+(AX$5=Inputs!$C$16+$K$9)*$F$11*$J$11+(AX$5=Inputs!$C$17)*$G$11*$H$9*$H$11)</f>
        <v>1.94400000000001</v>
      </c>
      <c r="AY14" s="42" t="n">
        <f aca="false">-($D$9+$J$9)*(AY$5=0)+IF(AND(AY$5-$K$9&gt;=1,AY$5-$K$9&lt;=Inputs!$C$13),INDEX($N$12:$AL$12,1,AY$5-$K$9+1)*INDEX($N$13:$AL$13,1,AY$5-$K$9+1),0)-$I$9*((AY$5=Inputs!$C$12)*$C$11*$D$9+(AY$5=Inputs!$C$13)*$D$11*($D$9+Inputs!$C$14))+$I$9*((AY$5=Inputs!$C$15+$K$9)*$E$11*$I$11+(AY$5=Inputs!$C$16+$K$9)*$F$11*$J$11+(AY$5=Inputs!$C$17)*$G$11*$H$9*$H$11)</f>
        <v>0</v>
      </c>
    </row>
    <row r="16" customFormat="false" ht="15" hidden="false" customHeight="false" outlineLevel="0" collapsed="false">
      <c r="B16" s="7" t="s">
        <v>188</v>
      </c>
      <c r="C16" s="8"/>
      <c r="D16" s="8"/>
      <c r="E16" s="8"/>
      <c r="F16" s="8"/>
      <c r="G16" s="8"/>
      <c r="H16" s="8"/>
      <c r="I16" s="8"/>
      <c r="J16" s="8"/>
      <c r="K16" s="8"/>
      <c r="L16" s="8"/>
    </row>
    <row r="17" customFormat="false" ht="30" hidden="false" customHeight="true" outlineLevel="0" collapsed="false">
      <c r="B17" s="37"/>
      <c r="C17" s="38" t="s">
        <v>169</v>
      </c>
      <c r="D17" s="38" t="s">
        <v>170</v>
      </c>
      <c r="E17" s="38" t="s">
        <v>171</v>
      </c>
      <c r="F17" s="38" t="s">
        <v>43</v>
      </c>
      <c r="G17" s="38" t="s">
        <v>44</v>
      </c>
      <c r="H17" s="38" t="s">
        <v>45</v>
      </c>
      <c r="I17" s="38" t="s">
        <v>172</v>
      </c>
      <c r="J17" s="38" t="s">
        <v>90</v>
      </c>
      <c r="K17" s="38" t="s">
        <v>89</v>
      </c>
      <c r="L17" s="38" t="s">
        <v>173</v>
      </c>
    </row>
    <row r="18" customFormat="false" ht="15" hidden="false" customHeight="false" outlineLevel="0" collapsed="false">
      <c r="B18" s="39" t="s">
        <v>174</v>
      </c>
      <c r="C18" s="26" t="n">
        <f aca="false">Class_IRR!$D$5</f>
        <v>0.01</v>
      </c>
      <c r="D18" s="30" t="n">
        <f aca="false">Inputs!$E$23</f>
        <v>4200</v>
      </c>
      <c r="E18" s="26" t="n">
        <f aca="false">Inputs!$F$23</f>
        <v>0.985</v>
      </c>
      <c r="F18" s="25" t="n">
        <f aca="false">Inputs!$G$23</f>
        <v>0.8</v>
      </c>
      <c r="G18" s="25" t="n">
        <f aca="false">Inputs!$H$23</f>
        <v>0.95</v>
      </c>
      <c r="H18" s="25" t="n">
        <f aca="false">Inputs!$I$23</f>
        <v>0.9</v>
      </c>
      <c r="I18" s="22" t="n">
        <f aca="false">Inputs!$J$23</f>
        <v>1</v>
      </c>
      <c r="J18" s="23" t="n">
        <f aca="false">Inputs!$C$9</f>
        <v>10</v>
      </c>
      <c r="K18" s="22" t="n">
        <f aca="false">Inputs!$C$10</f>
        <v>1</v>
      </c>
      <c r="L18" s="22" t="n">
        <f aca="false">1</f>
        <v>1</v>
      </c>
    </row>
    <row r="19" customFormat="false" ht="30" hidden="false" customHeight="true" outlineLevel="0" collapsed="false">
      <c r="B19" s="37"/>
      <c r="C19" s="38" t="s">
        <v>175</v>
      </c>
      <c r="D19" s="38" t="s">
        <v>176</v>
      </c>
      <c r="E19" s="38" t="s">
        <v>177</v>
      </c>
      <c r="F19" s="38" t="s">
        <v>178</v>
      </c>
      <c r="G19" s="38" t="s">
        <v>112</v>
      </c>
      <c r="H19" s="38" t="s">
        <v>179</v>
      </c>
      <c r="I19" s="38" t="s">
        <v>180</v>
      </c>
      <c r="J19" s="38" t="s">
        <v>181</v>
      </c>
      <c r="K19" s="38" t="s">
        <v>182</v>
      </c>
      <c r="L19" s="38" t="s">
        <v>183</v>
      </c>
    </row>
    <row r="20" customFormat="false" ht="15" hidden="false" customHeight="false" outlineLevel="0" collapsed="false">
      <c r="B20" s="39" t="s">
        <v>184</v>
      </c>
      <c r="C20" s="40" t="n">
        <f aca="false">1-$E$18*CHOOSE($L$18,INDEX(Timing!$C$7:$AA$7,1,Inputs!$C$12+1),INDEX(Timing!$C$8:$AA$8,1,Inputs!$C$12+1))</f>
        <v>0.2514</v>
      </c>
      <c r="D20" s="40" t="n">
        <f aca="false">1-$E$18*CHOOSE($L$18,INDEX(Timing!$C$7:$AA$7,1,Inputs!$C$13+1),INDEX(Timing!$C$8:$AA$8,1,Inputs!$C$13+1))</f>
        <v>0.015</v>
      </c>
      <c r="E20" s="40" t="n">
        <f aca="false">$I$18*$D$20*$F$18</f>
        <v>0.012</v>
      </c>
      <c r="F20" s="40" t="n">
        <f aca="false">$I$18*($D$20-$E$20)*$G$18</f>
        <v>0.00285</v>
      </c>
      <c r="G20" s="40" t="n">
        <f aca="false">$I$18*($D$20-$E$20-$F$20)</f>
        <v>0.00015</v>
      </c>
      <c r="H20" s="23" t="n">
        <f aca="false">$I$18*(3*$D$18+Inputs!$C$14)</f>
        <v>14400</v>
      </c>
      <c r="I20" s="23" t="n">
        <f aca="false">$I$18*($D$18*(1+IF($C$18&lt;=0,0,MAX($C$18*Inputs!$C$15/12,Inputs!$C$8)))+$D$18*(1+Inputs!$C$11*(Inputs!$C$15-Inputs!$C$12)/12)+$D$18*(1+Inputs!$C$11*(Inputs!$C$15-Inputs!$C$13)/12)+Inputs!$C$14)</f>
        <v>15744</v>
      </c>
      <c r="J20" s="23" t="n">
        <f aca="false">$I$18*($D$18*(1+IF($C$18&lt;=0,0,MAX($C$18*Inputs!$C$16/12,Inputs!$C$8)))+$D$18*(1+Inputs!$C$11*(Inputs!$C$16-Inputs!$C$12)/12)+$D$18*(1+Inputs!$C$11*(Inputs!$C$16-Inputs!$C$13)/12)+Inputs!$C$14)</f>
        <v>16122</v>
      </c>
      <c r="K20" s="40" t="n">
        <f aca="false">IRR($N$23:$AY$23,0.005)</f>
        <v>0.00617231425722721</v>
      </c>
      <c r="L20" s="41" t="n">
        <f aca="false">(1+$K$20)^12-1</f>
        <v>0.0766346621551932</v>
      </c>
    </row>
    <row r="21" customFormat="false" ht="15" hidden="false" customHeight="false" outlineLevel="0" collapsed="false">
      <c r="B21" s="9" t="s">
        <v>185</v>
      </c>
      <c r="N21" s="40" t="n">
        <f aca="false">0</f>
        <v>0</v>
      </c>
      <c r="O21" s="40" t="n">
        <f aca="false">$E$18*(CHOOSE($L$18,Timing!D$7,Timing!D$8)-CHOOSE($L$18,Timing!C$7,Timing!C$8))</f>
        <v>0.1182</v>
      </c>
      <c r="P21" s="40" t="n">
        <f aca="false">$E$18*(CHOOSE($L$18,Timing!E$7,Timing!E$8)-CHOOSE($L$18,Timing!D$7,Timing!D$8))</f>
        <v>0.0985</v>
      </c>
      <c r="Q21" s="40" t="n">
        <f aca="false">$E$18*(CHOOSE($L$18,Timing!F$7,Timing!F$8)-CHOOSE($L$18,Timing!E$7,Timing!E$8))</f>
        <v>0.08865</v>
      </c>
      <c r="R21" s="40" t="n">
        <f aca="false">$E$18*(CHOOSE($L$18,Timing!G$7,Timing!G$8)-CHOOSE($L$18,Timing!F$7,Timing!F$8))</f>
        <v>0.06895</v>
      </c>
      <c r="S21" s="40" t="n">
        <f aca="false">$E$18*(CHOOSE($L$18,Timing!H$7,Timing!H$8)-CHOOSE($L$18,Timing!G$7,Timing!G$8))</f>
        <v>0.06895</v>
      </c>
      <c r="T21" s="40" t="n">
        <f aca="false">$E$18*(CHOOSE($L$18,Timing!I$7,Timing!I$8)-CHOOSE($L$18,Timing!H$7,Timing!H$8))</f>
        <v>0.06895</v>
      </c>
      <c r="U21" s="40" t="n">
        <f aca="false">$E$18*(CHOOSE($L$18,Timing!J$7,Timing!J$8)-CHOOSE($L$18,Timing!I$7,Timing!I$8))</f>
        <v>0.0426833333333333</v>
      </c>
      <c r="V21" s="40" t="n">
        <f aca="false">$E$18*(CHOOSE($L$18,Timing!K$7,Timing!K$8)-CHOOSE($L$18,Timing!J$7,Timing!J$8))</f>
        <v>0.0426833333333333</v>
      </c>
      <c r="W21" s="40" t="n">
        <f aca="false">$E$18*(CHOOSE($L$18,Timing!L$7,Timing!L$8)-CHOOSE($L$18,Timing!K$7,Timing!K$8))</f>
        <v>0.0426833333333333</v>
      </c>
      <c r="X21" s="40" t="n">
        <f aca="false">$E$18*(CHOOSE($L$18,Timing!M$7,Timing!M$8)-CHOOSE($L$18,Timing!L$7,Timing!L$8))</f>
        <v>0.0361166666666666</v>
      </c>
      <c r="Y21" s="40" t="n">
        <f aca="false">$E$18*(CHOOSE($L$18,Timing!N$7,Timing!N$8)-CHOOSE($L$18,Timing!M$7,Timing!M$8))</f>
        <v>0.0361166666666667</v>
      </c>
      <c r="Z21" s="40" t="n">
        <f aca="false">$E$18*(CHOOSE($L$18,Timing!O$7,Timing!O$8)-CHOOSE($L$18,Timing!N$7,Timing!N$8))</f>
        <v>0.0361166666666666</v>
      </c>
      <c r="AA21" s="40" t="n">
        <f aca="false">$E$18*(CHOOSE($L$18,Timing!P$7,Timing!P$8)-CHOOSE($L$18,Timing!O$7,Timing!O$8))</f>
        <v>0.0229833333333333</v>
      </c>
      <c r="AB21" s="40" t="n">
        <f aca="false">$E$18*(CHOOSE($L$18,Timing!Q$7,Timing!Q$8)-CHOOSE($L$18,Timing!P$7,Timing!P$8))</f>
        <v>0.0229833333333333</v>
      </c>
      <c r="AC21" s="40" t="n">
        <f aca="false">$E$18*(CHOOSE($L$18,Timing!R$7,Timing!R$8)-CHOOSE($L$18,Timing!Q$7,Timing!Q$8))</f>
        <v>0.0229833333333334</v>
      </c>
      <c r="AD21" s="40" t="n">
        <f aca="false">$E$18*(CHOOSE($L$18,Timing!S$7,Timing!S$8)-CHOOSE($L$18,Timing!R$7,Timing!R$8))</f>
        <v>0.0229833333333333</v>
      </c>
      <c r="AE21" s="40" t="n">
        <f aca="false">$E$18*(CHOOSE($L$18,Timing!T$7,Timing!T$8)-CHOOSE($L$18,Timing!S$7,Timing!S$8))</f>
        <v>0.0229833333333333</v>
      </c>
      <c r="AF21" s="40" t="n">
        <f aca="false">$E$18*(CHOOSE($L$18,Timing!U$7,Timing!U$8)-CHOOSE($L$18,Timing!T$7,Timing!T$8))</f>
        <v>0.0229833333333333</v>
      </c>
      <c r="AG21" s="40" t="n">
        <f aca="false">$E$18*(CHOOSE($L$18,Timing!V$7,Timing!V$8)-CHOOSE($L$18,Timing!U$7,Timing!U$8))</f>
        <v>0.0164166666666667</v>
      </c>
      <c r="AH21" s="40" t="n">
        <f aca="false">$E$18*(CHOOSE($L$18,Timing!W$7,Timing!W$8)-CHOOSE($L$18,Timing!V$7,Timing!V$8))</f>
        <v>0.0164166666666666</v>
      </c>
      <c r="AI21" s="40" t="n">
        <f aca="false">$E$18*(CHOOSE($L$18,Timing!X$7,Timing!X$8)-CHOOSE($L$18,Timing!W$7,Timing!W$8))</f>
        <v>0.0164166666666666</v>
      </c>
      <c r="AJ21" s="40" t="n">
        <f aca="false">$E$18*(CHOOSE($L$18,Timing!Y$7,Timing!Y$8)-CHOOSE($L$18,Timing!X$7,Timing!X$8))</f>
        <v>0.0164166666666667</v>
      </c>
      <c r="AK21" s="40" t="n">
        <f aca="false">$E$18*(CHOOSE($L$18,Timing!Z$7,Timing!Z$8)-CHOOSE($L$18,Timing!Y$7,Timing!Y$8))</f>
        <v>0.0164166666666667</v>
      </c>
      <c r="AL21" s="40" t="n">
        <f aca="false">$E$18*(CHOOSE($L$18,Timing!AA$7,Timing!AA$8)-CHOOSE($L$18,Timing!Z$7,Timing!Z$8))</f>
        <v>0.0164166666666666</v>
      </c>
    </row>
    <row r="22" customFormat="false" ht="15" hidden="false" customHeight="false" outlineLevel="0" collapsed="false">
      <c r="B22" s="9" t="s">
        <v>186</v>
      </c>
      <c r="N22" s="42" t="n">
        <f aca="false">0</f>
        <v>0</v>
      </c>
      <c r="O22" s="42" t="n">
        <f aca="false">$D$18*(1+IF($C$18&lt;=0,0,MAX($C$18*O$5/12,Inputs!$C$8)))+$I$18*(O$5&gt;Inputs!$C$12)*$D$18*(1+Inputs!$C$11*(O$5-Inputs!$C$12)/12)</f>
        <v>4410</v>
      </c>
      <c r="P22" s="42" t="n">
        <f aca="false">$D$18*(1+IF($C$18&lt;=0,0,MAX($C$18*P$5/12,Inputs!$C$8)))+$I$18*(P$5&gt;Inputs!$C$12)*$D$18*(1+Inputs!$C$11*(P$5-Inputs!$C$12)/12)</f>
        <v>4410</v>
      </c>
      <c r="Q22" s="42" t="n">
        <f aca="false">$D$18*(1+IF($C$18&lt;=0,0,MAX($C$18*Q$5/12,Inputs!$C$8)))+$I$18*(Q$5&gt;Inputs!$C$12)*$D$18*(1+Inputs!$C$11*(Q$5-Inputs!$C$12)/12)</f>
        <v>4410</v>
      </c>
      <c r="R22" s="42" t="n">
        <f aca="false">$D$18*(1+IF($C$18&lt;=0,0,MAX($C$18*R$5/12,Inputs!$C$8)))+$I$18*(R$5&gt;Inputs!$C$12)*$D$18*(1+Inputs!$C$11*(R$5-Inputs!$C$12)/12)</f>
        <v>4410</v>
      </c>
      <c r="S22" s="42" t="n">
        <f aca="false">$D$18*(1+IF($C$18&lt;=0,0,MAX($C$18*S$5/12,Inputs!$C$8)))+$I$18*(S$5&gt;Inputs!$C$12)*$D$18*(1+Inputs!$C$11*(S$5-Inputs!$C$12)/12)</f>
        <v>4410</v>
      </c>
      <c r="T22" s="42" t="n">
        <f aca="false">$D$18*(1+IF($C$18&lt;=0,0,MAX($C$18*T$5/12,Inputs!$C$8)))+$I$18*(T$5&gt;Inputs!$C$12)*$D$18*(1+Inputs!$C$11*(T$5-Inputs!$C$12)/12)</f>
        <v>4410</v>
      </c>
      <c r="U22" s="42" t="n">
        <f aca="false">$D$18*(1+IF($C$18&lt;=0,0,MAX($C$18*U$5/12,Inputs!$C$8)))+$I$18*(U$5&gt;Inputs!$C$12)*$D$18*(1+Inputs!$C$11*(U$5-Inputs!$C$12)/12)</f>
        <v>4410</v>
      </c>
      <c r="V22" s="42" t="n">
        <f aca="false">$D$18*(1+IF($C$18&lt;=0,0,MAX($C$18*V$5/12,Inputs!$C$8)))+$I$18*(V$5&gt;Inputs!$C$12)*$D$18*(1+Inputs!$C$11*(V$5-Inputs!$C$12)/12)</f>
        <v>4410</v>
      </c>
      <c r="W22" s="42" t="n">
        <f aca="false">$D$18*(1+IF($C$18&lt;=0,0,MAX($C$18*W$5/12,Inputs!$C$8)))+$I$18*(W$5&gt;Inputs!$C$12)*$D$18*(1+Inputs!$C$11*(W$5-Inputs!$C$12)/12)</f>
        <v>4410</v>
      </c>
      <c r="X22" s="42" t="n">
        <f aca="false">$D$18*(1+IF($C$18&lt;=0,0,MAX($C$18*X$5/12,Inputs!$C$8)))+$I$18*(X$5&gt;Inputs!$C$12)*$D$18*(1+Inputs!$C$11*(X$5-Inputs!$C$12)/12)</f>
        <v>4410</v>
      </c>
      <c r="Y22" s="42" t="n">
        <f aca="false">$D$18*(1+IF($C$18&lt;=0,0,MAX($C$18*Y$5/12,Inputs!$C$8)))+$I$18*(Y$5&gt;Inputs!$C$12)*$D$18*(1+Inputs!$C$11*(Y$5-Inputs!$C$12)/12)</f>
        <v>4410</v>
      </c>
      <c r="Z22" s="42" t="n">
        <f aca="false">$D$18*(1+IF($C$18&lt;=0,0,MAX($C$18*Z$5/12,Inputs!$C$8)))+$I$18*(Z$5&gt;Inputs!$C$12)*$D$18*(1+Inputs!$C$11*(Z$5-Inputs!$C$12)/12)</f>
        <v>4410</v>
      </c>
      <c r="AA22" s="42" t="n">
        <f aca="false">$D$18*(1+IF($C$18&lt;=0,0,MAX($C$18*AA$5/12,Inputs!$C$8)))+$I$18*(AA$5&gt;Inputs!$C$12)*$D$18*(1+Inputs!$C$11*(AA$5-Inputs!$C$12)/12)</f>
        <v>8673</v>
      </c>
      <c r="AB22" s="42" t="n">
        <f aca="false">$D$18*(1+IF($C$18&lt;=0,0,MAX($C$18*AB$5/12,Inputs!$C$8)))+$I$18*(AB$5&gt;Inputs!$C$12)*$D$18*(1+Inputs!$C$11*(AB$5-Inputs!$C$12)/12)</f>
        <v>8736</v>
      </c>
      <c r="AC22" s="42" t="n">
        <f aca="false">$D$18*(1+IF($C$18&lt;=0,0,MAX($C$18*AC$5/12,Inputs!$C$8)))+$I$18*(AC$5&gt;Inputs!$C$12)*$D$18*(1+Inputs!$C$11*(AC$5-Inputs!$C$12)/12)</f>
        <v>8799</v>
      </c>
      <c r="AD22" s="42" t="n">
        <f aca="false">$D$18*(1+IF($C$18&lt;=0,0,MAX($C$18*AD$5/12,Inputs!$C$8)))+$I$18*(AD$5&gt;Inputs!$C$12)*$D$18*(1+Inputs!$C$11*(AD$5-Inputs!$C$12)/12)</f>
        <v>8862</v>
      </c>
      <c r="AE22" s="42" t="n">
        <f aca="false">$D$18*(1+IF($C$18&lt;=0,0,MAX($C$18*AE$5/12,Inputs!$C$8)))+$I$18*(AE$5&gt;Inputs!$C$12)*$D$18*(1+Inputs!$C$11*(AE$5-Inputs!$C$12)/12)</f>
        <v>8925</v>
      </c>
      <c r="AF22" s="42" t="n">
        <f aca="false">$D$18*(1+IF($C$18&lt;=0,0,MAX($C$18*AF$5/12,Inputs!$C$8)))+$I$18*(AF$5&gt;Inputs!$C$12)*$D$18*(1+Inputs!$C$11*(AF$5-Inputs!$C$12)/12)</f>
        <v>8988</v>
      </c>
      <c r="AG22" s="42" t="n">
        <f aca="false">$D$18*(1+IF($C$18&lt;=0,0,MAX($C$18*AG$5/12,Inputs!$C$8)))+$I$18*(AG$5&gt;Inputs!$C$12)*$D$18*(1+Inputs!$C$11*(AG$5-Inputs!$C$12)/12)</f>
        <v>9051</v>
      </c>
      <c r="AH22" s="42" t="n">
        <f aca="false">$D$18*(1+IF($C$18&lt;=0,0,MAX($C$18*AH$5/12,Inputs!$C$8)))+$I$18*(AH$5&gt;Inputs!$C$12)*$D$18*(1+Inputs!$C$11*(AH$5-Inputs!$C$12)/12)</f>
        <v>9114</v>
      </c>
      <c r="AI22" s="42" t="n">
        <f aca="false">$D$18*(1+IF($C$18&lt;=0,0,MAX($C$18*AI$5/12,Inputs!$C$8)))+$I$18*(AI$5&gt;Inputs!$C$12)*$D$18*(1+Inputs!$C$11*(AI$5-Inputs!$C$12)/12)</f>
        <v>9177</v>
      </c>
      <c r="AJ22" s="42" t="n">
        <f aca="false">$D$18*(1+IF($C$18&lt;=0,0,MAX($C$18*AJ$5/12,Inputs!$C$8)))+$I$18*(AJ$5&gt;Inputs!$C$12)*$D$18*(1+Inputs!$C$11*(AJ$5-Inputs!$C$12)/12)</f>
        <v>9240</v>
      </c>
      <c r="AK22" s="42" t="n">
        <f aca="false">$D$18*(1+IF($C$18&lt;=0,0,MAX($C$18*AK$5/12,Inputs!$C$8)))+$I$18*(AK$5&gt;Inputs!$C$12)*$D$18*(1+Inputs!$C$11*(AK$5-Inputs!$C$12)/12)</f>
        <v>9303</v>
      </c>
      <c r="AL22" s="42" t="n">
        <f aca="false">$D$18*(1+IF($C$18&lt;=0,0,MAX($C$18*AL$5/12,Inputs!$C$8)))+$I$18*(AL$5&gt;Inputs!$C$12)*$D$18*(1+Inputs!$C$11*(AL$5-Inputs!$C$12)/12)</f>
        <v>9366</v>
      </c>
    </row>
    <row r="23" customFormat="false" ht="15" hidden="false" customHeight="false" outlineLevel="0" collapsed="false">
      <c r="B23" s="31" t="s">
        <v>187</v>
      </c>
      <c r="N23" s="42" t="n">
        <f aca="false">-($D$18+$J$18)*(N$5=0)+IF(AND(N$5-$K$18&gt;=1,N$5-$K$18&lt;=Inputs!$C$13),INDEX($N$21:$AL$21,1,N$5-$K$18+1)*INDEX($N$22:$AL$22,1,N$5-$K$18+1),0)-$I$18*((N$5=Inputs!$C$12)*$C$20*$D$18+(N$5=Inputs!$C$13)*$D$20*($D$18+Inputs!$C$14))+$I$18*((N$5=Inputs!$C$15+$K$18)*$E$20*$I$20+(N$5=Inputs!$C$16+$K$18)*$F$20*$J$20+(N$5=Inputs!$C$17)*$G$20*$H$18*$H$20)</f>
        <v>-4210</v>
      </c>
      <c r="O23" s="42" t="n">
        <f aca="false">-($D$18+$J$18)*(O$5=0)+IF(AND(O$5-$K$18&gt;=1,O$5-$K$18&lt;=Inputs!$C$13),INDEX($N$21:$AL$21,1,O$5-$K$18+1)*INDEX($N$22:$AL$22,1,O$5-$K$18+1),0)-$I$18*((O$5=Inputs!$C$12)*$C$20*$D$18+(O$5=Inputs!$C$13)*$D$20*($D$18+Inputs!$C$14))+$I$18*((O$5=Inputs!$C$15+$K$18)*$E$20*$I$20+(O$5=Inputs!$C$16+$K$18)*$F$20*$J$20+(O$5=Inputs!$C$17)*$G$20*$H$18*$H$20)</f>
        <v>0</v>
      </c>
      <c r="P23" s="42" t="n">
        <f aca="false">-($D$18+$J$18)*(P$5=0)+IF(AND(P$5-$K$18&gt;=1,P$5-$K$18&lt;=Inputs!$C$13),INDEX($N$21:$AL$21,1,P$5-$K$18+1)*INDEX($N$22:$AL$22,1,P$5-$K$18+1),0)-$I$18*((P$5=Inputs!$C$12)*$C$20*$D$18+(P$5=Inputs!$C$13)*$D$20*($D$18+Inputs!$C$14))+$I$18*((P$5=Inputs!$C$15+$K$18)*$E$20*$I$20+(P$5=Inputs!$C$16+$K$18)*$F$20*$J$20+(P$5=Inputs!$C$17)*$G$20*$H$18*$H$20)</f>
        <v>521.262</v>
      </c>
      <c r="Q23" s="42" t="n">
        <f aca="false">-($D$18+$J$18)*(Q$5=0)+IF(AND(Q$5-$K$18&gt;=1,Q$5-$K$18&lt;=Inputs!$C$13),INDEX($N$21:$AL$21,1,Q$5-$K$18+1)*INDEX($N$22:$AL$22,1,Q$5-$K$18+1),0)-$I$18*((Q$5=Inputs!$C$12)*$C$20*$D$18+(Q$5=Inputs!$C$13)*$D$20*($D$18+Inputs!$C$14))+$I$18*((Q$5=Inputs!$C$15+$K$18)*$E$20*$I$20+(Q$5=Inputs!$C$16+$K$18)*$F$20*$J$20+(Q$5=Inputs!$C$17)*$G$20*$H$18*$H$20)</f>
        <v>434.385</v>
      </c>
      <c r="R23" s="42" t="n">
        <f aca="false">-($D$18+$J$18)*(R$5=0)+IF(AND(R$5-$K$18&gt;=1,R$5-$K$18&lt;=Inputs!$C$13),INDEX($N$21:$AL$21,1,R$5-$K$18+1)*INDEX($N$22:$AL$22,1,R$5-$K$18+1),0)-$I$18*((R$5=Inputs!$C$12)*$C$20*$D$18+(R$5=Inputs!$C$13)*$D$20*($D$18+Inputs!$C$14))+$I$18*((R$5=Inputs!$C$15+$K$18)*$E$20*$I$20+(R$5=Inputs!$C$16+$K$18)*$F$20*$J$20+(R$5=Inputs!$C$17)*$G$20*$H$18*$H$20)</f>
        <v>390.9465</v>
      </c>
      <c r="S23" s="42" t="n">
        <f aca="false">-($D$18+$J$18)*(S$5=0)+IF(AND(S$5-$K$18&gt;=1,S$5-$K$18&lt;=Inputs!$C$13),INDEX($N$21:$AL$21,1,S$5-$K$18+1)*INDEX($N$22:$AL$22,1,S$5-$K$18+1),0)-$I$18*((S$5=Inputs!$C$12)*$C$20*$D$18+(S$5=Inputs!$C$13)*$D$20*($D$18+Inputs!$C$14))+$I$18*((S$5=Inputs!$C$15+$K$18)*$E$20*$I$20+(S$5=Inputs!$C$16+$K$18)*$F$20*$J$20+(S$5=Inputs!$C$17)*$G$20*$H$18*$H$20)</f>
        <v>304.0695</v>
      </c>
      <c r="T23" s="42" t="n">
        <f aca="false">-($D$18+$J$18)*(T$5=0)+IF(AND(T$5-$K$18&gt;=1,T$5-$K$18&lt;=Inputs!$C$13),INDEX($N$21:$AL$21,1,T$5-$K$18+1)*INDEX($N$22:$AL$22,1,T$5-$K$18+1),0)-$I$18*((T$5=Inputs!$C$12)*$C$20*$D$18+(T$5=Inputs!$C$13)*$D$20*($D$18+Inputs!$C$14))+$I$18*((T$5=Inputs!$C$15+$K$18)*$E$20*$I$20+(T$5=Inputs!$C$16+$K$18)*$F$20*$J$20+(T$5=Inputs!$C$17)*$G$20*$H$18*$H$20)</f>
        <v>304.0695</v>
      </c>
      <c r="U23" s="42" t="n">
        <f aca="false">-($D$18+$J$18)*(U$5=0)+IF(AND(U$5-$K$18&gt;=1,U$5-$K$18&lt;=Inputs!$C$13),INDEX($N$21:$AL$21,1,U$5-$K$18+1)*INDEX($N$22:$AL$22,1,U$5-$K$18+1),0)-$I$18*((U$5=Inputs!$C$12)*$C$20*$D$18+(U$5=Inputs!$C$13)*$D$20*($D$18+Inputs!$C$14))+$I$18*((U$5=Inputs!$C$15+$K$18)*$E$20*$I$20+(U$5=Inputs!$C$16+$K$18)*$F$20*$J$20+(U$5=Inputs!$C$17)*$G$20*$H$18*$H$20)</f>
        <v>304.0695</v>
      </c>
      <c r="V23" s="42" t="n">
        <f aca="false">-($D$18+$J$18)*(V$5=0)+IF(AND(V$5-$K$18&gt;=1,V$5-$K$18&lt;=Inputs!$C$13),INDEX($N$21:$AL$21,1,V$5-$K$18+1)*INDEX($N$22:$AL$22,1,V$5-$K$18+1),0)-$I$18*((V$5=Inputs!$C$12)*$C$20*$D$18+(V$5=Inputs!$C$13)*$D$20*($D$18+Inputs!$C$14))+$I$18*((V$5=Inputs!$C$15+$K$18)*$E$20*$I$20+(V$5=Inputs!$C$16+$K$18)*$F$20*$J$20+(V$5=Inputs!$C$17)*$G$20*$H$18*$H$20)</f>
        <v>188.2335</v>
      </c>
      <c r="W23" s="42" t="n">
        <f aca="false">-($D$18+$J$18)*(W$5=0)+IF(AND(W$5-$K$18&gt;=1,W$5-$K$18&lt;=Inputs!$C$13),INDEX($N$21:$AL$21,1,W$5-$K$18+1)*INDEX($N$22:$AL$22,1,W$5-$K$18+1),0)-$I$18*((W$5=Inputs!$C$12)*$C$20*$D$18+(W$5=Inputs!$C$13)*$D$20*($D$18+Inputs!$C$14))+$I$18*((W$5=Inputs!$C$15+$K$18)*$E$20*$I$20+(W$5=Inputs!$C$16+$K$18)*$F$20*$J$20+(W$5=Inputs!$C$17)*$G$20*$H$18*$H$20)</f>
        <v>188.2335</v>
      </c>
      <c r="X23" s="42" t="n">
        <f aca="false">-($D$18+$J$18)*(X$5=0)+IF(AND(X$5-$K$18&gt;=1,X$5-$K$18&lt;=Inputs!$C$13),INDEX($N$21:$AL$21,1,X$5-$K$18+1)*INDEX($N$22:$AL$22,1,X$5-$K$18+1),0)-$I$18*((X$5=Inputs!$C$12)*$C$20*$D$18+(X$5=Inputs!$C$13)*$D$20*($D$18+Inputs!$C$14))+$I$18*((X$5=Inputs!$C$15+$K$18)*$E$20*$I$20+(X$5=Inputs!$C$16+$K$18)*$F$20*$J$20+(X$5=Inputs!$C$17)*$G$20*$H$18*$H$20)</f>
        <v>188.2335</v>
      </c>
      <c r="Y23" s="42" t="n">
        <f aca="false">-($D$18+$J$18)*(Y$5=0)+IF(AND(Y$5-$K$18&gt;=1,Y$5-$K$18&lt;=Inputs!$C$13),INDEX($N$21:$AL$21,1,Y$5-$K$18+1)*INDEX($N$22:$AL$22,1,Y$5-$K$18+1),0)-$I$18*((Y$5=Inputs!$C$12)*$C$20*$D$18+(Y$5=Inputs!$C$13)*$D$20*($D$18+Inputs!$C$14))+$I$18*((Y$5=Inputs!$C$15+$K$18)*$E$20*$I$20+(Y$5=Inputs!$C$16+$K$18)*$F$20*$J$20+(Y$5=Inputs!$C$17)*$G$20*$H$18*$H$20)</f>
        <v>159.2745</v>
      </c>
      <c r="Z23" s="42" t="n">
        <f aca="false">-($D$18+$J$18)*(Z$5=0)+IF(AND(Z$5-$K$18&gt;=1,Z$5-$K$18&lt;=Inputs!$C$13),INDEX($N$21:$AL$21,1,Z$5-$K$18+1)*INDEX($N$22:$AL$22,1,Z$5-$K$18+1),0)-$I$18*((Z$5=Inputs!$C$12)*$C$20*$D$18+(Z$5=Inputs!$C$13)*$D$20*($D$18+Inputs!$C$14))+$I$18*((Z$5=Inputs!$C$15+$K$18)*$E$20*$I$20+(Z$5=Inputs!$C$16+$K$18)*$F$20*$J$20+(Z$5=Inputs!$C$17)*$G$20*$H$18*$H$20)</f>
        <v>-896.6055</v>
      </c>
      <c r="AA23" s="42" t="n">
        <f aca="false">-($D$18+$J$18)*(AA$5=0)+IF(AND(AA$5-$K$18&gt;=1,AA$5-$K$18&lt;=Inputs!$C$13),INDEX($N$21:$AL$21,1,AA$5-$K$18+1)*INDEX($N$22:$AL$22,1,AA$5-$K$18+1),0)-$I$18*((AA$5=Inputs!$C$12)*$C$20*$D$18+(AA$5=Inputs!$C$13)*$D$20*($D$18+Inputs!$C$14))+$I$18*((AA$5=Inputs!$C$15+$K$18)*$E$20*$I$20+(AA$5=Inputs!$C$16+$K$18)*$F$20*$J$20+(AA$5=Inputs!$C$17)*$G$20*$H$18*$H$20)</f>
        <v>159.2745</v>
      </c>
      <c r="AB23" s="42" t="n">
        <f aca="false">-($D$18+$J$18)*(AB$5=0)+IF(AND(AB$5-$K$18&gt;=1,AB$5-$K$18&lt;=Inputs!$C$13),INDEX($N$21:$AL$21,1,AB$5-$K$18+1)*INDEX($N$22:$AL$22,1,AB$5-$K$18+1),0)-$I$18*((AB$5=Inputs!$C$12)*$C$20*$D$18+(AB$5=Inputs!$C$13)*$D$20*($D$18+Inputs!$C$14))+$I$18*((AB$5=Inputs!$C$15+$K$18)*$E$20*$I$20+(AB$5=Inputs!$C$16+$K$18)*$F$20*$J$20+(AB$5=Inputs!$C$17)*$G$20*$H$18*$H$20)</f>
        <v>199.33445</v>
      </c>
      <c r="AC23" s="42" t="n">
        <f aca="false">-($D$18+$J$18)*(AC$5=0)+IF(AND(AC$5-$K$18&gt;=1,AC$5-$K$18&lt;=Inputs!$C$13),INDEX($N$21:$AL$21,1,AC$5-$K$18+1)*INDEX($N$22:$AL$22,1,AC$5-$K$18+1),0)-$I$18*((AC$5=Inputs!$C$12)*$C$20*$D$18+(AC$5=Inputs!$C$13)*$D$20*($D$18+Inputs!$C$14))+$I$18*((AC$5=Inputs!$C$15+$K$18)*$E$20*$I$20+(AC$5=Inputs!$C$16+$K$18)*$F$20*$J$20+(AC$5=Inputs!$C$17)*$G$20*$H$18*$H$20)</f>
        <v>200.7824</v>
      </c>
      <c r="AD23" s="42" t="n">
        <f aca="false">-($D$18+$J$18)*(AD$5=0)+IF(AND(AD$5-$K$18&gt;=1,AD$5-$K$18&lt;=Inputs!$C$13),INDEX($N$21:$AL$21,1,AD$5-$K$18+1)*INDEX($N$22:$AL$22,1,AD$5-$K$18+1),0)-$I$18*((AD$5=Inputs!$C$12)*$C$20*$D$18+(AD$5=Inputs!$C$13)*$D$20*($D$18+Inputs!$C$14))+$I$18*((AD$5=Inputs!$C$15+$K$18)*$E$20*$I$20+(AD$5=Inputs!$C$16+$K$18)*$F$20*$J$20+(AD$5=Inputs!$C$17)*$G$20*$H$18*$H$20)</f>
        <v>202.230350000001</v>
      </c>
      <c r="AE23" s="42" t="n">
        <f aca="false">-($D$18+$J$18)*(AE$5=0)+IF(AND(AE$5-$K$18&gt;=1,AE$5-$K$18&lt;=Inputs!$C$13),INDEX($N$21:$AL$21,1,AE$5-$K$18+1)*INDEX($N$22:$AL$22,1,AE$5-$K$18+1),0)-$I$18*((AE$5=Inputs!$C$12)*$C$20*$D$18+(AE$5=Inputs!$C$13)*$D$20*($D$18+Inputs!$C$14))+$I$18*((AE$5=Inputs!$C$15+$K$18)*$E$20*$I$20+(AE$5=Inputs!$C$16+$K$18)*$F$20*$J$20+(AE$5=Inputs!$C$17)*$G$20*$H$18*$H$20)</f>
        <v>203.6783</v>
      </c>
      <c r="AF23" s="42" t="n">
        <f aca="false">-($D$18+$J$18)*(AF$5=0)+IF(AND(AF$5-$K$18&gt;=1,AF$5-$K$18&lt;=Inputs!$C$13),INDEX($N$21:$AL$21,1,AF$5-$K$18+1)*INDEX($N$22:$AL$22,1,AF$5-$K$18+1),0)-$I$18*((AF$5=Inputs!$C$12)*$C$20*$D$18+(AF$5=Inputs!$C$13)*$D$20*($D$18+Inputs!$C$14))+$I$18*((AF$5=Inputs!$C$15+$K$18)*$E$20*$I$20+(AF$5=Inputs!$C$16+$K$18)*$F$20*$J$20+(AF$5=Inputs!$C$17)*$G$20*$H$18*$H$20)</f>
        <v>205.12625</v>
      </c>
      <c r="AG23" s="42" t="n">
        <f aca="false">-($D$18+$J$18)*(AG$5=0)+IF(AND(AG$5-$K$18&gt;=1,AG$5-$K$18&lt;=Inputs!$C$13),INDEX($N$21:$AL$21,1,AG$5-$K$18+1)*INDEX($N$22:$AL$22,1,AG$5-$K$18+1),0)-$I$18*((AG$5=Inputs!$C$12)*$C$20*$D$18+(AG$5=Inputs!$C$13)*$D$20*($D$18+Inputs!$C$14))+$I$18*((AG$5=Inputs!$C$15+$K$18)*$E$20*$I$20+(AG$5=Inputs!$C$16+$K$18)*$F$20*$J$20+(AG$5=Inputs!$C$17)*$G$20*$H$18*$H$20)</f>
        <v>206.5742</v>
      </c>
      <c r="AH23" s="42" t="n">
        <f aca="false">-($D$18+$J$18)*(AH$5=0)+IF(AND(AH$5-$K$18&gt;=1,AH$5-$K$18&lt;=Inputs!$C$13),INDEX($N$21:$AL$21,1,AH$5-$K$18+1)*INDEX($N$22:$AL$22,1,AH$5-$K$18+1),0)-$I$18*((AH$5=Inputs!$C$12)*$C$20*$D$18+(AH$5=Inputs!$C$13)*$D$20*($D$18+Inputs!$C$14))+$I$18*((AH$5=Inputs!$C$15+$K$18)*$E$20*$I$20+(AH$5=Inputs!$C$16+$K$18)*$F$20*$J$20+(AH$5=Inputs!$C$17)*$G$20*$H$18*$H$20)</f>
        <v>148.58725</v>
      </c>
      <c r="AI23" s="42" t="n">
        <f aca="false">-($D$18+$J$18)*(AI$5=0)+IF(AND(AI$5-$K$18&gt;=1,AI$5-$K$18&lt;=Inputs!$C$13),INDEX($N$21:$AL$21,1,AI$5-$K$18+1)*INDEX($N$22:$AL$22,1,AI$5-$K$18+1),0)-$I$18*((AI$5=Inputs!$C$12)*$C$20*$D$18+(AI$5=Inputs!$C$13)*$D$20*($D$18+Inputs!$C$14))+$I$18*((AI$5=Inputs!$C$15+$K$18)*$E$20*$I$20+(AI$5=Inputs!$C$16+$K$18)*$F$20*$J$20+(AI$5=Inputs!$C$17)*$G$20*$H$18*$H$20)</f>
        <v>149.621499999999</v>
      </c>
      <c r="AJ23" s="42" t="n">
        <f aca="false">-($D$18+$J$18)*(AJ$5=0)+IF(AND(AJ$5-$K$18&gt;=1,AJ$5-$K$18&lt;=Inputs!$C$13),INDEX($N$21:$AL$21,1,AJ$5-$K$18+1)*INDEX($N$22:$AL$22,1,AJ$5-$K$18+1),0)-$I$18*((AJ$5=Inputs!$C$12)*$C$20*$D$18+(AJ$5=Inputs!$C$13)*$D$20*($D$18+Inputs!$C$14))+$I$18*((AJ$5=Inputs!$C$15+$K$18)*$E$20*$I$20+(AJ$5=Inputs!$C$16+$K$18)*$F$20*$J$20+(AJ$5=Inputs!$C$17)*$G$20*$H$18*$H$20)</f>
        <v>150.655749999999</v>
      </c>
      <c r="AK23" s="42" t="n">
        <f aca="false">-($D$18+$J$18)*(AK$5=0)+IF(AND(AK$5-$K$18&gt;=1,AK$5-$K$18&lt;=Inputs!$C$13),INDEX($N$21:$AL$21,1,AK$5-$K$18+1)*INDEX($N$22:$AL$22,1,AK$5-$K$18+1),0)-$I$18*((AK$5=Inputs!$C$12)*$C$20*$D$18+(AK$5=Inputs!$C$13)*$D$20*($D$18+Inputs!$C$14))+$I$18*((AK$5=Inputs!$C$15+$K$18)*$E$20*$I$20+(AK$5=Inputs!$C$16+$K$18)*$F$20*$J$20+(AK$5=Inputs!$C$17)*$G$20*$H$18*$H$20)</f>
        <v>151.69</v>
      </c>
      <c r="AL23" s="42" t="n">
        <f aca="false">-($D$18+$J$18)*(AL$5=0)+IF(AND(AL$5-$K$18&gt;=1,AL$5-$K$18&lt;=Inputs!$C$13),INDEX($N$21:$AL$21,1,AL$5-$K$18+1)*INDEX($N$22:$AL$22,1,AL$5-$K$18+1),0)-$I$18*((AL$5=Inputs!$C$12)*$C$20*$D$18+(AL$5=Inputs!$C$13)*$D$20*($D$18+Inputs!$C$14))+$I$18*((AL$5=Inputs!$C$15+$K$18)*$E$20*$I$20+(AL$5=Inputs!$C$16+$K$18)*$F$20*$J$20+(AL$5=Inputs!$C$17)*$G$20*$H$18*$H$20)</f>
        <v>62.7242500000004</v>
      </c>
      <c r="AM23" s="42" t="n">
        <f aca="false">-($D$18+$J$18)*(AM$5=0)+IF(AND(AM$5-$K$18&gt;=1,AM$5-$K$18&lt;=Inputs!$C$13),INDEX($N$21:$AL$21,1,AM$5-$K$18+1)*INDEX($N$22:$AL$22,1,AM$5-$K$18+1),0)-$I$18*((AM$5=Inputs!$C$12)*$C$20*$D$18+(AM$5=Inputs!$C$13)*$D$20*($D$18+Inputs!$C$14))+$I$18*((AM$5=Inputs!$C$15+$K$18)*$E$20*$I$20+(AM$5=Inputs!$C$16+$K$18)*$F$20*$J$20+(AM$5=Inputs!$C$17)*$G$20*$H$18*$H$20)</f>
        <v>153.758499999999</v>
      </c>
      <c r="AN23" s="42" t="n">
        <f aca="false">-($D$18+$J$18)*(AN$5=0)+IF(AND(AN$5-$K$18&gt;=1,AN$5-$K$18&lt;=Inputs!$C$13),INDEX($N$21:$AL$21,1,AN$5-$K$18+1)*INDEX($N$22:$AL$22,1,AN$5-$K$18+1),0)-$I$18*((AN$5=Inputs!$C$12)*$C$20*$D$18+(AN$5=Inputs!$C$13)*$D$20*($D$18+Inputs!$C$14))+$I$18*((AN$5=Inputs!$C$15+$K$18)*$E$20*$I$20+(AN$5=Inputs!$C$16+$K$18)*$F$20*$J$20+(AN$5=Inputs!$C$17)*$G$20*$H$18*$H$20)</f>
        <v>0</v>
      </c>
      <c r="AO23" s="42" t="n">
        <f aca="false">-($D$18+$J$18)*(AO$5=0)+IF(AND(AO$5-$K$18&gt;=1,AO$5-$K$18&lt;=Inputs!$C$13),INDEX($N$21:$AL$21,1,AO$5-$K$18+1)*INDEX($N$22:$AL$22,1,AO$5-$K$18+1),0)-$I$18*((AO$5=Inputs!$C$12)*$C$20*$D$18+(AO$5=Inputs!$C$13)*$D$20*($D$18+Inputs!$C$14))+$I$18*((AO$5=Inputs!$C$15+$K$18)*$E$20*$I$20+(AO$5=Inputs!$C$16+$K$18)*$F$20*$J$20+(AO$5=Inputs!$C$17)*$G$20*$H$18*$H$20)</f>
        <v>0</v>
      </c>
      <c r="AP23" s="42" t="n">
        <f aca="false">-($D$18+$J$18)*(AP$5=0)+IF(AND(AP$5-$K$18&gt;=1,AP$5-$K$18&lt;=Inputs!$C$13),INDEX($N$21:$AL$21,1,AP$5-$K$18+1)*INDEX($N$22:$AL$22,1,AP$5-$K$18+1),0)-$I$18*((AP$5=Inputs!$C$12)*$C$20*$D$18+(AP$5=Inputs!$C$13)*$D$20*($D$18+Inputs!$C$14))+$I$18*((AP$5=Inputs!$C$15+$K$18)*$E$20*$I$20+(AP$5=Inputs!$C$16+$K$18)*$F$20*$J$20+(AP$5=Inputs!$C$17)*$G$20*$H$18*$H$20)</f>
        <v>188.928</v>
      </c>
      <c r="AQ23" s="42" t="n">
        <f aca="false">-($D$18+$J$18)*(AQ$5=0)+IF(AND(AQ$5-$K$18&gt;=1,AQ$5-$K$18&lt;=Inputs!$C$13),INDEX($N$21:$AL$21,1,AQ$5-$K$18+1)*INDEX($N$22:$AL$22,1,AQ$5-$K$18+1),0)-$I$18*((AQ$5=Inputs!$C$12)*$C$20*$D$18+(AQ$5=Inputs!$C$13)*$D$20*($D$18+Inputs!$C$14))+$I$18*((AQ$5=Inputs!$C$15+$K$18)*$E$20*$I$20+(AQ$5=Inputs!$C$16+$K$18)*$F$20*$J$20+(AQ$5=Inputs!$C$17)*$G$20*$H$18*$H$20)</f>
        <v>0</v>
      </c>
      <c r="AR23" s="42" t="n">
        <f aca="false">-($D$18+$J$18)*(AR$5=0)+IF(AND(AR$5-$K$18&gt;=1,AR$5-$K$18&lt;=Inputs!$C$13),INDEX($N$21:$AL$21,1,AR$5-$K$18+1)*INDEX($N$22:$AL$22,1,AR$5-$K$18+1),0)-$I$18*((AR$5=Inputs!$C$12)*$C$20*$D$18+(AR$5=Inputs!$C$13)*$D$20*($D$18+Inputs!$C$14))+$I$18*((AR$5=Inputs!$C$15+$K$18)*$E$20*$I$20+(AR$5=Inputs!$C$16+$K$18)*$F$20*$J$20+(AR$5=Inputs!$C$17)*$G$20*$H$18*$H$20)</f>
        <v>0</v>
      </c>
      <c r="AS23" s="42" t="n">
        <f aca="false">-($D$18+$J$18)*(AS$5=0)+IF(AND(AS$5-$K$18&gt;=1,AS$5-$K$18&lt;=Inputs!$C$13),INDEX($N$21:$AL$21,1,AS$5-$K$18+1)*INDEX($N$22:$AL$22,1,AS$5-$K$18+1),0)-$I$18*((AS$5=Inputs!$C$12)*$C$20*$D$18+(AS$5=Inputs!$C$13)*$D$20*($D$18+Inputs!$C$14))+$I$18*((AS$5=Inputs!$C$15+$K$18)*$E$20*$I$20+(AS$5=Inputs!$C$16+$K$18)*$F$20*$J$20+(AS$5=Inputs!$C$17)*$G$20*$H$18*$H$20)</f>
        <v>45.9477</v>
      </c>
      <c r="AT23" s="42" t="n">
        <f aca="false">-($D$18+$J$18)*(AT$5=0)+IF(AND(AT$5-$K$18&gt;=1,AT$5-$K$18&lt;=Inputs!$C$13),INDEX($N$21:$AL$21,1,AT$5-$K$18+1)*INDEX($N$22:$AL$22,1,AT$5-$K$18+1),0)-$I$18*((AT$5=Inputs!$C$12)*$C$20*$D$18+(AT$5=Inputs!$C$13)*$D$20*($D$18+Inputs!$C$14))+$I$18*((AT$5=Inputs!$C$15+$K$18)*$E$20*$I$20+(AT$5=Inputs!$C$16+$K$18)*$F$20*$J$20+(AT$5=Inputs!$C$17)*$G$20*$H$18*$H$20)</f>
        <v>0</v>
      </c>
      <c r="AU23" s="42" t="n">
        <f aca="false">-($D$18+$J$18)*(AU$5=0)+IF(AND(AU$5-$K$18&gt;=1,AU$5-$K$18&lt;=Inputs!$C$13),INDEX($N$21:$AL$21,1,AU$5-$K$18+1)*INDEX($N$22:$AL$22,1,AU$5-$K$18+1),0)-$I$18*((AU$5=Inputs!$C$12)*$C$20*$D$18+(AU$5=Inputs!$C$13)*$D$20*($D$18+Inputs!$C$14))+$I$18*((AU$5=Inputs!$C$15+$K$18)*$E$20*$I$20+(AU$5=Inputs!$C$16+$K$18)*$F$20*$J$20+(AU$5=Inputs!$C$17)*$G$20*$H$18*$H$20)</f>
        <v>0</v>
      </c>
      <c r="AV23" s="42" t="n">
        <f aca="false">-($D$18+$J$18)*(AV$5=0)+IF(AND(AV$5-$K$18&gt;=1,AV$5-$K$18&lt;=Inputs!$C$13),INDEX($N$21:$AL$21,1,AV$5-$K$18+1)*INDEX($N$22:$AL$22,1,AV$5-$K$18+1),0)-$I$18*((AV$5=Inputs!$C$12)*$C$20*$D$18+(AV$5=Inputs!$C$13)*$D$20*($D$18+Inputs!$C$14))+$I$18*((AV$5=Inputs!$C$15+$K$18)*$E$20*$I$20+(AV$5=Inputs!$C$16+$K$18)*$F$20*$J$20+(AV$5=Inputs!$C$17)*$G$20*$H$18*$H$20)</f>
        <v>0</v>
      </c>
      <c r="AW23" s="42" t="n">
        <f aca="false">-($D$18+$J$18)*(AW$5=0)+IF(AND(AW$5-$K$18&gt;=1,AW$5-$K$18&lt;=Inputs!$C$13),INDEX($N$21:$AL$21,1,AW$5-$K$18+1)*INDEX($N$22:$AL$22,1,AW$5-$K$18+1),0)-$I$18*((AW$5=Inputs!$C$12)*$C$20*$D$18+(AW$5=Inputs!$C$13)*$D$20*($D$18+Inputs!$C$14))+$I$18*((AW$5=Inputs!$C$15+$K$18)*$E$20*$I$20+(AW$5=Inputs!$C$16+$K$18)*$F$20*$J$20+(AW$5=Inputs!$C$17)*$G$20*$H$18*$H$20)</f>
        <v>0</v>
      </c>
      <c r="AX23" s="42" t="n">
        <f aca="false">-($D$18+$J$18)*(AX$5=0)+IF(AND(AX$5-$K$18&gt;=1,AX$5-$K$18&lt;=Inputs!$C$13),INDEX($N$21:$AL$21,1,AX$5-$K$18+1)*INDEX($N$22:$AL$22,1,AX$5-$K$18+1),0)-$I$18*((AX$5=Inputs!$C$12)*$C$20*$D$18+(AX$5=Inputs!$C$13)*$D$20*($D$18+Inputs!$C$14))+$I$18*((AX$5=Inputs!$C$15+$K$18)*$E$20*$I$20+(AX$5=Inputs!$C$16+$K$18)*$F$20*$J$20+(AX$5=Inputs!$C$17)*$G$20*$H$18*$H$20)</f>
        <v>1.94400000000001</v>
      </c>
      <c r="AY23" s="42" t="n">
        <f aca="false">-($D$18+$J$18)*(AY$5=0)+IF(AND(AY$5-$K$18&gt;=1,AY$5-$K$18&lt;=Inputs!$C$13),INDEX($N$21:$AL$21,1,AY$5-$K$18+1)*INDEX($N$22:$AL$22,1,AY$5-$K$18+1),0)-$I$18*((AY$5=Inputs!$C$12)*$C$20*$D$18+(AY$5=Inputs!$C$13)*$D$20*($D$18+Inputs!$C$14))+$I$18*((AY$5=Inputs!$C$15+$K$18)*$E$20*$I$20+(AY$5=Inputs!$C$16+$K$18)*$F$20*$J$20+(AY$5=Inputs!$C$17)*$G$20*$H$18*$H$20)</f>
        <v>0</v>
      </c>
    </row>
    <row r="25" customFormat="false" ht="15" hidden="false" customHeight="false" outlineLevel="0" collapsed="false">
      <c r="B25" s="7" t="s">
        <v>189</v>
      </c>
      <c r="C25" s="8"/>
      <c r="D25" s="8"/>
      <c r="E25" s="8"/>
      <c r="F25" s="8"/>
      <c r="G25" s="8"/>
      <c r="H25" s="8"/>
      <c r="I25" s="8"/>
      <c r="J25" s="8"/>
      <c r="K25" s="8"/>
      <c r="L25" s="8"/>
    </row>
    <row r="26" customFormat="false" ht="30" hidden="false" customHeight="true" outlineLevel="0" collapsed="false">
      <c r="B26" s="37"/>
      <c r="C26" s="38" t="s">
        <v>169</v>
      </c>
      <c r="D26" s="38" t="s">
        <v>170</v>
      </c>
      <c r="E26" s="38" t="s">
        <v>171</v>
      </c>
      <c r="F26" s="38" t="s">
        <v>43</v>
      </c>
      <c r="G26" s="38" t="s">
        <v>44</v>
      </c>
      <c r="H26" s="38" t="s">
        <v>45</v>
      </c>
      <c r="I26" s="38" t="s">
        <v>172</v>
      </c>
      <c r="J26" s="38" t="s">
        <v>90</v>
      </c>
      <c r="K26" s="38" t="s">
        <v>89</v>
      </c>
      <c r="L26" s="38" t="s">
        <v>173</v>
      </c>
    </row>
    <row r="27" customFormat="false" ht="15" hidden="false" customHeight="false" outlineLevel="0" collapsed="false">
      <c r="B27" s="39" t="s">
        <v>174</v>
      </c>
      <c r="C27" s="26" t="n">
        <f aca="false">Class_IRR!$E$5</f>
        <v>0.03</v>
      </c>
      <c r="D27" s="30" t="n">
        <f aca="false">Inputs!$E$23</f>
        <v>4200</v>
      </c>
      <c r="E27" s="26" t="n">
        <f aca="false">Inputs!$F$23</f>
        <v>0.985</v>
      </c>
      <c r="F27" s="25" t="n">
        <f aca="false">Inputs!$G$23</f>
        <v>0.8</v>
      </c>
      <c r="G27" s="25" t="n">
        <f aca="false">Inputs!$H$23</f>
        <v>0.95</v>
      </c>
      <c r="H27" s="25" t="n">
        <f aca="false">Inputs!$I$23</f>
        <v>0.9</v>
      </c>
      <c r="I27" s="22" t="n">
        <f aca="false">Inputs!$J$23</f>
        <v>1</v>
      </c>
      <c r="J27" s="23" t="n">
        <f aca="false">Inputs!$C$9</f>
        <v>10</v>
      </c>
      <c r="K27" s="22" t="n">
        <f aca="false">Inputs!$C$10</f>
        <v>1</v>
      </c>
      <c r="L27" s="22" t="n">
        <f aca="false">1</f>
        <v>1</v>
      </c>
    </row>
    <row r="28" customFormat="false" ht="30" hidden="false" customHeight="true" outlineLevel="0" collapsed="false">
      <c r="B28" s="37"/>
      <c r="C28" s="38" t="s">
        <v>175</v>
      </c>
      <c r="D28" s="38" t="s">
        <v>176</v>
      </c>
      <c r="E28" s="38" t="s">
        <v>177</v>
      </c>
      <c r="F28" s="38" t="s">
        <v>178</v>
      </c>
      <c r="G28" s="38" t="s">
        <v>112</v>
      </c>
      <c r="H28" s="38" t="s">
        <v>179</v>
      </c>
      <c r="I28" s="38" t="s">
        <v>180</v>
      </c>
      <c r="J28" s="38" t="s">
        <v>181</v>
      </c>
      <c r="K28" s="38" t="s">
        <v>182</v>
      </c>
      <c r="L28" s="38" t="s">
        <v>183</v>
      </c>
    </row>
    <row r="29" customFormat="false" ht="15" hidden="false" customHeight="false" outlineLevel="0" collapsed="false">
      <c r="B29" s="39" t="s">
        <v>184</v>
      </c>
      <c r="C29" s="40" t="n">
        <f aca="false">1-$E$27*CHOOSE($L$27,INDEX(Timing!$C$7:$AA$7,1,Inputs!$C$12+1),INDEX(Timing!$C$8:$AA$8,1,Inputs!$C$12+1))</f>
        <v>0.2514</v>
      </c>
      <c r="D29" s="40" t="n">
        <f aca="false">1-$E$27*CHOOSE($L$27,INDEX(Timing!$C$7:$AA$7,1,Inputs!$C$13+1),INDEX(Timing!$C$8:$AA$8,1,Inputs!$C$13+1))</f>
        <v>0.015</v>
      </c>
      <c r="E29" s="40" t="n">
        <f aca="false">$I$27*$D$29*$F$27</f>
        <v>0.012</v>
      </c>
      <c r="F29" s="40" t="n">
        <f aca="false">$I$27*($D$29-$E$29)*$G$27</f>
        <v>0.00285</v>
      </c>
      <c r="G29" s="40" t="n">
        <f aca="false">$I$27*($D$29-$E$29-$F$29)</f>
        <v>0.00015</v>
      </c>
      <c r="H29" s="23" t="n">
        <f aca="false">$I$27*(3*$D$27+Inputs!$C$14)</f>
        <v>14400</v>
      </c>
      <c r="I29" s="23" t="n">
        <f aca="false">$I$27*($D$27*(1+IF($C$27&lt;=0,0,MAX($C$27*Inputs!$C$15/12,Inputs!$C$8)))+$D$27*(1+Inputs!$C$11*(Inputs!$C$15-Inputs!$C$12)/12)+$D$27*(1+Inputs!$C$11*(Inputs!$C$15-Inputs!$C$13)/12)+Inputs!$C$14)</f>
        <v>15817.5</v>
      </c>
      <c r="J29" s="23" t="n">
        <f aca="false">$I$27*($D$27*(1+IF($C$27&lt;=0,0,MAX($C$27*Inputs!$C$16/12,Inputs!$C$8)))+$D$27*(1+Inputs!$C$11*(Inputs!$C$16-Inputs!$C$12)/12)+$D$27*(1+Inputs!$C$11*(Inputs!$C$16-Inputs!$C$13)/12)+Inputs!$C$14)</f>
        <v>16227</v>
      </c>
      <c r="K29" s="40" t="n">
        <f aca="false">IRR($N$32:$AY$32,0.005)</f>
        <v>0.00622505057039004</v>
      </c>
      <c r="L29" s="41" t="n">
        <f aca="false">(1+$K$29)^12-1</f>
        <v>0.0773120107020129</v>
      </c>
    </row>
    <row r="30" customFormat="false" ht="15" hidden="false" customHeight="false" outlineLevel="0" collapsed="false">
      <c r="B30" s="9" t="s">
        <v>185</v>
      </c>
      <c r="N30" s="40" t="n">
        <f aca="false">0</f>
        <v>0</v>
      </c>
      <c r="O30" s="40" t="n">
        <f aca="false">$E$27*(CHOOSE($L$27,Timing!D$7,Timing!D$8)-CHOOSE($L$27,Timing!C$7,Timing!C$8))</f>
        <v>0.1182</v>
      </c>
      <c r="P30" s="40" t="n">
        <f aca="false">$E$27*(CHOOSE($L$27,Timing!E$7,Timing!E$8)-CHOOSE($L$27,Timing!D$7,Timing!D$8))</f>
        <v>0.0985</v>
      </c>
      <c r="Q30" s="40" t="n">
        <f aca="false">$E$27*(CHOOSE($L$27,Timing!F$7,Timing!F$8)-CHOOSE($L$27,Timing!E$7,Timing!E$8))</f>
        <v>0.08865</v>
      </c>
      <c r="R30" s="40" t="n">
        <f aca="false">$E$27*(CHOOSE($L$27,Timing!G$7,Timing!G$8)-CHOOSE($L$27,Timing!F$7,Timing!F$8))</f>
        <v>0.06895</v>
      </c>
      <c r="S30" s="40" t="n">
        <f aca="false">$E$27*(CHOOSE($L$27,Timing!H$7,Timing!H$8)-CHOOSE($L$27,Timing!G$7,Timing!G$8))</f>
        <v>0.06895</v>
      </c>
      <c r="T30" s="40" t="n">
        <f aca="false">$E$27*(CHOOSE($L$27,Timing!I$7,Timing!I$8)-CHOOSE($L$27,Timing!H$7,Timing!H$8))</f>
        <v>0.06895</v>
      </c>
      <c r="U30" s="40" t="n">
        <f aca="false">$E$27*(CHOOSE($L$27,Timing!J$7,Timing!J$8)-CHOOSE($L$27,Timing!I$7,Timing!I$8))</f>
        <v>0.0426833333333333</v>
      </c>
      <c r="V30" s="40" t="n">
        <f aca="false">$E$27*(CHOOSE($L$27,Timing!K$7,Timing!K$8)-CHOOSE($L$27,Timing!J$7,Timing!J$8))</f>
        <v>0.0426833333333333</v>
      </c>
      <c r="W30" s="40" t="n">
        <f aca="false">$E$27*(CHOOSE($L$27,Timing!L$7,Timing!L$8)-CHOOSE($L$27,Timing!K$7,Timing!K$8))</f>
        <v>0.0426833333333333</v>
      </c>
      <c r="X30" s="40" t="n">
        <f aca="false">$E$27*(CHOOSE($L$27,Timing!M$7,Timing!M$8)-CHOOSE($L$27,Timing!L$7,Timing!L$8))</f>
        <v>0.0361166666666666</v>
      </c>
      <c r="Y30" s="40" t="n">
        <f aca="false">$E$27*(CHOOSE($L$27,Timing!N$7,Timing!N$8)-CHOOSE($L$27,Timing!M$7,Timing!M$8))</f>
        <v>0.0361166666666667</v>
      </c>
      <c r="Z30" s="40" t="n">
        <f aca="false">$E$27*(CHOOSE($L$27,Timing!O$7,Timing!O$8)-CHOOSE($L$27,Timing!N$7,Timing!N$8))</f>
        <v>0.0361166666666666</v>
      </c>
      <c r="AA30" s="40" t="n">
        <f aca="false">$E$27*(CHOOSE($L$27,Timing!P$7,Timing!P$8)-CHOOSE($L$27,Timing!O$7,Timing!O$8))</f>
        <v>0.0229833333333333</v>
      </c>
      <c r="AB30" s="40" t="n">
        <f aca="false">$E$27*(CHOOSE($L$27,Timing!Q$7,Timing!Q$8)-CHOOSE($L$27,Timing!P$7,Timing!P$8))</f>
        <v>0.0229833333333333</v>
      </c>
      <c r="AC30" s="40" t="n">
        <f aca="false">$E$27*(CHOOSE($L$27,Timing!R$7,Timing!R$8)-CHOOSE($L$27,Timing!Q$7,Timing!Q$8))</f>
        <v>0.0229833333333334</v>
      </c>
      <c r="AD30" s="40" t="n">
        <f aca="false">$E$27*(CHOOSE($L$27,Timing!S$7,Timing!S$8)-CHOOSE($L$27,Timing!R$7,Timing!R$8))</f>
        <v>0.0229833333333333</v>
      </c>
      <c r="AE30" s="40" t="n">
        <f aca="false">$E$27*(CHOOSE($L$27,Timing!T$7,Timing!T$8)-CHOOSE($L$27,Timing!S$7,Timing!S$8))</f>
        <v>0.0229833333333333</v>
      </c>
      <c r="AF30" s="40" t="n">
        <f aca="false">$E$27*(CHOOSE($L$27,Timing!U$7,Timing!U$8)-CHOOSE($L$27,Timing!T$7,Timing!T$8))</f>
        <v>0.0229833333333333</v>
      </c>
      <c r="AG30" s="40" t="n">
        <f aca="false">$E$27*(CHOOSE($L$27,Timing!V$7,Timing!V$8)-CHOOSE($L$27,Timing!U$7,Timing!U$8))</f>
        <v>0.0164166666666667</v>
      </c>
      <c r="AH30" s="40" t="n">
        <f aca="false">$E$27*(CHOOSE($L$27,Timing!W$7,Timing!W$8)-CHOOSE($L$27,Timing!V$7,Timing!V$8))</f>
        <v>0.0164166666666666</v>
      </c>
      <c r="AI30" s="40" t="n">
        <f aca="false">$E$27*(CHOOSE($L$27,Timing!X$7,Timing!X$8)-CHOOSE($L$27,Timing!W$7,Timing!W$8))</f>
        <v>0.0164166666666666</v>
      </c>
      <c r="AJ30" s="40" t="n">
        <f aca="false">$E$27*(CHOOSE($L$27,Timing!Y$7,Timing!Y$8)-CHOOSE($L$27,Timing!X$7,Timing!X$8))</f>
        <v>0.0164166666666667</v>
      </c>
      <c r="AK30" s="40" t="n">
        <f aca="false">$E$27*(CHOOSE($L$27,Timing!Z$7,Timing!Z$8)-CHOOSE($L$27,Timing!Y$7,Timing!Y$8))</f>
        <v>0.0164166666666667</v>
      </c>
      <c r="AL30" s="40" t="n">
        <f aca="false">$E$27*(CHOOSE($L$27,Timing!AA$7,Timing!AA$8)-CHOOSE($L$27,Timing!Z$7,Timing!Z$8))</f>
        <v>0.0164166666666666</v>
      </c>
    </row>
    <row r="31" customFormat="false" ht="15" hidden="false" customHeight="false" outlineLevel="0" collapsed="false">
      <c r="B31" s="9" t="s">
        <v>186</v>
      </c>
      <c r="N31" s="42" t="n">
        <f aca="false">0</f>
        <v>0</v>
      </c>
      <c r="O31" s="42" t="n">
        <f aca="false">$D$27*(1+IF($C$27&lt;=0,0,MAX($C$27*O$5/12,Inputs!$C$8)))+$I$27*(O$5&gt;Inputs!$C$12)*$D$27*(1+Inputs!$C$11*(O$5-Inputs!$C$12)/12)</f>
        <v>4410</v>
      </c>
      <c r="P31" s="42" t="n">
        <f aca="false">$D$27*(1+IF($C$27&lt;=0,0,MAX($C$27*P$5/12,Inputs!$C$8)))+$I$27*(P$5&gt;Inputs!$C$12)*$D$27*(1+Inputs!$C$11*(P$5-Inputs!$C$12)/12)</f>
        <v>4410</v>
      </c>
      <c r="Q31" s="42" t="n">
        <f aca="false">$D$27*(1+IF($C$27&lt;=0,0,MAX($C$27*Q$5/12,Inputs!$C$8)))+$I$27*(Q$5&gt;Inputs!$C$12)*$D$27*(1+Inputs!$C$11*(Q$5-Inputs!$C$12)/12)</f>
        <v>4410</v>
      </c>
      <c r="R31" s="42" t="n">
        <f aca="false">$D$27*(1+IF($C$27&lt;=0,0,MAX($C$27*R$5/12,Inputs!$C$8)))+$I$27*(R$5&gt;Inputs!$C$12)*$D$27*(1+Inputs!$C$11*(R$5-Inputs!$C$12)/12)</f>
        <v>4410</v>
      </c>
      <c r="S31" s="42" t="n">
        <f aca="false">$D$27*(1+IF($C$27&lt;=0,0,MAX($C$27*S$5/12,Inputs!$C$8)))+$I$27*(S$5&gt;Inputs!$C$12)*$D$27*(1+Inputs!$C$11*(S$5-Inputs!$C$12)/12)</f>
        <v>4410</v>
      </c>
      <c r="T31" s="42" t="n">
        <f aca="false">$D$27*(1+IF($C$27&lt;=0,0,MAX($C$27*T$5/12,Inputs!$C$8)))+$I$27*(T$5&gt;Inputs!$C$12)*$D$27*(1+Inputs!$C$11*(T$5-Inputs!$C$12)/12)</f>
        <v>4410</v>
      </c>
      <c r="U31" s="42" t="n">
        <f aca="false">$D$27*(1+IF($C$27&lt;=0,0,MAX($C$27*U$5/12,Inputs!$C$8)))+$I$27*(U$5&gt;Inputs!$C$12)*$D$27*(1+Inputs!$C$11*(U$5-Inputs!$C$12)/12)</f>
        <v>4410</v>
      </c>
      <c r="V31" s="42" t="n">
        <f aca="false">$D$27*(1+IF($C$27&lt;=0,0,MAX($C$27*V$5/12,Inputs!$C$8)))+$I$27*(V$5&gt;Inputs!$C$12)*$D$27*(1+Inputs!$C$11*(V$5-Inputs!$C$12)/12)</f>
        <v>4410</v>
      </c>
      <c r="W31" s="42" t="n">
        <f aca="false">$D$27*(1+IF($C$27&lt;=0,0,MAX($C$27*W$5/12,Inputs!$C$8)))+$I$27*(W$5&gt;Inputs!$C$12)*$D$27*(1+Inputs!$C$11*(W$5-Inputs!$C$12)/12)</f>
        <v>4410</v>
      </c>
      <c r="X31" s="42" t="n">
        <f aca="false">$D$27*(1+IF($C$27&lt;=0,0,MAX($C$27*X$5/12,Inputs!$C$8)))+$I$27*(X$5&gt;Inputs!$C$12)*$D$27*(1+Inputs!$C$11*(X$5-Inputs!$C$12)/12)</f>
        <v>4410</v>
      </c>
      <c r="Y31" s="42" t="n">
        <f aca="false">$D$27*(1+IF($C$27&lt;=0,0,MAX($C$27*Y$5/12,Inputs!$C$8)))+$I$27*(Y$5&gt;Inputs!$C$12)*$D$27*(1+Inputs!$C$11*(Y$5-Inputs!$C$12)/12)</f>
        <v>4410</v>
      </c>
      <c r="Z31" s="42" t="n">
        <f aca="false">$D$27*(1+IF($C$27&lt;=0,0,MAX($C$27*Z$5/12,Inputs!$C$8)))+$I$27*(Z$5&gt;Inputs!$C$12)*$D$27*(1+Inputs!$C$11*(Z$5-Inputs!$C$12)/12)</f>
        <v>4410</v>
      </c>
      <c r="AA31" s="42" t="n">
        <f aca="false">$D$27*(1+IF($C$27&lt;=0,0,MAX($C$27*AA$5/12,Inputs!$C$8)))+$I$27*(AA$5&gt;Inputs!$C$12)*$D$27*(1+Inputs!$C$11*(AA$5-Inputs!$C$12)/12)</f>
        <v>8673</v>
      </c>
      <c r="AB31" s="42" t="n">
        <f aca="false">$D$27*(1+IF($C$27&lt;=0,0,MAX($C$27*AB$5/12,Inputs!$C$8)))+$I$27*(AB$5&gt;Inputs!$C$12)*$D$27*(1+Inputs!$C$11*(AB$5-Inputs!$C$12)/12)</f>
        <v>8736</v>
      </c>
      <c r="AC31" s="42" t="n">
        <f aca="false">$D$27*(1+IF($C$27&lt;=0,0,MAX($C$27*AC$5/12,Inputs!$C$8)))+$I$27*(AC$5&gt;Inputs!$C$12)*$D$27*(1+Inputs!$C$11*(AC$5-Inputs!$C$12)/12)</f>
        <v>8799</v>
      </c>
      <c r="AD31" s="42" t="n">
        <f aca="false">$D$27*(1+IF($C$27&lt;=0,0,MAX($C$27*AD$5/12,Inputs!$C$8)))+$I$27*(AD$5&gt;Inputs!$C$12)*$D$27*(1+Inputs!$C$11*(AD$5-Inputs!$C$12)/12)</f>
        <v>8862</v>
      </c>
      <c r="AE31" s="42" t="n">
        <f aca="false">$D$27*(1+IF($C$27&lt;=0,0,MAX($C$27*AE$5/12,Inputs!$C$8)))+$I$27*(AE$5&gt;Inputs!$C$12)*$D$27*(1+Inputs!$C$11*(AE$5-Inputs!$C$12)/12)</f>
        <v>8925</v>
      </c>
      <c r="AF31" s="42" t="n">
        <f aca="false">$D$27*(1+IF($C$27&lt;=0,0,MAX($C$27*AF$5/12,Inputs!$C$8)))+$I$27*(AF$5&gt;Inputs!$C$12)*$D$27*(1+Inputs!$C$11*(AF$5-Inputs!$C$12)/12)</f>
        <v>8988</v>
      </c>
      <c r="AG31" s="42" t="n">
        <f aca="false">$D$27*(1+IF($C$27&lt;=0,0,MAX($C$27*AG$5/12,Inputs!$C$8)))+$I$27*(AG$5&gt;Inputs!$C$12)*$D$27*(1+Inputs!$C$11*(AG$5-Inputs!$C$12)/12)</f>
        <v>9051</v>
      </c>
      <c r="AH31" s="42" t="n">
        <f aca="false">$D$27*(1+IF($C$27&lt;=0,0,MAX($C$27*AH$5/12,Inputs!$C$8)))+$I$27*(AH$5&gt;Inputs!$C$12)*$D$27*(1+Inputs!$C$11*(AH$5-Inputs!$C$12)/12)</f>
        <v>9114</v>
      </c>
      <c r="AI31" s="42" t="n">
        <f aca="false">$D$27*(1+IF($C$27&lt;=0,0,MAX($C$27*AI$5/12,Inputs!$C$8)))+$I$27*(AI$5&gt;Inputs!$C$12)*$D$27*(1+Inputs!$C$11*(AI$5-Inputs!$C$12)/12)</f>
        <v>9187.5</v>
      </c>
      <c r="AJ31" s="42" t="n">
        <f aca="false">$D$27*(1+IF($C$27&lt;=0,0,MAX($C$27*AJ$5/12,Inputs!$C$8)))+$I$27*(AJ$5&gt;Inputs!$C$12)*$D$27*(1+Inputs!$C$11*(AJ$5-Inputs!$C$12)/12)</f>
        <v>9261</v>
      </c>
      <c r="AK31" s="42" t="n">
        <f aca="false">$D$27*(1+IF($C$27&lt;=0,0,MAX($C$27*AK$5/12,Inputs!$C$8)))+$I$27*(AK$5&gt;Inputs!$C$12)*$D$27*(1+Inputs!$C$11*(AK$5-Inputs!$C$12)/12)</f>
        <v>9334.5</v>
      </c>
      <c r="AL31" s="42" t="n">
        <f aca="false">$D$27*(1+IF($C$27&lt;=0,0,MAX($C$27*AL$5/12,Inputs!$C$8)))+$I$27*(AL$5&gt;Inputs!$C$12)*$D$27*(1+Inputs!$C$11*(AL$5-Inputs!$C$12)/12)</f>
        <v>9408</v>
      </c>
    </row>
    <row r="32" customFormat="false" ht="15" hidden="false" customHeight="false" outlineLevel="0" collapsed="false">
      <c r="B32" s="31" t="s">
        <v>187</v>
      </c>
      <c r="N32" s="42" t="n">
        <f aca="false">-($D$27+$J$27)*(N$5=0)+IF(AND(N$5-$K$27&gt;=1,N$5-$K$27&lt;=Inputs!$C$13),INDEX($N$30:$AL$30,1,N$5-$K$27+1)*INDEX($N$31:$AL$31,1,N$5-$K$27+1),0)-$I$27*((N$5=Inputs!$C$12)*$C$29*$D$27+(N$5=Inputs!$C$13)*$D$29*($D$27+Inputs!$C$14))+$I$27*((N$5=Inputs!$C$15+$K$27)*$E$29*$I$29+(N$5=Inputs!$C$16+$K$27)*$F$29*$J$29+(N$5=Inputs!$C$17)*$G$29*$H$27*$H$29)</f>
        <v>-4210</v>
      </c>
      <c r="O32" s="42" t="n">
        <f aca="false">-($D$27+$J$27)*(O$5=0)+IF(AND(O$5-$K$27&gt;=1,O$5-$K$27&lt;=Inputs!$C$13),INDEX($N$30:$AL$30,1,O$5-$K$27+1)*INDEX($N$31:$AL$31,1,O$5-$K$27+1),0)-$I$27*((O$5=Inputs!$C$12)*$C$29*$D$27+(O$5=Inputs!$C$13)*$D$29*($D$27+Inputs!$C$14))+$I$27*((O$5=Inputs!$C$15+$K$27)*$E$29*$I$29+(O$5=Inputs!$C$16+$K$27)*$F$29*$J$29+(O$5=Inputs!$C$17)*$G$29*$H$27*$H$29)</f>
        <v>0</v>
      </c>
      <c r="P32" s="42" t="n">
        <f aca="false">-($D$27+$J$27)*(P$5=0)+IF(AND(P$5-$K$27&gt;=1,P$5-$K$27&lt;=Inputs!$C$13),INDEX($N$30:$AL$30,1,P$5-$K$27+1)*INDEX($N$31:$AL$31,1,P$5-$K$27+1),0)-$I$27*((P$5=Inputs!$C$12)*$C$29*$D$27+(P$5=Inputs!$C$13)*$D$29*($D$27+Inputs!$C$14))+$I$27*((P$5=Inputs!$C$15+$K$27)*$E$29*$I$29+(P$5=Inputs!$C$16+$K$27)*$F$29*$J$29+(P$5=Inputs!$C$17)*$G$29*$H$27*$H$29)</f>
        <v>521.262</v>
      </c>
      <c r="Q32" s="42" t="n">
        <f aca="false">-($D$27+$J$27)*(Q$5=0)+IF(AND(Q$5-$K$27&gt;=1,Q$5-$K$27&lt;=Inputs!$C$13),INDEX($N$30:$AL$30,1,Q$5-$K$27+1)*INDEX($N$31:$AL$31,1,Q$5-$K$27+1),0)-$I$27*((Q$5=Inputs!$C$12)*$C$29*$D$27+(Q$5=Inputs!$C$13)*$D$29*($D$27+Inputs!$C$14))+$I$27*((Q$5=Inputs!$C$15+$K$27)*$E$29*$I$29+(Q$5=Inputs!$C$16+$K$27)*$F$29*$J$29+(Q$5=Inputs!$C$17)*$G$29*$H$27*$H$29)</f>
        <v>434.385</v>
      </c>
      <c r="R32" s="42" t="n">
        <f aca="false">-($D$27+$J$27)*(R$5=0)+IF(AND(R$5-$K$27&gt;=1,R$5-$K$27&lt;=Inputs!$C$13),INDEX($N$30:$AL$30,1,R$5-$K$27+1)*INDEX($N$31:$AL$31,1,R$5-$K$27+1),0)-$I$27*((R$5=Inputs!$C$12)*$C$29*$D$27+(R$5=Inputs!$C$13)*$D$29*($D$27+Inputs!$C$14))+$I$27*((R$5=Inputs!$C$15+$K$27)*$E$29*$I$29+(R$5=Inputs!$C$16+$K$27)*$F$29*$J$29+(R$5=Inputs!$C$17)*$G$29*$H$27*$H$29)</f>
        <v>390.9465</v>
      </c>
      <c r="S32" s="42" t="n">
        <f aca="false">-($D$27+$J$27)*(S$5=0)+IF(AND(S$5-$K$27&gt;=1,S$5-$K$27&lt;=Inputs!$C$13),INDEX($N$30:$AL$30,1,S$5-$K$27+1)*INDEX($N$31:$AL$31,1,S$5-$K$27+1),0)-$I$27*((S$5=Inputs!$C$12)*$C$29*$D$27+(S$5=Inputs!$C$13)*$D$29*($D$27+Inputs!$C$14))+$I$27*((S$5=Inputs!$C$15+$K$27)*$E$29*$I$29+(S$5=Inputs!$C$16+$K$27)*$F$29*$J$29+(S$5=Inputs!$C$17)*$G$29*$H$27*$H$29)</f>
        <v>304.0695</v>
      </c>
      <c r="T32" s="42" t="n">
        <f aca="false">-($D$27+$J$27)*(T$5=0)+IF(AND(T$5-$K$27&gt;=1,T$5-$K$27&lt;=Inputs!$C$13),INDEX($N$30:$AL$30,1,T$5-$K$27+1)*INDEX($N$31:$AL$31,1,T$5-$K$27+1),0)-$I$27*((T$5=Inputs!$C$12)*$C$29*$D$27+(T$5=Inputs!$C$13)*$D$29*($D$27+Inputs!$C$14))+$I$27*((T$5=Inputs!$C$15+$K$27)*$E$29*$I$29+(T$5=Inputs!$C$16+$K$27)*$F$29*$J$29+(T$5=Inputs!$C$17)*$G$29*$H$27*$H$29)</f>
        <v>304.0695</v>
      </c>
      <c r="U32" s="42" t="n">
        <f aca="false">-($D$27+$J$27)*(U$5=0)+IF(AND(U$5-$K$27&gt;=1,U$5-$K$27&lt;=Inputs!$C$13),INDEX($N$30:$AL$30,1,U$5-$K$27+1)*INDEX($N$31:$AL$31,1,U$5-$K$27+1),0)-$I$27*((U$5=Inputs!$C$12)*$C$29*$D$27+(U$5=Inputs!$C$13)*$D$29*($D$27+Inputs!$C$14))+$I$27*((U$5=Inputs!$C$15+$K$27)*$E$29*$I$29+(U$5=Inputs!$C$16+$K$27)*$F$29*$J$29+(U$5=Inputs!$C$17)*$G$29*$H$27*$H$29)</f>
        <v>304.0695</v>
      </c>
      <c r="V32" s="42" t="n">
        <f aca="false">-($D$27+$J$27)*(V$5=0)+IF(AND(V$5-$K$27&gt;=1,V$5-$K$27&lt;=Inputs!$C$13),INDEX($N$30:$AL$30,1,V$5-$K$27+1)*INDEX($N$31:$AL$31,1,V$5-$K$27+1),0)-$I$27*((V$5=Inputs!$C$12)*$C$29*$D$27+(V$5=Inputs!$C$13)*$D$29*($D$27+Inputs!$C$14))+$I$27*((V$5=Inputs!$C$15+$K$27)*$E$29*$I$29+(V$5=Inputs!$C$16+$K$27)*$F$29*$J$29+(V$5=Inputs!$C$17)*$G$29*$H$27*$H$29)</f>
        <v>188.2335</v>
      </c>
      <c r="W32" s="42" t="n">
        <f aca="false">-($D$27+$J$27)*(W$5=0)+IF(AND(W$5-$K$27&gt;=1,W$5-$K$27&lt;=Inputs!$C$13),INDEX($N$30:$AL$30,1,W$5-$K$27+1)*INDEX($N$31:$AL$31,1,W$5-$K$27+1),0)-$I$27*((W$5=Inputs!$C$12)*$C$29*$D$27+(W$5=Inputs!$C$13)*$D$29*($D$27+Inputs!$C$14))+$I$27*((W$5=Inputs!$C$15+$K$27)*$E$29*$I$29+(W$5=Inputs!$C$16+$K$27)*$F$29*$J$29+(W$5=Inputs!$C$17)*$G$29*$H$27*$H$29)</f>
        <v>188.2335</v>
      </c>
      <c r="X32" s="42" t="n">
        <f aca="false">-($D$27+$J$27)*(X$5=0)+IF(AND(X$5-$K$27&gt;=1,X$5-$K$27&lt;=Inputs!$C$13),INDEX($N$30:$AL$30,1,X$5-$K$27+1)*INDEX($N$31:$AL$31,1,X$5-$K$27+1),0)-$I$27*((X$5=Inputs!$C$12)*$C$29*$D$27+(X$5=Inputs!$C$13)*$D$29*($D$27+Inputs!$C$14))+$I$27*((X$5=Inputs!$C$15+$K$27)*$E$29*$I$29+(X$5=Inputs!$C$16+$K$27)*$F$29*$J$29+(X$5=Inputs!$C$17)*$G$29*$H$27*$H$29)</f>
        <v>188.2335</v>
      </c>
      <c r="Y32" s="42" t="n">
        <f aca="false">-($D$27+$J$27)*(Y$5=0)+IF(AND(Y$5-$K$27&gt;=1,Y$5-$K$27&lt;=Inputs!$C$13),INDEX($N$30:$AL$30,1,Y$5-$K$27+1)*INDEX($N$31:$AL$31,1,Y$5-$K$27+1),0)-$I$27*((Y$5=Inputs!$C$12)*$C$29*$D$27+(Y$5=Inputs!$C$13)*$D$29*($D$27+Inputs!$C$14))+$I$27*((Y$5=Inputs!$C$15+$K$27)*$E$29*$I$29+(Y$5=Inputs!$C$16+$K$27)*$F$29*$J$29+(Y$5=Inputs!$C$17)*$G$29*$H$27*$H$29)</f>
        <v>159.2745</v>
      </c>
      <c r="Z32" s="42" t="n">
        <f aca="false">-($D$27+$J$27)*(Z$5=0)+IF(AND(Z$5-$K$27&gt;=1,Z$5-$K$27&lt;=Inputs!$C$13),INDEX($N$30:$AL$30,1,Z$5-$K$27+1)*INDEX($N$31:$AL$31,1,Z$5-$K$27+1),0)-$I$27*((Z$5=Inputs!$C$12)*$C$29*$D$27+(Z$5=Inputs!$C$13)*$D$29*($D$27+Inputs!$C$14))+$I$27*((Z$5=Inputs!$C$15+$K$27)*$E$29*$I$29+(Z$5=Inputs!$C$16+$K$27)*$F$29*$J$29+(Z$5=Inputs!$C$17)*$G$29*$H$27*$H$29)</f>
        <v>-896.6055</v>
      </c>
      <c r="AA32" s="42" t="n">
        <f aca="false">-($D$27+$J$27)*(AA$5=0)+IF(AND(AA$5-$K$27&gt;=1,AA$5-$K$27&lt;=Inputs!$C$13),INDEX($N$30:$AL$30,1,AA$5-$K$27+1)*INDEX($N$31:$AL$31,1,AA$5-$K$27+1),0)-$I$27*((AA$5=Inputs!$C$12)*$C$29*$D$27+(AA$5=Inputs!$C$13)*$D$29*($D$27+Inputs!$C$14))+$I$27*((AA$5=Inputs!$C$15+$K$27)*$E$29*$I$29+(AA$5=Inputs!$C$16+$K$27)*$F$29*$J$29+(AA$5=Inputs!$C$17)*$G$29*$H$27*$H$29)</f>
        <v>159.2745</v>
      </c>
      <c r="AB32" s="42" t="n">
        <f aca="false">-($D$27+$J$27)*(AB$5=0)+IF(AND(AB$5-$K$27&gt;=1,AB$5-$K$27&lt;=Inputs!$C$13),INDEX($N$30:$AL$30,1,AB$5-$K$27+1)*INDEX($N$31:$AL$31,1,AB$5-$K$27+1),0)-$I$27*((AB$5=Inputs!$C$12)*$C$29*$D$27+(AB$5=Inputs!$C$13)*$D$29*($D$27+Inputs!$C$14))+$I$27*((AB$5=Inputs!$C$15+$K$27)*$E$29*$I$29+(AB$5=Inputs!$C$16+$K$27)*$F$29*$J$29+(AB$5=Inputs!$C$17)*$G$29*$H$27*$H$29)</f>
        <v>199.33445</v>
      </c>
      <c r="AC32" s="42" t="n">
        <f aca="false">-($D$27+$J$27)*(AC$5=0)+IF(AND(AC$5-$K$27&gt;=1,AC$5-$K$27&lt;=Inputs!$C$13),INDEX($N$30:$AL$30,1,AC$5-$K$27+1)*INDEX($N$31:$AL$31,1,AC$5-$K$27+1),0)-$I$27*((AC$5=Inputs!$C$12)*$C$29*$D$27+(AC$5=Inputs!$C$13)*$D$29*($D$27+Inputs!$C$14))+$I$27*((AC$5=Inputs!$C$15+$K$27)*$E$29*$I$29+(AC$5=Inputs!$C$16+$K$27)*$F$29*$J$29+(AC$5=Inputs!$C$17)*$G$29*$H$27*$H$29)</f>
        <v>200.7824</v>
      </c>
      <c r="AD32" s="42" t="n">
        <f aca="false">-($D$27+$J$27)*(AD$5=0)+IF(AND(AD$5-$K$27&gt;=1,AD$5-$K$27&lt;=Inputs!$C$13),INDEX($N$30:$AL$30,1,AD$5-$K$27+1)*INDEX($N$31:$AL$31,1,AD$5-$K$27+1),0)-$I$27*((AD$5=Inputs!$C$12)*$C$29*$D$27+(AD$5=Inputs!$C$13)*$D$29*($D$27+Inputs!$C$14))+$I$27*((AD$5=Inputs!$C$15+$K$27)*$E$29*$I$29+(AD$5=Inputs!$C$16+$K$27)*$F$29*$J$29+(AD$5=Inputs!$C$17)*$G$29*$H$27*$H$29)</f>
        <v>202.230350000001</v>
      </c>
      <c r="AE32" s="42" t="n">
        <f aca="false">-($D$27+$J$27)*(AE$5=0)+IF(AND(AE$5-$K$27&gt;=1,AE$5-$K$27&lt;=Inputs!$C$13),INDEX($N$30:$AL$30,1,AE$5-$K$27+1)*INDEX($N$31:$AL$31,1,AE$5-$K$27+1),0)-$I$27*((AE$5=Inputs!$C$12)*$C$29*$D$27+(AE$5=Inputs!$C$13)*$D$29*($D$27+Inputs!$C$14))+$I$27*((AE$5=Inputs!$C$15+$K$27)*$E$29*$I$29+(AE$5=Inputs!$C$16+$K$27)*$F$29*$J$29+(AE$5=Inputs!$C$17)*$G$29*$H$27*$H$29)</f>
        <v>203.6783</v>
      </c>
      <c r="AF32" s="42" t="n">
        <f aca="false">-($D$27+$J$27)*(AF$5=0)+IF(AND(AF$5-$K$27&gt;=1,AF$5-$K$27&lt;=Inputs!$C$13),INDEX($N$30:$AL$30,1,AF$5-$K$27+1)*INDEX($N$31:$AL$31,1,AF$5-$K$27+1),0)-$I$27*((AF$5=Inputs!$C$12)*$C$29*$D$27+(AF$5=Inputs!$C$13)*$D$29*($D$27+Inputs!$C$14))+$I$27*((AF$5=Inputs!$C$15+$K$27)*$E$29*$I$29+(AF$5=Inputs!$C$16+$K$27)*$F$29*$J$29+(AF$5=Inputs!$C$17)*$G$29*$H$27*$H$29)</f>
        <v>205.12625</v>
      </c>
      <c r="AG32" s="42" t="n">
        <f aca="false">-($D$27+$J$27)*(AG$5=0)+IF(AND(AG$5-$K$27&gt;=1,AG$5-$K$27&lt;=Inputs!$C$13),INDEX($N$30:$AL$30,1,AG$5-$K$27+1)*INDEX($N$31:$AL$31,1,AG$5-$K$27+1),0)-$I$27*((AG$5=Inputs!$C$12)*$C$29*$D$27+(AG$5=Inputs!$C$13)*$D$29*($D$27+Inputs!$C$14))+$I$27*((AG$5=Inputs!$C$15+$K$27)*$E$29*$I$29+(AG$5=Inputs!$C$16+$K$27)*$F$29*$J$29+(AG$5=Inputs!$C$17)*$G$29*$H$27*$H$29)</f>
        <v>206.5742</v>
      </c>
      <c r="AH32" s="42" t="n">
        <f aca="false">-($D$27+$J$27)*(AH$5=0)+IF(AND(AH$5-$K$27&gt;=1,AH$5-$K$27&lt;=Inputs!$C$13),INDEX($N$30:$AL$30,1,AH$5-$K$27+1)*INDEX($N$31:$AL$31,1,AH$5-$K$27+1),0)-$I$27*((AH$5=Inputs!$C$12)*$C$29*$D$27+(AH$5=Inputs!$C$13)*$D$29*($D$27+Inputs!$C$14))+$I$27*((AH$5=Inputs!$C$15+$K$27)*$E$29*$I$29+(AH$5=Inputs!$C$16+$K$27)*$F$29*$J$29+(AH$5=Inputs!$C$17)*$G$29*$H$27*$H$29)</f>
        <v>148.58725</v>
      </c>
      <c r="AI32" s="42" t="n">
        <f aca="false">-($D$27+$J$27)*(AI$5=0)+IF(AND(AI$5-$K$27&gt;=1,AI$5-$K$27&lt;=Inputs!$C$13),INDEX($N$30:$AL$30,1,AI$5-$K$27+1)*INDEX($N$31:$AL$31,1,AI$5-$K$27+1),0)-$I$27*((AI$5=Inputs!$C$12)*$C$29*$D$27+(AI$5=Inputs!$C$13)*$D$29*($D$27+Inputs!$C$14))+$I$27*((AI$5=Inputs!$C$15+$K$27)*$E$29*$I$29+(AI$5=Inputs!$C$16+$K$27)*$F$29*$J$29+(AI$5=Inputs!$C$17)*$G$29*$H$27*$H$29)</f>
        <v>149.621499999999</v>
      </c>
      <c r="AJ32" s="42" t="n">
        <f aca="false">-($D$27+$J$27)*(AJ$5=0)+IF(AND(AJ$5-$K$27&gt;=1,AJ$5-$K$27&lt;=Inputs!$C$13),INDEX($N$30:$AL$30,1,AJ$5-$K$27+1)*INDEX($N$31:$AL$31,1,AJ$5-$K$27+1),0)-$I$27*((AJ$5=Inputs!$C$12)*$C$29*$D$27+(AJ$5=Inputs!$C$13)*$D$29*($D$27+Inputs!$C$14))+$I$27*((AJ$5=Inputs!$C$15+$K$27)*$E$29*$I$29+(AJ$5=Inputs!$C$16+$K$27)*$F$29*$J$29+(AJ$5=Inputs!$C$17)*$G$29*$H$27*$H$29)</f>
        <v>150.828124999999</v>
      </c>
      <c r="AK32" s="42" t="n">
        <f aca="false">-($D$27+$J$27)*(AK$5=0)+IF(AND(AK$5-$K$27&gt;=1,AK$5-$K$27&lt;=Inputs!$C$13),INDEX($N$30:$AL$30,1,AK$5-$K$27+1)*INDEX($N$31:$AL$31,1,AK$5-$K$27+1),0)-$I$27*((AK$5=Inputs!$C$12)*$C$29*$D$27+(AK$5=Inputs!$C$13)*$D$29*($D$27+Inputs!$C$14))+$I$27*((AK$5=Inputs!$C$15+$K$27)*$E$29*$I$29+(AK$5=Inputs!$C$16+$K$27)*$F$29*$J$29+(AK$5=Inputs!$C$17)*$G$29*$H$27*$H$29)</f>
        <v>152.03475</v>
      </c>
      <c r="AL32" s="42" t="n">
        <f aca="false">-($D$27+$J$27)*(AL$5=0)+IF(AND(AL$5-$K$27&gt;=1,AL$5-$K$27&lt;=Inputs!$C$13),INDEX($N$30:$AL$30,1,AL$5-$K$27+1)*INDEX($N$31:$AL$31,1,AL$5-$K$27+1),0)-$I$27*((AL$5=Inputs!$C$12)*$C$29*$D$27+(AL$5=Inputs!$C$13)*$D$29*($D$27+Inputs!$C$14))+$I$27*((AL$5=Inputs!$C$15+$K$27)*$E$29*$I$29+(AL$5=Inputs!$C$16+$K$27)*$F$29*$J$29+(AL$5=Inputs!$C$17)*$G$29*$H$27*$H$29)</f>
        <v>63.2413750000004</v>
      </c>
      <c r="AM32" s="42" t="n">
        <f aca="false">-($D$27+$J$27)*(AM$5=0)+IF(AND(AM$5-$K$27&gt;=1,AM$5-$K$27&lt;=Inputs!$C$13),INDEX($N$30:$AL$30,1,AM$5-$K$27+1)*INDEX($N$31:$AL$31,1,AM$5-$K$27+1),0)-$I$27*((AM$5=Inputs!$C$12)*$C$29*$D$27+(AM$5=Inputs!$C$13)*$D$29*($D$27+Inputs!$C$14))+$I$27*((AM$5=Inputs!$C$15+$K$27)*$E$29*$I$29+(AM$5=Inputs!$C$16+$K$27)*$F$29*$J$29+(AM$5=Inputs!$C$17)*$G$29*$H$27*$H$29)</f>
        <v>154.447999999999</v>
      </c>
      <c r="AN32" s="42" t="n">
        <f aca="false">-($D$27+$J$27)*(AN$5=0)+IF(AND(AN$5-$K$27&gt;=1,AN$5-$K$27&lt;=Inputs!$C$13),INDEX($N$30:$AL$30,1,AN$5-$K$27+1)*INDEX($N$31:$AL$31,1,AN$5-$K$27+1),0)-$I$27*((AN$5=Inputs!$C$12)*$C$29*$D$27+(AN$5=Inputs!$C$13)*$D$29*($D$27+Inputs!$C$14))+$I$27*((AN$5=Inputs!$C$15+$K$27)*$E$29*$I$29+(AN$5=Inputs!$C$16+$K$27)*$F$29*$J$29+(AN$5=Inputs!$C$17)*$G$29*$H$27*$H$29)</f>
        <v>0</v>
      </c>
      <c r="AO32" s="42" t="n">
        <f aca="false">-($D$27+$J$27)*(AO$5=0)+IF(AND(AO$5-$K$27&gt;=1,AO$5-$K$27&lt;=Inputs!$C$13),INDEX($N$30:$AL$30,1,AO$5-$K$27+1)*INDEX($N$31:$AL$31,1,AO$5-$K$27+1),0)-$I$27*((AO$5=Inputs!$C$12)*$C$29*$D$27+(AO$5=Inputs!$C$13)*$D$29*($D$27+Inputs!$C$14))+$I$27*((AO$5=Inputs!$C$15+$K$27)*$E$29*$I$29+(AO$5=Inputs!$C$16+$K$27)*$F$29*$J$29+(AO$5=Inputs!$C$17)*$G$29*$H$27*$H$29)</f>
        <v>0</v>
      </c>
      <c r="AP32" s="42" t="n">
        <f aca="false">-($D$27+$J$27)*(AP$5=0)+IF(AND(AP$5-$K$27&gt;=1,AP$5-$K$27&lt;=Inputs!$C$13),INDEX($N$30:$AL$30,1,AP$5-$K$27+1)*INDEX($N$31:$AL$31,1,AP$5-$K$27+1),0)-$I$27*((AP$5=Inputs!$C$12)*$C$29*$D$27+(AP$5=Inputs!$C$13)*$D$29*($D$27+Inputs!$C$14))+$I$27*((AP$5=Inputs!$C$15+$K$27)*$E$29*$I$29+(AP$5=Inputs!$C$16+$K$27)*$F$29*$J$29+(AP$5=Inputs!$C$17)*$G$29*$H$27*$H$29)</f>
        <v>189.81</v>
      </c>
      <c r="AQ32" s="42" t="n">
        <f aca="false">-($D$27+$J$27)*(AQ$5=0)+IF(AND(AQ$5-$K$27&gt;=1,AQ$5-$K$27&lt;=Inputs!$C$13),INDEX($N$30:$AL$30,1,AQ$5-$K$27+1)*INDEX($N$31:$AL$31,1,AQ$5-$K$27+1),0)-$I$27*((AQ$5=Inputs!$C$12)*$C$29*$D$27+(AQ$5=Inputs!$C$13)*$D$29*($D$27+Inputs!$C$14))+$I$27*((AQ$5=Inputs!$C$15+$K$27)*$E$29*$I$29+(AQ$5=Inputs!$C$16+$K$27)*$F$29*$J$29+(AQ$5=Inputs!$C$17)*$G$29*$H$27*$H$29)</f>
        <v>0</v>
      </c>
      <c r="AR32" s="42" t="n">
        <f aca="false">-($D$27+$J$27)*(AR$5=0)+IF(AND(AR$5-$K$27&gt;=1,AR$5-$K$27&lt;=Inputs!$C$13),INDEX($N$30:$AL$30,1,AR$5-$K$27+1)*INDEX($N$31:$AL$31,1,AR$5-$K$27+1),0)-$I$27*((AR$5=Inputs!$C$12)*$C$29*$D$27+(AR$5=Inputs!$C$13)*$D$29*($D$27+Inputs!$C$14))+$I$27*((AR$5=Inputs!$C$15+$K$27)*$E$29*$I$29+(AR$5=Inputs!$C$16+$K$27)*$F$29*$J$29+(AR$5=Inputs!$C$17)*$G$29*$H$27*$H$29)</f>
        <v>0</v>
      </c>
      <c r="AS32" s="42" t="n">
        <f aca="false">-($D$27+$J$27)*(AS$5=0)+IF(AND(AS$5-$K$27&gt;=1,AS$5-$K$27&lt;=Inputs!$C$13),INDEX($N$30:$AL$30,1,AS$5-$K$27+1)*INDEX($N$31:$AL$31,1,AS$5-$K$27+1),0)-$I$27*((AS$5=Inputs!$C$12)*$C$29*$D$27+(AS$5=Inputs!$C$13)*$D$29*($D$27+Inputs!$C$14))+$I$27*((AS$5=Inputs!$C$15+$K$27)*$E$29*$I$29+(AS$5=Inputs!$C$16+$K$27)*$F$29*$J$29+(AS$5=Inputs!$C$17)*$G$29*$H$27*$H$29)</f>
        <v>46.24695</v>
      </c>
      <c r="AT32" s="42" t="n">
        <f aca="false">-($D$27+$J$27)*(AT$5=0)+IF(AND(AT$5-$K$27&gt;=1,AT$5-$K$27&lt;=Inputs!$C$13),INDEX($N$30:$AL$30,1,AT$5-$K$27+1)*INDEX($N$31:$AL$31,1,AT$5-$K$27+1),0)-$I$27*((AT$5=Inputs!$C$12)*$C$29*$D$27+(AT$5=Inputs!$C$13)*$D$29*($D$27+Inputs!$C$14))+$I$27*((AT$5=Inputs!$C$15+$K$27)*$E$29*$I$29+(AT$5=Inputs!$C$16+$K$27)*$F$29*$J$29+(AT$5=Inputs!$C$17)*$G$29*$H$27*$H$29)</f>
        <v>0</v>
      </c>
      <c r="AU32" s="42" t="n">
        <f aca="false">-($D$27+$J$27)*(AU$5=0)+IF(AND(AU$5-$K$27&gt;=1,AU$5-$K$27&lt;=Inputs!$C$13),INDEX($N$30:$AL$30,1,AU$5-$K$27+1)*INDEX($N$31:$AL$31,1,AU$5-$K$27+1),0)-$I$27*((AU$5=Inputs!$C$12)*$C$29*$D$27+(AU$5=Inputs!$C$13)*$D$29*($D$27+Inputs!$C$14))+$I$27*((AU$5=Inputs!$C$15+$K$27)*$E$29*$I$29+(AU$5=Inputs!$C$16+$K$27)*$F$29*$J$29+(AU$5=Inputs!$C$17)*$G$29*$H$27*$H$29)</f>
        <v>0</v>
      </c>
      <c r="AV32" s="42" t="n">
        <f aca="false">-($D$27+$J$27)*(AV$5=0)+IF(AND(AV$5-$K$27&gt;=1,AV$5-$K$27&lt;=Inputs!$C$13),INDEX($N$30:$AL$30,1,AV$5-$K$27+1)*INDEX($N$31:$AL$31,1,AV$5-$K$27+1),0)-$I$27*((AV$5=Inputs!$C$12)*$C$29*$D$27+(AV$5=Inputs!$C$13)*$D$29*($D$27+Inputs!$C$14))+$I$27*((AV$5=Inputs!$C$15+$K$27)*$E$29*$I$29+(AV$5=Inputs!$C$16+$K$27)*$F$29*$J$29+(AV$5=Inputs!$C$17)*$G$29*$H$27*$H$29)</f>
        <v>0</v>
      </c>
      <c r="AW32" s="42" t="n">
        <f aca="false">-($D$27+$J$27)*(AW$5=0)+IF(AND(AW$5-$K$27&gt;=1,AW$5-$K$27&lt;=Inputs!$C$13),INDEX($N$30:$AL$30,1,AW$5-$K$27+1)*INDEX($N$31:$AL$31,1,AW$5-$K$27+1),0)-$I$27*((AW$5=Inputs!$C$12)*$C$29*$D$27+(AW$5=Inputs!$C$13)*$D$29*($D$27+Inputs!$C$14))+$I$27*((AW$5=Inputs!$C$15+$K$27)*$E$29*$I$29+(AW$5=Inputs!$C$16+$K$27)*$F$29*$J$29+(AW$5=Inputs!$C$17)*$G$29*$H$27*$H$29)</f>
        <v>0</v>
      </c>
      <c r="AX32" s="42" t="n">
        <f aca="false">-($D$27+$J$27)*(AX$5=0)+IF(AND(AX$5-$K$27&gt;=1,AX$5-$K$27&lt;=Inputs!$C$13),INDEX($N$30:$AL$30,1,AX$5-$K$27+1)*INDEX($N$31:$AL$31,1,AX$5-$K$27+1),0)-$I$27*((AX$5=Inputs!$C$12)*$C$29*$D$27+(AX$5=Inputs!$C$13)*$D$29*($D$27+Inputs!$C$14))+$I$27*((AX$5=Inputs!$C$15+$K$27)*$E$29*$I$29+(AX$5=Inputs!$C$16+$K$27)*$F$29*$J$29+(AX$5=Inputs!$C$17)*$G$29*$H$27*$H$29)</f>
        <v>1.94400000000001</v>
      </c>
      <c r="AY32" s="42" t="n">
        <f aca="false">-($D$27+$J$27)*(AY$5=0)+IF(AND(AY$5-$K$27&gt;=1,AY$5-$K$27&lt;=Inputs!$C$13),INDEX($N$30:$AL$30,1,AY$5-$K$27+1)*INDEX($N$31:$AL$31,1,AY$5-$K$27+1),0)-$I$27*((AY$5=Inputs!$C$12)*$C$29*$D$27+(AY$5=Inputs!$C$13)*$D$29*($D$27+Inputs!$C$14))+$I$27*((AY$5=Inputs!$C$15+$K$27)*$E$29*$I$29+(AY$5=Inputs!$C$16+$K$27)*$F$29*$J$29+(AY$5=Inputs!$C$17)*$G$29*$H$27*$H$29)</f>
        <v>0</v>
      </c>
    </row>
    <row r="34" customFormat="false" ht="15" hidden="false" customHeight="false" outlineLevel="0" collapsed="false">
      <c r="B34" s="7" t="s">
        <v>190</v>
      </c>
      <c r="C34" s="8"/>
      <c r="D34" s="8"/>
      <c r="E34" s="8"/>
      <c r="F34" s="8"/>
      <c r="G34" s="8"/>
      <c r="H34" s="8"/>
      <c r="I34" s="8"/>
      <c r="J34" s="8"/>
      <c r="K34" s="8"/>
      <c r="L34" s="8"/>
    </row>
    <row r="35" customFormat="false" ht="30" hidden="false" customHeight="true" outlineLevel="0" collapsed="false">
      <c r="B35" s="37"/>
      <c r="C35" s="38" t="s">
        <v>169</v>
      </c>
      <c r="D35" s="38" t="s">
        <v>170</v>
      </c>
      <c r="E35" s="38" t="s">
        <v>171</v>
      </c>
      <c r="F35" s="38" t="s">
        <v>43</v>
      </c>
      <c r="G35" s="38" t="s">
        <v>44</v>
      </c>
      <c r="H35" s="38" t="s">
        <v>45</v>
      </c>
      <c r="I35" s="38" t="s">
        <v>172</v>
      </c>
      <c r="J35" s="38" t="s">
        <v>90</v>
      </c>
      <c r="K35" s="38" t="s">
        <v>89</v>
      </c>
      <c r="L35" s="38" t="s">
        <v>173</v>
      </c>
    </row>
    <row r="36" customFormat="false" ht="15" hidden="false" customHeight="false" outlineLevel="0" collapsed="false">
      <c r="B36" s="39" t="s">
        <v>174</v>
      </c>
      <c r="C36" s="26" t="n">
        <f aca="false">Class_IRR!$F$5</f>
        <v>0.05</v>
      </c>
      <c r="D36" s="30" t="n">
        <f aca="false">Inputs!$E$23</f>
        <v>4200</v>
      </c>
      <c r="E36" s="26" t="n">
        <f aca="false">Inputs!$F$23</f>
        <v>0.985</v>
      </c>
      <c r="F36" s="25" t="n">
        <f aca="false">Inputs!$G$23</f>
        <v>0.8</v>
      </c>
      <c r="G36" s="25" t="n">
        <f aca="false">Inputs!$H$23</f>
        <v>0.95</v>
      </c>
      <c r="H36" s="25" t="n">
        <f aca="false">Inputs!$I$23</f>
        <v>0.9</v>
      </c>
      <c r="I36" s="22" t="n">
        <f aca="false">Inputs!$J$23</f>
        <v>1</v>
      </c>
      <c r="J36" s="23" t="n">
        <f aca="false">Inputs!$C$9</f>
        <v>10</v>
      </c>
      <c r="K36" s="22" t="n">
        <f aca="false">Inputs!$C$10</f>
        <v>1</v>
      </c>
      <c r="L36" s="22" t="n">
        <f aca="false">1</f>
        <v>1</v>
      </c>
    </row>
    <row r="37" customFormat="false" ht="30" hidden="false" customHeight="true" outlineLevel="0" collapsed="false">
      <c r="B37" s="37"/>
      <c r="C37" s="38" t="s">
        <v>175</v>
      </c>
      <c r="D37" s="38" t="s">
        <v>176</v>
      </c>
      <c r="E37" s="38" t="s">
        <v>177</v>
      </c>
      <c r="F37" s="38" t="s">
        <v>178</v>
      </c>
      <c r="G37" s="38" t="s">
        <v>112</v>
      </c>
      <c r="H37" s="38" t="s">
        <v>179</v>
      </c>
      <c r="I37" s="38" t="s">
        <v>180</v>
      </c>
      <c r="J37" s="38" t="s">
        <v>181</v>
      </c>
      <c r="K37" s="38" t="s">
        <v>182</v>
      </c>
      <c r="L37" s="38" t="s">
        <v>183</v>
      </c>
    </row>
    <row r="38" customFormat="false" ht="15" hidden="false" customHeight="false" outlineLevel="0" collapsed="false">
      <c r="B38" s="39" t="s">
        <v>184</v>
      </c>
      <c r="C38" s="40" t="n">
        <f aca="false">1-$E$36*CHOOSE($L$36,INDEX(Timing!$C$7:$AA$7,1,Inputs!$C$12+1),INDEX(Timing!$C$8:$AA$8,1,Inputs!$C$12+1))</f>
        <v>0.2514</v>
      </c>
      <c r="D38" s="40" t="n">
        <f aca="false">1-$E$36*CHOOSE($L$36,INDEX(Timing!$C$7:$AA$7,1,Inputs!$C$13+1),INDEX(Timing!$C$8:$AA$8,1,Inputs!$C$13+1))</f>
        <v>0.015</v>
      </c>
      <c r="E38" s="40" t="n">
        <f aca="false">$I$36*$D$38*$F$36</f>
        <v>0.012</v>
      </c>
      <c r="F38" s="40" t="n">
        <f aca="false">$I$36*($D$38-$E$38)*$G$36</f>
        <v>0.00285</v>
      </c>
      <c r="G38" s="40" t="n">
        <f aca="false">$I$36*($D$38-$E$38-$F$38)</f>
        <v>0.00015</v>
      </c>
      <c r="H38" s="23" t="n">
        <f aca="false">$I$36*(3*$D$36+Inputs!$C$14)</f>
        <v>14400</v>
      </c>
      <c r="I38" s="23" t="n">
        <f aca="false">$I$36*($D$36*(1+IF($C$36&lt;=0,0,MAX($C$36*Inputs!$C$15/12,Inputs!$C$8)))+$D$36*(1+Inputs!$C$11*(Inputs!$C$15-Inputs!$C$12)/12)+$D$36*(1+Inputs!$C$11*(Inputs!$C$15-Inputs!$C$13)/12)+Inputs!$C$14)</f>
        <v>16006.5</v>
      </c>
      <c r="J38" s="23" t="n">
        <f aca="false">$I$36*($D$36*(1+IF($C$36&lt;=0,0,MAX($C$36*Inputs!$C$16/12,Inputs!$C$8)))+$D$36*(1+Inputs!$C$11*(Inputs!$C$16-Inputs!$C$12)/12)+$D$36*(1+Inputs!$C$11*(Inputs!$C$16-Inputs!$C$13)/12)+Inputs!$C$14)</f>
        <v>16437</v>
      </c>
      <c r="K38" s="40" t="n">
        <f aca="false">IRR($N$41:$AY$41,0.005)</f>
        <v>0.00670613587444234</v>
      </c>
      <c r="L38" s="41" t="n">
        <f aca="false">(1+$K$38)^12-1</f>
        <v>0.0835091613280998</v>
      </c>
    </row>
    <row r="39" customFormat="false" ht="15" hidden="false" customHeight="false" outlineLevel="0" collapsed="false">
      <c r="B39" s="9" t="s">
        <v>185</v>
      </c>
      <c r="N39" s="40" t="n">
        <f aca="false">0</f>
        <v>0</v>
      </c>
      <c r="O39" s="40" t="n">
        <f aca="false">$E$36*(CHOOSE($L$36,Timing!D$7,Timing!D$8)-CHOOSE($L$36,Timing!C$7,Timing!C$8))</f>
        <v>0.1182</v>
      </c>
      <c r="P39" s="40" t="n">
        <f aca="false">$E$36*(CHOOSE($L$36,Timing!E$7,Timing!E$8)-CHOOSE($L$36,Timing!D$7,Timing!D$8))</f>
        <v>0.0985</v>
      </c>
      <c r="Q39" s="40" t="n">
        <f aca="false">$E$36*(CHOOSE($L$36,Timing!F$7,Timing!F$8)-CHOOSE($L$36,Timing!E$7,Timing!E$8))</f>
        <v>0.08865</v>
      </c>
      <c r="R39" s="40" t="n">
        <f aca="false">$E$36*(CHOOSE($L$36,Timing!G$7,Timing!G$8)-CHOOSE($L$36,Timing!F$7,Timing!F$8))</f>
        <v>0.06895</v>
      </c>
      <c r="S39" s="40" t="n">
        <f aca="false">$E$36*(CHOOSE($L$36,Timing!H$7,Timing!H$8)-CHOOSE($L$36,Timing!G$7,Timing!G$8))</f>
        <v>0.06895</v>
      </c>
      <c r="T39" s="40" t="n">
        <f aca="false">$E$36*(CHOOSE($L$36,Timing!I$7,Timing!I$8)-CHOOSE($L$36,Timing!H$7,Timing!H$8))</f>
        <v>0.06895</v>
      </c>
      <c r="U39" s="40" t="n">
        <f aca="false">$E$36*(CHOOSE($L$36,Timing!J$7,Timing!J$8)-CHOOSE($L$36,Timing!I$7,Timing!I$8))</f>
        <v>0.0426833333333333</v>
      </c>
      <c r="V39" s="40" t="n">
        <f aca="false">$E$36*(CHOOSE($L$36,Timing!K$7,Timing!K$8)-CHOOSE($L$36,Timing!J$7,Timing!J$8))</f>
        <v>0.0426833333333333</v>
      </c>
      <c r="W39" s="40" t="n">
        <f aca="false">$E$36*(CHOOSE($L$36,Timing!L$7,Timing!L$8)-CHOOSE($L$36,Timing!K$7,Timing!K$8))</f>
        <v>0.0426833333333333</v>
      </c>
      <c r="X39" s="40" t="n">
        <f aca="false">$E$36*(CHOOSE($L$36,Timing!M$7,Timing!M$8)-CHOOSE($L$36,Timing!L$7,Timing!L$8))</f>
        <v>0.0361166666666666</v>
      </c>
      <c r="Y39" s="40" t="n">
        <f aca="false">$E$36*(CHOOSE($L$36,Timing!N$7,Timing!N$8)-CHOOSE($L$36,Timing!M$7,Timing!M$8))</f>
        <v>0.0361166666666667</v>
      </c>
      <c r="Z39" s="40" t="n">
        <f aca="false">$E$36*(CHOOSE($L$36,Timing!O$7,Timing!O$8)-CHOOSE($L$36,Timing!N$7,Timing!N$8))</f>
        <v>0.0361166666666666</v>
      </c>
      <c r="AA39" s="40" t="n">
        <f aca="false">$E$36*(CHOOSE($L$36,Timing!P$7,Timing!P$8)-CHOOSE($L$36,Timing!O$7,Timing!O$8))</f>
        <v>0.0229833333333333</v>
      </c>
      <c r="AB39" s="40" t="n">
        <f aca="false">$E$36*(CHOOSE($L$36,Timing!Q$7,Timing!Q$8)-CHOOSE($L$36,Timing!P$7,Timing!P$8))</f>
        <v>0.0229833333333333</v>
      </c>
      <c r="AC39" s="40" t="n">
        <f aca="false">$E$36*(CHOOSE($L$36,Timing!R$7,Timing!R$8)-CHOOSE($L$36,Timing!Q$7,Timing!Q$8))</f>
        <v>0.0229833333333334</v>
      </c>
      <c r="AD39" s="40" t="n">
        <f aca="false">$E$36*(CHOOSE($L$36,Timing!S$7,Timing!S$8)-CHOOSE($L$36,Timing!R$7,Timing!R$8))</f>
        <v>0.0229833333333333</v>
      </c>
      <c r="AE39" s="40" t="n">
        <f aca="false">$E$36*(CHOOSE($L$36,Timing!T$7,Timing!T$8)-CHOOSE($L$36,Timing!S$7,Timing!S$8))</f>
        <v>0.0229833333333333</v>
      </c>
      <c r="AF39" s="40" t="n">
        <f aca="false">$E$36*(CHOOSE($L$36,Timing!U$7,Timing!U$8)-CHOOSE($L$36,Timing!T$7,Timing!T$8))</f>
        <v>0.0229833333333333</v>
      </c>
      <c r="AG39" s="40" t="n">
        <f aca="false">$E$36*(CHOOSE($L$36,Timing!V$7,Timing!V$8)-CHOOSE($L$36,Timing!U$7,Timing!U$8))</f>
        <v>0.0164166666666667</v>
      </c>
      <c r="AH39" s="40" t="n">
        <f aca="false">$E$36*(CHOOSE($L$36,Timing!W$7,Timing!W$8)-CHOOSE($L$36,Timing!V$7,Timing!V$8))</f>
        <v>0.0164166666666666</v>
      </c>
      <c r="AI39" s="40" t="n">
        <f aca="false">$E$36*(CHOOSE($L$36,Timing!X$7,Timing!X$8)-CHOOSE($L$36,Timing!W$7,Timing!W$8))</f>
        <v>0.0164166666666666</v>
      </c>
      <c r="AJ39" s="40" t="n">
        <f aca="false">$E$36*(CHOOSE($L$36,Timing!Y$7,Timing!Y$8)-CHOOSE($L$36,Timing!X$7,Timing!X$8))</f>
        <v>0.0164166666666667</v>
      </c>
      <c r="AK39" s="40" t="n">
        <f aca="false">$E$36*(CHOOSE($L$36,Timing!Z$7,Timing!Z$8)-CHOOSE($L$36,Timing!Y$7,Timing!Y$8))</f>
        <v>0.0164166666666667</v>
      </c>
      <c r="AL39" s="40" t="n">
        <f aca="false">$E$36*(CHOOSE($L$36,Timing!AA$7,Timing!AA$8)-CHOOSE($L$36,Timing!Z$7,Timing!Z$8))</f>
        <v>0.0164166666666666</v>
      </c>
    </row>
    <row r="40" customFormat="false" ht="15" hidden="false" customHeight="false" outlineLevel="0" collapsed="false">
      <c r="B40" s="9" t="s">
        <v>186</v>
      </c>
      <c r="N40" s="42" t="n">
        <f aca="false">0</f>
        <v>0</v>
      </c>
      <c r="O40" s="42" t="n">
        <f aca="false">$D$36*(1+IF($C$36&lt;=0,0,MAX($C$36*O$5/12,Inputs!$C$8)))+$I$36*(O$5&gt;Inputs!$C$12)*$D$36*(1+Inputs!$C$11*(O$5-Inputs!$C$12)/12)</f>
        <v>4410</v>
      </c>
      <c r="P40" s="42" t="n">
        <f aca="false">$D$36*(1+IF($C$36&lt;=0,0,MAX($C$36*P$5/12,Inputs!$C$8)))+$I$36*(P$5&gt;Inputs!$C$12)*$D$36*(1+Inputs!$C$11*(P$5-Inputs!$C$12)/12)</f>
        <v>4410</v>
      </c>
      <c r="Q40" s="42" t="n">
        <f aca="false">$D$36*(1+IF($C$36&lt;=0,0,MAX($C$36*Q$5/12,Inputs!$C$8)))+$I$36*(Q$5&gt;Inputs!$C$12)*$D$36*(1+Inputs!$C$11*(Q$5-Inputs!$C$12)/12)</f>
        <v>4410</v>
      </c>
      <c r="R40" s="42" t="n">
        <f aca="false">$D$36*(1+IF($C$36&lt;=0,0,MAX($C$36*R$5/12,Inputs!$C$8)))+$I$36*(R$5&gt;Inputs!$C$12)*$D$36*(1+Inputs!$C$11*(R$5-Inputs!$C$12)/12)</f>
        <v>4410</v>
      </c>
      <c r="S40" s="42" t="n">
        <f aca="false">$D$36*(1+IF($C$36&lt;=0,0,MAX($C$36*S$5/12,Inputs!$C$8)))+$I$36*(S$5&gt;Inputs!$C$12)*$D$36*(1+Inputs!$C$11*(S$5-Inputs!$C$12)/12)</f>
        <v>4410</v>
      </c>
      <c r="T40" s="42" t="n">
        <f aca="false">$D$36*(1+IF($C$36&lt;=0,0,MAX($C$36*T$5/12,Inputs!$C$8)))+$I$36*(T$5&gt;Inputs!$C$12)*$D$36*(1+Inputs!$C$11*(T$5-Inputs!$C$12)/12)</f>
        <v>4410</v>
      </c>
      <c r="U40" s="42" t="n">
        <f aca="false">$D$36*(1+IF($C$36&lt;=0,0,MAX($C$36*U$5/12,Inputs!$C$8)))+$I$36*(U$5&gt;Inputs!$C$12)*$D$36*(1+Inputs!$C$11*(U$5-Inputs!$C$12)/12)</f>
        <v>4410</v>
      </c>
      <c r="V40" s="42" t="n">
        <f aca="false">$D$36*(1+IF($C$36&lt;=0,0,MAX($C$36*V$5/12,Inputs!$C$8)))+$I$36*(V$5&gt;Inputs!$C$12)*$D$36*(1+Inputs!$C$11*(V$5-Inputs!$C$12)/12)</f>
        <v>4410</v>
      </c>
      <c r="W40" s="42" t="n">
        <f aca="false">$D$36*(1+IF($C$36&lt;=0,0,MAX($C$36*W$5/12,Inputs!$C$8)))+$I$36*(W$5&gt;Inputs!$C$12)*$D$36*(1+Inputs!$C$11*(W$5-Inputs!$C$12)/12)</f>
        <v>4410</v>
      </c>
      <c r="X40" s="42" t="n">
        <f aca="false">$D$36*(1+IF($C$36&lt;=0,0,MAX($C$36*X$5/12,Inputs!$C$8)))+$I$36*(X$5&gt;Inputs!$C$12)*$D$36*(1+Inputs!$C$11*(X$5-Inputs!$C$12)/12)</f>
        <v>4410</v>
      </c>
      <c r="Y40" s="42" t="n">
        <f aca="false">$D$36*(1+IF($C$36&lt;=0,0,MAX($C$36*Y$5/12,Inputs!$C$8)))+$I$36*(Y$5&gt;Inputs!$C$12)*$D$36*(1+Inputs!$C$11*(Y$5-Inputs!$C$12)/12)</f>
        <v>4410</v>
      </c>
      <c r="Z40" s="42" t="n">
        <f aca="false">$D$36*(1+IF($C$36&lt;=0,0,MAX($C$36*Z$5/12,Inputs!$C$8)))+$I$36*(Z$5&gt;Inputs!$C$12)*$D$36*(1+Inputs!$C$11*(Z$5-Inputs!$C$12)/12)</f>
        <v>4410</v>
      </c>
      <c r="AA40" s="42" t="n">
        <f aca="false">$D$36*(1+IF($C$36&lt;=0,0,MAX($C$36*AA$5/12,Inputs!$C$8)))+$I$36*(AA$5&gt;Inputs!$C$12)*$D$36*(1+Inputs!$C$11*(AA$5-Inputs!$C$12)/12)</f>
        <v>8690.5</v>
      </c>
      <c r="AB40" s="42" t="n">
        <f aca="false">$D$36*(1+IF($C$36&lt;=0,0,MAX($C$36*AB$5/12,Inputs!$C$8)))+$I$36*(AB$5&gt;Inputs!$C$12)*$D$36*(1+Inputs!$C$11*(AB$5-Inputs!$C$12)/12)</f>
        <v>8771</v>
      </c>
      <c r="AC40" s="42" t="n">
        <f aca="false">$D$36*(1+IF($C$36&lt;=0,0,MAX($C$36*AC$5/12,Inputs!$C$8)))+$I$36*(AC$5&gt;Inputs!$C$12)*$D$36*(1+Inputs!$C$11*(AC$5-Inputs!$C$12)/12)</f>
        <v>8851.5</v>
      </c>
      <c r="AD40" s="42" t="n">
        <f aca="false">$D$36*(1+IF($C$36&lt;=0,0,MAX($C$36*AD$5/12,Inputs!$C$8)))+$I$36*(AD$5&gt;Inputs!$C$12)*$D$36*(1+Inputs!$C$11*(AD$5-Inputs!$C$12)/12)</f>
        <v>8932</v>
      </c>
      <c r="AE40" s="42" t="n">
        <f aca="false">$D$36*(1+IF($C$36&lt;=0,0,MAX($C$36*AE$5/12,Inputs!$C$8)))+$I$36*(AE$5&gt;Inputs!$C$12)*$D$36*(1+Inputs!$C$11*(AE$5-Inputs!$C$12)/12)</f>
        <v>9012.5</v>
      </c>
      <c r="AF40" s="42" t="n">
        <f aca="false">$D$36*(1+IF($C$36&lt;=0,0,MAX($C$36*AF$5/12,Inputs!$C$8)))+$I$36*(AF$5&gt;Inputs!$C$12)*$D$36*(1+Inputs!$C$11*(AF$5-Inputs!$C$12)/12)</f>
        <v>9093</v>
      </c>
      <c r="AG40" s="42" t="n">
        <f aca="false">$D$36*(1+IF($C$36&lt;=0,0,MAX($C$36*AG$5/12,Inputs!$C$8)))+$I$36*(AG$5&gt;Inputs!$C$12)*$D$36*(1+Inputs!$C$11*(AG$5-Inputs!$C$12)/12)</f>
        <v>9173.5</v>
      </c>
      <c r="AH40" s="42" t="n">
        <f aca="false">$D$36*(1+IF($C$36&lt;=0,0,MAX($C$36*AH$5/12,Inputs!$C$8)))+$I$36*(AH$5&gt;Inputs!$C$12)*$D$36*(1+Inputs!$C$11*(AH$5-Inputs!$C$12)/12)</f>
        <v>9254</v>
      </c>
      <c r="AI40" s="42" t="n">
        <f aca="false">$D$36*(1+IF($C$36&lt;=0,0,MAX($C$36*AI$5/12,Inputs!$C$8)))+$I$36*(AI$5&gt;Inputs!$C$12)*$D$36*(1+Inputs!$C$11*(AI$5-Inputs!$C$12)/12)</f>
        <v>9334.5</v>
      </c>
      <c r="AJ40" s="42" t="n">
        <f aca="false">$D$36*(1+IF($C$36&lt;=0,0,MAX($C$36*AJ$5/12,Inputs!$C$8)))+$I$36*(AJ$5&gt;Inputs!$C$12)*$D$36*(1+Inputs!$C$11*(AJ$5-Inputs!$C$12)/12)</f>
        <v>9415</v>
      </c>
      <c r="AK40" s="42" t="n">
        <f aca="false">$D$36*(1+IF($C$36&lt;=0,0,MAX($C$36*AK$5/12,Inputs!$C$8)))+$I$36*(AK$5&gt;Inputs!$C$12)*$D$36*(1+Inputs!$C$11*(AK$5-Inputs!$C$12)/12)</f>
        <v>9495.5</v>
      </c>
      <c r="AL40" s="42" t="n">
        <f aca="false">$D$36*(1+IF($C$36&lt;=0,0,MAX($C$36*AL$5/12,Inputs!$C$8)))+$I$36*(AL$5&gt;Inputs!$C$12)*$D$36*(1+Inputs!$C$11*(AL$5-Inputs!$C$12)/12)</f>
        <v>9576</v>
      </c>
    </row>
    <row r="41" customFormat="false" ht="15" hidden="false" customHeight="false" outlineLevel="0" collapsed="false">
      <c r="B41" s="31" t="s">
        <v>187</v>
      </c>
      <c r="N41" s="42" t="n">
        <f aca="false">-($D$36+$J$36)*(N$5=0)+IF(AND(N$5-$K$36&gt;=1,N$5-$K$36&lt;=Inputs!$C$13),INDEX($N$39:$AL$39,1,N$5-$K$36+1)*INDEX($N$40:$AL$40,1,N$5-$K$36+1),0)-$I$36*((N$5=Inputs!$C$12)*$C$38*$D$36+(N$5=Inputs!$C$13)*$D$38*($D$36+Inputs!$C$14))+$I$36*((N$5=Inputs!$C$15+$K$36)*$E$38*$I$38+(N$5=Inputs!$C$16+$K$36)*$F$38*$J$38+(N$5=Inputs!$C$17)*$G$38*$H$36*$H$38)</f>
        <v>-4210</v>
      </c>
      <c r="O41" s="42" t="n">
        <f aca="false">-($D$36+$J$36)*(O$5=0)+IF(AND(O$5-$K$36&gt;=1,O$5-$K$36&lt;=Inputs!$C$13),INDEX($N$39:$AL$39,1,O$5-$K$36+1)*INDEX($N$40:$AL$40,1,O$5-$K$36+1),0)-$I$36*((O$5=Inputs!$C$12)*$C$38*$D$36+(O$5=Inputs!$C$13)*$D$38*($D$36+Inputs!$C$14))+$I$36*((O$5=Inputs!$C$15+$K$36)*$E$38*$I$38+(O$5=Inputs!$C$16+$K$36)*$F$38*$J$38+(O$5=Inputs!$C$17)*$G$38*$H$36*$H$38)</f>
        <v>0</v>
      </c>
      <c r="P41" s="42" t="n">
        <f aca="false">-($D$36+$J$36)*(P$5=0)+IF(AND(P$5-$K$36&gt;=1,P$5-$K$36&lt;=Inputs!$C$13),INDEX($N$39:$AL$39,1,P$5-$K$36+1)*INDEX($N$40:$AL$40,1,P$5-$K$36+1),0)-$I$36*((P$5=Inputs!$C$12)*$C$38*$D$36+(P$5=Inputs!$C$13)*$D$38*($D$36+Inputs!$C$14))+$I$36*((P$5=Inputs!$C$15+$K$36)*$E$38*$I$38+(P$5=Inputs!$C$16+$K$36)*$F$38*$J$38+(P$5=Inputs!$C$17)*$G$38*$H$36*$H$38)</f>
        <v>521.262</v>
      </c>
      <c r="Q41" s="42" t="n">
        <f aca="false">-($D$36+$J$36)*(Q$5=0)+IF(AND(Q$5-$K$36&gt;=1,Q$5-$K$36&lt;=Inputs!$C$13),INDEX($N$39:$AL$39,1,Q$5-$K$36+1)*INDEX($N$40:$AL$40,1,Q$5-$K$36+1),0)-$I$36*((Q$5=Inputs!$C$12)*$C$38*$D$36+(Q$5=Inputs!$C$13)*$D$38*($D$36+Inputs!$C$14))+$I$36*((Q$5=Inputs!$C$15+$K$36)*$E$38*$I$38+(Q$5=Inputs!$C$16+$K$36)*$F$38*$J$38+(Q$5=Inputs!$C$17)*$G$38*$H$36*$H$38)</f>
        <v>434.385</v>
      </c>
      <c r="R41" s="42" t="n">
        <f aca="false">-($D$36+$J$36)*(R$5=0)+IF(AND(R$5-$K$36&gt;=1,R$5-$K$36&lt;=Inputs!$C$13),INDEX($N$39:$AL$39,1,R$5-$K$36+1)*INDEX($N$40:$AL$40,1,R$5-$K$36+1),0)-$I$36*((R$5=Inputs!$C$12)*$C$38*$D$36+(R$5=Inputs!$C$13)*$D$38*($D$36+Inputs!$C$14))+$I$36*((R$5=Inputs!$C$15+$K$36)*$E$38*$I$38+(R$5=Inputs!$C$16+$K$36)*$F$38*$J$38+(R$5=Inputs!$C$17)*$G$38*$H$36*$H$38)</f>
        <v>390.9465</v>
      </c>
      <c r="S41" s="42" t="n">
        <f aca="false">-($D$36+$J$36)*(S$5=0)+IF(AND(S$5-$K$36&gt;=1,S$5-$K$36&lt;=Inputs!$C$13),INDEX($N$39:$AL$39,1,S$5-$K$36+1)*INDEX($N$40:$AL$40,1,S$5-$K$36+1),0)-$I$36*((S$5=Inputs!$C$12)*$C$38*$D$36+(S$5=Inputs!$C$13)*$D$38*($D$36+Inputs!$C$14))+$I$36*((S$5=Inputs!$C$15+$K$36)*$E$38*$I$38+(S$5=Inputs!$C$16+$K$36)*$F$38*$J$38+(S$5=Inputs!$C$17)*$G$38*$H$36*$H$38)</f>
        <v>304.0695</v>
      </c>
      <c r="T41" s="42" t="n">
        <f aca="false">-($D$36+$J$36)*(T$5=0)+IF(AND(T$5-$K$36&gt;=1,T$5-$K$36&lt;=Inputs!$C$13),INDEX($N$39:$AL$39,1,T$5-$K$36+1)*INDEX($N$40:$AL$40,1,T$5-$K$36+1),0)-$I$36*((T$5=Inputs!$C$12)*$C$38*$D$36+(T$5=Inputs!$C$13)*$D$38*($D$36+Inputs!$C$14))+$I$36*((T$5=Inputs!$C$15+$K$36)*$E$38*$I$38+(T$5=Inputs!$C$16+$K$36)*$F$38*$J$38+(T$5=Inputs!$C$17)*$G$38*$H$36*$H$38)</f>
        <v>304.0695</v>
      </c>
      <c r="U41" s="42" t="n">
        <f aca="false">-($D$36+$J$36)*(U$5=0)+IF(AND(U$5-$K$36&gt;=1,U$5-$K$36&lt;=Inputs!$C$13),INDEX($N$39:$AL$39,1,U$5-$K$36+1)*INDEX($N$40:$AL$40,1,U$5-$K$36+1),0)-$I$36*((U$5=Inputs!$C$12)*$C$38*$D$36+(U$5=Inputs!$C$13)*$D$38*($D$36+Inputs!$C$14))+$I$36*((U$5=Inputs!$C$15+$K$36)*$E$38*$I$38+(U$5=Inputs!$C$16+$K$36)*$F$38*$J$38+(U$5=Inputs!$C$17)*$G$38*$H$36*$H$38)</f>
        <v>304.0695</v>
      </c>
      <c r="V41" s="42" t="n">
        <f aca="false">-($D$36+$J$36)*(V$5=0)+IF(AND(V$5-$K$36&gt;=1,V$5-$K$36&lt;=Inputs!$C$13),INDEX($N$39:$AL$39,1,V$5-$K$36+1)*INDEX($N$40:$AL$40,1,V$5-$K$36+1),0)-$I$36*((V$5=Inputs!$C$12)*$C$38*$D$36+(V$5=Inputs!$C$13)*$D$38*($D$36+Inputs!$C$14))+$I$36*((V$5=Inputs!$C$15+$K$36)*$E$38*$I$38+(V$5=Inputs!$C$16+$K$36)*$F$38*$J$38+(V$5=Inputs!$C$17)*$G$38*$H$36*$H$38)</f>
        <v>188.2335</v>
      </c>
      <c r="W41" s="42" t="n">
        <f aca="false">-($D$36+$J$36)*(W$5=0)+IF(AND(W$5-$K$36&gt;=1,W$5-$K$36&lt;=Inputs!$C$13),INDEX($N$39:$AL$39,1,W$5-$K$36+1)*INDEX($N$40:$AL$40,1,W$5-$K$36+1),0)-$I$36*((W$5=Inputs!$C$12)*$C$38*$D$36+(W$5=Inputs!$C$13)*$D$38*($D$36+Inputs!$C$14))+$I$36*((W$5=Inputs!$C$15+$K$36)*$E$38*$I$38+(W$5=Inputs!$C$16+$K$36)*$F$38*$J$38+(W$5=Inputs!$C$17)*$G$38*$H$36*$H$38)</f>
        <v>188.2335</v>
      </c>
      <c r="X41" s="42" t="n">
        <f aca="false">-($D$36+$J$36)*(X$5=0)+IF(AND(X$5-$K$36&gt;=1,X$5-$K$36&lt;=Inputs!$C$13),INDEX($N$39:$AL$39,1,X$5-$K$36+1)*INDEX($N$40:$AL$40,1,X$5-$K$36+1),0)-$I$36*((X$5=Inputs!$C$12)*$C$38*$D$36+(X$5=Inputs!$C$13)*$D$38*($D$36+Inputs!$C$14))+$I$36*((X$5=Inputs!$C$15+$K$36)*$E$38*$I$38+(X$5=Inputs!$C$16+$K$36)*$F$38*$J$38+(X$5=Inputs!$C$17)*$G$38*$H$36*$H$38)</f>
        <v>188.2335</v>
      </c>
      <c r="Y41" s="42" t="n">
        <f aca="false">-($D$36+$J$36)*(Y$5=0)+IF(AND(Y$5-$K$36&gt;=1,Y$5-$K$36&lt;=Inputs!$C$13),INDEX($N$39:$AL$39,1,Y$5-$K$36+1)*INDEX($N$40:$AL$40,1,Y$5-$K$36+1),0)-$I$36*((Y$5=Inputs!$C$12)*$C$38*$D$36+(Y$5=Inputs!$C$13)*$D$38*($D$36+Inputs!$C$14))+$I$36*((Y$5=Inputs!$C$15+$K$36)*$E$38*$I$38+(Y$5=Inputs!$C$16+$K$36)*$F$38*$J$38+(Y$5=Inputs!$C$17)*$G$38*$H$36*$H$38)</f>
        <v>159.2745</v>
      </c>
      <c r="Z41" s="42" t="n">
        <f aca="false">-($D$36+$J$36)*(Z$5=0)+IF(AND(Z$5-$K$36&gt;=1,Z$5-$K$36&lt;=Inputs!$C$13),INDEX($N$39:$AL$39,1,Z$5-$K$36+1)*INDEX($N$40:$AL$40,1,Z$5-$K$36+1),0)-$I$36*((Z$5=Inputs!$C$12)*$C$38*$D$36+(Z$5=Inputs!$C$13)*$D$38*($D$36+Inputs!$C$14))+$I$36*((Z$5=Inputs!$C$15+$K$36)*$E$38*$I$38+(Z$5=Inputs!$C$16+$K$36)*$F$38*$J$38+(Z$5=Inputs!$C$17)*$G$38*$H$36*$H$38)</f>
        <v>-896.6055</v>
      </c>
      <c r="AA41" s="42" t="n">
        <f aca="false">-($D$36+$J$36)*(AA$5=0)+IF(AND(AA$5-$K$36&gt;=1,AA$5-$K$36&lt;=Inputs!$C$13),INDEX($N$39:$AL$39,1,AA$5-$K$36+1)*INDEX($N$40:$AL$40,1,AA$5-$K$36+1),0)-$I$36*((AA$5=Inputs!$C$12)*$C$38*$D$36+(AA$5=Inputs!$C$13)*$D$38*($D$36+Inputs!$C$14))+$I$36*((AA$5=Inputs!$C$15+$K$36)*$E$38*$I$38+(AA$5=Inputs!$C$16+$K$36)*$F$38*$J$38+(AA$5=Inputs!$C$17)*$G$38*$H$36*$H$38)</f>
        <v>159.2745</v>
      </c>
      <c r="AB41" s="42" t="n">
        <f aca="false">-($D$36+$J$36)*(AB$5=0)+IF(AND(AB$5-$K$36&gt;=1,AB$5-$K$36&lt;=Inputs!$C$13),INDEX($N$39:$AL$39,1,AB$5-$K$36+1)*INDEX($N$40:$AL$40,1,AB$5-$K$36+1),0)-$I$36*((AB$5=Inputs!$C$12)*$C$38*$D$36+(AB$5=Inputs!$C$13)*$D$38*($D$36+Inputs!$C$14))+$I$36*((AB$5=Inputs!$C$15+$K$36)*$E$38*$I$38+(AB$5=Inputs!$C$16+$K$36)*$F$38*$J$38+(AB$5=Inputs!$C$17)*$G$38*$H$36*$H$38)</f>
        <v>199.736658333333</v>
      </c>
      <c r="AC41" s="42" t="n">
        <f aca="false">-($D$36+$J$36)*(AC$5=0)+IF(AND(AC$5-$K$36&gt;=1,AC$5-$K$36&lt;=Inputs!$C$13),INDEX($N$39:$AL$39,1,AC$5-$K$36+1)*INDEX($N$40:$AL$40,1,AC$5-$K$36+1),0)-$I$36*((AC$5=Inputs!$C$12)*$C$38*$D$36+(AC$5=Inputs!$C$13)*$D$38*($D$36+Inputs!$C$14))+$I$36*((AC$5=Inputs!$C$15+$K$36)*$E$38*$I$38+(AC$5=Inputs!$C$16+$K$36)*$F$38*$J$38+(AC$5=Inputs!$C$17)*$G$38*$H$36*$H$38)</f>
        <v>201.586816666667</v>
      </c>
      <c r="AD41" s="42" t="n">
        <f aca="false">-($D$36+$J$36)*(AD$5=0)+IF(AND(AD$5-$K$36&gt;=1,AD$5-$K$36&lt;=Inputs!$C$13),INDEX($N$39:$AL$39,1,AD$5-$K$36+1)*INDEX($N$40:$AL$40,1,AD$5-$K$36+1),0)-$I$36*((AD$5=Inputs!$C$12)*$C$38*$D$36+(AD$5=Inputs!$C$13)*$D$38*($D$36+Inputs!$C$14))+$I$36*((AD$5=Inputs!$C$15+$K$36)*$E$38*$I$38+(AD$5=Inputs!$C$16+$K$36)*$F$38*$J$38+(AD$5=Inputs!$C$17)*$G$38*$H$36*$H$38)</f>
        <v>203.436975000001</v>
      </c>
      <c r="AE41" s="42" t="n">
        <f aca="false">-($D$36+$J$36)*(AE$5=0)+IF(AND(AE$5-$K$36&gt;=1,AE$5-$K$36&lt;=Inputs!$C$13),INDEX($N$39:$AL$39,1,AE$5-$K$36+1)*INDEX($N$40:$AL$40,1,AE$5-$K$36+1),0)-$I$36*((AE$5=Inputs!$C$12)*$C$38*$D$36+(AE$5=Inputs!$C$13)*$D$38*($D$36+Inputs!$C$14))+$I$36*((AE$5=Inputs!$C$15+$K$36)*$E$38*$I$38+(AE$5=Inputs!$C$16+$K$36)*$F$38*$J$38+(AE$5=Inputs!$C$17)*$G$38*$H$36*$H$38)</f>
        <v>205.287133333333</v>
      </c>
      <c r="AF41" s="42" t="n">
        <f aca="false">-($D$36+$J$36)*(AF$5=0)+IF(AND(AF$5-$K$36&gt;=1,AF$5-$K$36&lt;=Inputs!$C$13),INDEX($N$39:$AL$39,1,AF$5-$K$36+1)*INDEX($N$40:$AL$40,1,AF$5-$K$36+1),0)-$I$36*((AF$5=Inputs!$C$12)*$C$38*$D$36+(AF$5=Inputs!$C$13)*$D$38*($D$36+Inputs!$C$14))+$I$36*((AF$5=Inputs!$C$15+$K$36)*$E$38*$I$38+(AF$5=Inputs!$C$16+$K$36)*$F$38*$J$38+(AF$5=Inputs!$C$17)*$G$38*$H$36*$H$38)</f>
        <v>207.137291666667</v>
      </c>
      <c r="AG41" s="42" t="n">
        <f aca="false">-($D$36+$J$36)*(AG$5=0)+IF(AND(AG$5-$K$36&gt;=1,AG$5-$K$36&lt;=Inputs!$C$13),INDEX($N$39:$AL$39,1,AG$5-$K$36+1)*INDEX($N$40:$AL$40,1,AG$5-$K$36+1),0)-$I$36*((AG$5=Inputs!$C$12)*$C$38*$D$36+(AG$5=Inputs!$C$13)*$D$38*($D$36+Inputs!$C$14))+$I$36*((AG$5=Inputs!$C$15+$K$36)*$E$38*$I$38+(AG$5=Inputs!$C$16+$K$36)*$F$38*$J$38+(AG$5=Inputs!$C$17)*$G$38*$H$36*$H$38)</f>
        <v>208.98745</v>
      </c>
      <c r="AH41" s="42" t="n">
        <f aca="false">-($D$36+$J$36)*(AH$5=0)+IF(AND(AH$5-$K$36&gt;=1,AH$5-$K$36&lt;=Inputs!$C$13),INDEX($N$39:$AL$39,1,AH$5-$K$36+1)*INDEX($N$40:$AL$40,1,AH$5-$K$36+1),0)-$I$36*((AH$5=Inputs!$C$12)*$C$38*$D$36+(AH$5=Inputs!$C$13)*$D$38*($D$36+Inputs!$C$14))+$I$36*((AH$5=Inputs!$C$15+$K$36)*$E$38*$I$38+(AH$5=Inputs!$C$16+$K$36)*$F$38*$J$38+(AH$5=Inputs!$C$17)*$G$38*$H$36*$H$38)</f>
        <v>150.598291666667</v>
      </c>
      <c r="AI41" s="42" t="n">
        <f aca="false">-($D$36+$J$36)*(AI$5=0)+IF(AND(AI$5-$K$36&gt;=1,AI$5-$K$36&lt;=Inputs!$C$13),INDEX($N$39:$AL$39,1,AI$5-$K$36+1)*INDEX($N$40:$AL$40,1,AI$5-$K$36+1),0)-$I$36*((AI$5=Inputs!$C$12)*$C$38*$D$36+(AI$5=Inputs!$C$13)*$D$38*($D$36+Inputs!$C$14))+$I$36*((AI$5=Inputs!$C$15+$K$36)*$E$38*$I$38+(AI$5=Inputs!$C$16+$K$36)*$F$38*$J$38+(AI$5=Inputs!$C$17)*$G$38*$H$36*$H$38)</f>
        <v>151.919833333333</v>
      </c>
      <c r="AJ41" s="42" t="n">
        <f aca="false">-($D$36+$J$36)*(AJ$5=0)+IF(AND(AJ$5-$K$36&gt;=1,AJ$5-$K$36&lt;=Inputs!$C$13),INDEX($N$39:$AL$39,1,AJ$5-$K$36+1)*INDEX($N$40:$AL$40,1,AJ$5-$K$36+1),0)-$I$36*((AJ$5=Inputs!$C$12)*$C$38*$D$36+(AJ$5=Inputs!$C$13)*$D$38*($D$36+Inputs!$C$14))+$I$36*((AJ$5=Inputs!$C$15+$K$36)*$E$38*$I$38+(AJ$5=Inputs!$C$16+$K$36)*$F$38*$J$38+(AJ$5=Inputs!$C$17)*$G$38*$H$36*$H$38)</f>
        <v>153.241374999999</v>
      </c>
      <c r="AK41" s="42" t="n">
        <f aca="false">-($D$36+$J$36)*(AK$5=0)+IF(AND(AK$5-$K$36&gt;=1,AK$5-$K$36&lt;=Inputs!$C$13),INDEX($N$39:$AL$39,1,AK$5-$K$36+1)*INDEX($N$40:$AL$40,1,AK$5-$K$36+1),0)-$I$36*((AK$5=Inputs!$C$12)*$C$38*$D$36+(AK$5=Inputs!$C$13)*$D$38*($D$36+Inputs!$C$14))+$I$36*((AK$5=Inputs!$C$15+$K$36)*$E$38*$I$38+(AK$5=Inputs!$C$16+$K$36)*$F$38*$J$38+(AK$5=Inputs!$C$17)*$G$38*$H$36*$H$38)</f>
        <v>154.562916666667</v>
      </c>
      <c r="AL41" s="42" t="n">
        <f aca="false">-($D$36+$J$36)*(AL$5=0)+IF(AND(AL$5-$K$36&gt;=1,AL$5-$K$36&lt;=Inputs!$C$13),INDEX($N$39:$AL$39,1,AL$5-$K$36+1)*INDEX($N$40:$AL$40,1,AL$5-$K$36+1),0)-$I$36*((AL$5=Inputs!$C$12)*$C$38*$D$36+(AL$5=Inputs!$C$13)*$D$38*($D$36+Inputs!$C$14))+$I$36*((AL$5=Inputs!$C$15+$K$36)*$E$38*$I$38+(AL$5=Inputs!$C$16+$K$36)*$F$38*$J$38+(AL$5=Inputs!$C$17)*$G$38*$H$36*$H$38)</f>
        <v>65.8844583333337</v>
      </c>
      <c r="AM41" s="42" t="n">
        <f aca="false">-($D$36+$J$36)*(AM$5=0)+IF(AND(AM$5-$K$36&gt;=1,AM$5-$K$36&lt;=Inputs!$C$13),INDEX($N$39:$AL$39,1,AM$5-$K$36+1)*INDEX($N$40:$AL$40,1,AM$5-$K$36+1),0)-$I$36*((AM$5=Inputs!$C$12)*$C$38*$D$36+(AM$5=Inputs!$C$13)*$D$38*($D$36+Inputs!$C$14))+$I$36*((AM$5=Inputs!$C$15+$K$36)*$E$38*$I$38+(AM$5=Inputs!$C$16+$K$36)*$F$38*$J$38+(AM$5=Inputs!$C$17)*$G$38*$H$36*$H$38)</f>
        <v>157.205999999999</v>
      </c>
      <c r="AN41" s="42" t="n">
        <f aca="false">-($D$36+$J$36)*(AN$5=0)+IF(AND(AN$5-$K$36&gt;=1,AN$5-$K$36&lt;=Inputs!$C$13),INDEX($N$39:$AL$39,1,AN$5-$K$36+1)*INDEX($N$40:$AL$40,1,AN$5-$K$36+1),0)-$I$36*((AN$5=Inputs!$C$12)*$C$38*$D$36+(AN$5=Inputs!$C$13)*$D$38*($D$36+Inputs!$C$14))+$I$36*((AN$5=Inputs!$C$15+$K$36)*$E$38*$I$38+(AN$5=Inputs!$C$16+$K$36)*$F$38*$J$38+(AN$5=Inputs!$C$17)*$G$38*$H$36*$H$38)</f>
        <v>0</v>
      </c>
      <c r="AO41" s="42" t="n">
        <f aca="false">-($D$36+$J$36)*(AO$5=0)+IF(AND(AO$5-$K$36&gt;=1,AO$5-$K$36&lt;=Inputs!$C$13),INDEX($N$39:$AL$39,1,AO$5-$K$36+1)*INDEX($N$40:$AL$40,1,AO$5-$K$36+1),0)-$I$36*((AO$5=Inputs!$C$12)*$C$38*$D$36+(AO$5=Inputs!$C$13)*$D$38*($D$36+Inputs!$C$14))+$I$36*((AO$5=Inputs!$C$15+$K$36)*$E$38*$I$38+(AO$5=Inputs!$C$16+$K$36)*$F$38*$J$38+(AO$5=Inputs!$C$17)*$G$38*$H$36*$H$38)</f>
        <v>0</v>
      </c>
      <c r="AP41" s="42" t="n">
        <f aca="false">-($D$36+$J$36)*(AP$5=0)+IF(AND(AP$5-$K$36&gt;=1,AP$5-$K$36&lt;=Inputs!$C$13),INDEX($N$39:$AL$39,1,AP$5-$K$36+1)*INDEX($N$40:$AL$40,1,AP$5-$K$36+1),0)-$I$36*((AP$5=Inputs!$C$12)*$C$38*$D$36+(AP$5=Inputs!$C$13)*$D$38*($D$36+Inputs!$C$14))+$I$36*((AP$5=Inputs!$C$15+$K$36)*$E$38*$I$38+(AP$5=Inputs!$C$16+$K$36)*$F$38*$J$38+(AP$5=Inputs!$C$17)*$G$38*$H$36*$H$38)</f>
        <v>192.078</v>
      </c>
      <c r="AQ41" s="42" t="n">
        <f aca="false">-($D$36+$J$36)*(AQ$5=0)+IF(AND(AQ$5-$K$36&gt;=1,AQ$5-$K$36&lt;=Inputs!$C$13),INDEX($N$39:$AL$39,1,AQ$5-$K$36+1)*INDEX($N$40:$AL$40,1,AQ$5-$K$36+1),0)-$I$36*((AQ$5=Inputs!$C$12)*$C$38*$D$36+(AQ$5=Inputs!$C$13)*$D$38*($D$36+Inputs!$C$14))+$I$36*((AQ$5=Inputs!$C$15+$K$36)*$E$38*$I$38+(AQ$5=Inputs!$C$16+$K$36)*$F$38*$J$38+(AQ$5=Inputs!$C$17)*$G$38*$H$36*$H$38)</f>
        <v>0</v>
      </c>
      <c r="AR41" s="42" t="n">
        <f aca="false">-($D$36+$J$36)*(AR$5=0)+IF(AND(AR$5-$K$36&gt;=1,AR$5-$K$36&lt;=Inputs!$C$13),INDEX($N$39:$AL$39,1,AR$5-$K$36+1)*INDEX($N$40:$AL$40,1,AR$5-$K$36+1),0)-$I$36*((AR$5=Inputs!$C$12)*$C$38*$D$36+(AR$5=Inputs!$C$13)*$D$38*($D$36+Inputs!$C$14))+$I$36*((AR$5=Inputs!$C$15+$K$36)*$E$38*$I$38+(AR$5=Inputs!$C$16+$K$36)*$F$38*$J$38+(AR$5=Inputs!$C$17)*$G$38*$H$36*$H$38)</f>
        <v>0</v>
      </c>
      <c r="AS41" s="42" t="n">
        <f aca="false">-($D$36+$J$36)*(AS$5=0)+IF(AND(AS$5-$K$36&gt;=1,AS$5-$K$36&lt;=Inputs!$C$13),INDEX($N$39:$AL$39,1,AS$5-$K$36+1)*INDEX($N$40:$AL$40,1,AS$5-$K$36+1),0)-$I$36*((AS$5=Inputs!$C$12)*$C$38*$D$36+(AS$5=Inputs!$C$13)*$D$38*($D$36+Inputs!$C$14))+$I$36*((AS$5=Inputs!$C$15+$K$36)*$E$38*$I$38+(AS$5=Inputs!$C$16+$K$36)*$F$38*$J$38+(AS$5=Inputs!$C$17)*$G$38*$H$36*$H$38)</f>
        <v>46.84545</v>
      </c>
      <c r="AT41" s="42" t="n">
        <f aca="false">-($D$36+$J$36)*(AT$5=0)+IF(AND(AT$5-$K$36&gt;=1,AT$5-$K$36&lt;=Inputs!$C$13),INDEX($N$39:$AL$39,1,AT$5-$K$36+1)*INDEX($N$40:$AL$40,1,AT$5-$K$36+1),0)-$I$36*((AT$5=Inputs!$C$12)*$C$38*$D$36+(AT$5=Inputs!$C$13)*$D$38*($D$36+Inputs!$C$14))+$I$36*((AT$5=Inputs!$C$15+$K$36)*$E$38*$I$38+(AT$5=Inputs!$C$16+$K$36)*$F$38*$J$38+(AT$5=Inputs!$C$17)*$G$38*$H$36*$H$38)</f>
        <v>0</v>
      </c>
      <c r="AU41" s="42" t="n">
        <f aca="false">-($D$36+$J$36)*(AU$5=0)+IF(AND(AU$5-$K$36&gt;=1,AU$5-$K$36&lt;=Inputs!$C$13),INDEX($N$39:$AL$39,1,AU$5-$K$36+1)*INDEX($N$40:$AL$40,1,AU$5-$K$36+1),0)-$I$36*((AU$5=Inputs!$C$12)*$C$38*$D$36+(AU$5=Inputs!$C$13)*$D$38*($D$36+Inputs!$C$14))+$I$36*((AU$5=Inputs!$C$15+$K$36)*$E$38*$I$38+(AU$5=Inputs!$C$16+$K$36)*$F$38*$J$38+(AU$5=Inputs!$C$17)*$G$38*$H$36*$H$38)</f>
        <v>0</v>
      </c>
      <c r="AV41" s="42" t="n">
        <f aca="false">-($D$36+$J$36)*(AV$5=0)+IF(AND(AV$5-$K$36&gt;=1,AV$5-$K$36&lt;=Inputs!$C$13),INDEX($N$39:$AL$39,1,AV$5-$K$36+1)*INDEX($N$40:$AL$40,1,AV$5-$K$36+1),0)-$I$36*((AV$5=Inputs!$C$12)*$C$38*$D$36+(AV$5=Inputs!$C$13)*$D$38*($D$36+Inputs!$C$14))+$I$36*((AV$5=Inputs!$C$15+$K$36)*$E$38*$I$38+(AV$5=Inputs!$C$16+$K$36)*$F$38*$J$38+(AV$5=Inputs!$C$17)*$G$38*$H$36*$H$38)</f>
        <v>0</v>
      </c>
      <c r="AW41" s="42" t="n">
        <f aca="false">-($D$36+$J$36)*(AW$5=0)+IF(AND(AW$5-$K$36&gt;=1,AW$5-$K$36&lt;=Inputs!$C$13),INDEX($N$39:$AL$39,1,AW$5-$K$36+1)*INDEX($N$40:$AL$40,1,AW$5-$K$36+1),0)-$I$36*((AW$5=Inputs!$C$12)*$C$38*$D$36+(AW$5=Inputs!$C$13)*$D$38*($D$36+Inputs!$C$14))+$I$36*((AW$5=Inputs!$C$15+$K$36)*$E$38*$I$38+(AW$5=Inputs!$C$16+$K$36)*$F$38*$J$38+(AW$5=Inputs!$C$17)*$G$38*$H$36*$H$38)</f>
        <v>0</v>
      </c>
      <c r="AX41" s="42" t="n">
        <f aca="false">-($D$36+$J$36)*(AX$5=0)+IF(AND(AX$5-$K$36&gt;=1,AX$5-$K$36&lt;=Inputs!$C$13),INDEX($N$39:$AL$39,1,AX$5-$K$36+1)*INDEX($N$40:$AL$40,1,AX$5-$K$36+1),0)-$I$36*((AX$5=Inputs!$C$12)*$C$38*$D$36+(AX$5=Inputs!$C$13)*$D$38*($D$36+Inputs!$C$14))+$I$36*((AX$5=Inputs!$C$15+$K$36)*$E$38*$I$38+(AX$5=Inputs!$C$16+$K$36)*$F$38*$J$38+(AX$5=Inputs!$C$17)*$G$38*$H$36*$H$38)</f>
        <v>1.94400000000001</v>
      </c>
      <c r="AY41" s="42" t="n">
        <f aca="false">-($D$36+$J$36)*(AY$5=0)+IF(AND(AY$5-$K$36&gt;=1,AY$5-$K$36&lt;=Inputs!$C$13),INDEX($N$39:$AL$39,1,AY$5-$K$36+1)*INDEX($N$40:$AL$40,1,AY$5-$K$36+1),0)-$I$36*((AY$5=Inputs!$C$12)*$C$38*$D$36+(AY$5=Inputs!$C$13)*$D$38*($D$36+Inputs!$C$14))+$I$36*((AY$5=Inputs!$C$15+$K$36)*$E$38*$I$38+(AY$5=Inputs!$C$16+$K$36)*$F$38*$J$38+(AY$5=Inputs!$C$17)*$G$38*$H$36*$H$38)</f>
        <v>0</v>
      </c>
    </row>
    <row r="43" customFormat="false" ht="15" hidden="false" customHeight="false" outlineLevel="0" collapsed="false">
      <c r="B43" s="7" t="s">
        <v>191</v>
      </c>
      <c r="C43" s="8"/>
      <c r="D43" s="8"/>
      <c r="E43" s="8"/>
      <c r="F43" s="8"/>
      <c r="G43" s="8"/>
      <c r="H43" s="8"/>
      <c r="I43" s="8"/>
      <c r="J43" s="8"/>
      <c r="K43" s="8"/>
      <c r="L43" s="8"/>
    </row>
    <row r="44" customFormat="false" ht="30" hidden="false" customHeight="true" outlineLevel="0" collapsed="false">
      <c r="B44" s="37"/>
      <c r="C44" s="38" t="s">
        <v>169</v>
      </c>
      <c r="D44" s="38" t="s">
        <v>170</v>
      </c>
      <c r="E44" s="38" t="s">
        <v>171</v>
      </c>
      <c r="F44" s="38" t="s">
        <v>43</v>
      </c>
      <c r="G44" s="38" t="s">
        <v>44</v>
      </c>
      <c r="H44" s="38" t="s">
        <v>45</v>
      </c>
      <c r="I44" s="38" t="s">
        <v>172</v>
      </c>
      <c r="J44" s="38" t="s">
        <v>90</v>
      </c>
      <c r="K44" s="38" t="s">
        <v>89</v>
      </c>
      <c r="L44" s="38" t="s">
        <v>173</v>
      </c>
    </row>
    <row r="45" customFormat="false" ht="15" hidden="false" customHeight="false" outlineLevel="0" collapsed="false">
      <c r="B45" s="39" t="s">
        <v>174</v>
      </c>
      <c r="C45" s="26" t="n">
        <f aca="false">Class_IRR!$G$5</f>
        <v>0.07</v>
      </c>
      <c r="D45" s="30" t="n">
        <f aca="false">Inputs!$E$23</f>
        <v>4200</v>
      </c>
      <c r="E45" s="26" t="n">
        <f aca="false">Inputs!$F$23</f>
        <v>0.985</v>
      </c>
      <c r="F45" s="25" t="n">
        <f aca="false">Inputs!$G$23</f>
        <v>0.8</v>
      </c>
      <c r="G45" s="25" t="n">
        <f aca="false">Inputs!$H$23</f>
        <v>0.95</v>
      </c>
      <c r="H45" s="25" t="n">
        <f aca="false">Inputs!$I$23</f>
        <v>0.9</v>
      </c>
      <c r="I45" s="22" t="n">
        <f aca="false">Inputs!$J$23</f>
        <v>1</v>
      </c>
      <c r="J45" s="23" t="n">
        <f aca="false">Inputs!$C$9</f>
        <v>10</v>
      </c>
      <c r="K45" s="22" t="n">
        <f aca="false">Inputs!$C$10</f>
        <v>1</v>
      </c>
      <c r="L45" s="22" t="n">
        <f aca="false">1</f>
        <v>1</v>
      </c>
    </row>
    <row r="46" customFormat="false" ht="30" hidden="false" customHeight="true" outlineLevel="0" collapsed="false">
      <c r="B46" s="37"/>
      <c r="C46" s="38" t="s">
        <v>175</v>
      </c>
      <c r="D46" s="38" t="s">
        <v>176</v>
      </c>
      <c r="E46" s="38" t="s">
        <v>177</v>
      </c>
      <c r="F46" s="38" t="s">
        <v>178</v>
      </c>
      <c r="G46" s="38" t="s">
        <v>112</v>
      </c>
      <c r="H46" s="38" t="s">
        <v>179</v>
      </c>
      <c r="I46" s="38" t="s">
        <v>180</v>
      </c>
      <c r="J46" s="38" t="s">
        <v>181</v>
      </c>
      <c r="K46" s="38" t="s">
        <v>182</v>
      </c>
      <c r="L46" s="38" t="s">
        <v>183</v>
      </c>
    </row>
    <row r="47" customFormat="false" ht="15" hidden="false" customHeight="false" outlineLevel="0" collapsed="false">
      <c r="B47" s="39" t="s">
        <v>184</v>
      </c>
      <c r="C47" s="40" t="n">
        <f aca="false">1-$E$45*CHOOSE($L$45,INDEX(Timing!$C$7:$AA$7,1,Inputs!$C$12+1),INDEX(Timing!$C$8:$AA$8,1,Inputs!$C$12+1))</f>
        <v>0.2514</v>
      </c>
      <c r="D47" s="40" t="n">
        <f aca="false">1-$E$45*CHOOSE($L$45,INDEX(Timing!$C$7:$AA$7,1,Inputs!$C$13+1),INDEX(Timing!$C$8:$AA$8,1,Inputs!$C$13+1))</f>
        <v>0.015</v>
      </c>
      <c r="E47" s="40" t="n">
        <f aca="false">$I$45*$D$47*$F$45</f>
        <v>0.012</v>
      </c>
      <c r="F47" s="40" t="n">
        <f aca="false">$I$45*($D$47-$E$47)*$G$45</f>
        <v>0.00285</v>
      </c>
      <c r="G47" s="40" t="n">
        <f aca="false">$I$45*($D$47-$E$47-$F$47)</f>
        <v>0.00015</v>
      </c>
      <c r="H47" s="23" t="n">
        <f aca="false">$I$45*(3*$D$45+Inputs!$C$14)</f>
        <v>14400</v>
      </c>
      <c r="I47" s="23" t="n">
        <f aca="false">$I$45*($D$45*(1+IF($C$45&lt;=0,0,MAX($C$45*Inputs!$C$15/12,Inputs!$C$8)))+$D$45*(1+Inputs!$C$11*(Inputs!$C$15-Inputs!$C$12)/12)+$D$45*(1+Inputs!$C$11*(Inputs!$C$15-Inputs!$C$13)/12)+Inputs!$C$14)</f>
        <v>16195.5</v>
      </c>
      <c r="J47" s="23" t="n">
        <f aca="false">$I$45*($D$45*(1+IF($C$45&lt;=0,0,MAX($C$45*Inputs!$C$16/12,Inputs!$C$8)))+$D$45*(1+Inputs!$C$11*(Inputs!$C$16-Inputs!$C$12)/12)+$D$45*(1+Inputs!$C$11*(Inputs!$C$16-Inputs!$C$13)/12)+Inputs!$C$14)</f>
        <v>16647</v>
      </c>
      <c r="K47" s="40" t="n">
        <f aca="false">IRR($N$50:$AY$50,0.005)</f>
        <v>0.00744247420531472</v>
      </c>
      <c r="L47" s="41" t="n">
        <f aca="false">(1+$K$47)^12-1</f>
        <v>0.0930576884806846</v>
      </c>
    </row>
    <row r="48" customFormat="false" ht="15" hidden="false" customHeight="false" outlineLevel="0" collapsed="false">
      <c r="B48" s="9" t="s">
        <v>185</v>
      </c>
      <c r="N48" s="40" t="n">
        <f aca="false">0</f>
        <v>0</v>
      </c>
      <c r="O48" s="40" t="n">
        <f aca="false">$E$45*(CHOOSE($L$45,Timing!D$7,Timing!D$8)-CHOOSE($L$45,Timing!C$7,Timing!C$8))</f>
        <v>0.1182</v>
      </c>
      <c r="P48" s="40" t="n">
        <f aca="false">$E$45*(CHOOSE($L$45,Timing!E$7,Timing!E$8)-CHOOSE($L$45,Timing!D$7,Timing!D$8))</f>
        <v>0.0985</v>
      </c>
      <c r="Q48" s="40" t="n">
        <f aca="false">$E$45*(CHOOSE($L$45,Timing!F$7,Timing!F$8)-CHOOSE($L$45,Timing!E$7,Timing!E$8))</f>
        <v>0.08865</v>
      </c>
      <c r="R48" s="40" t="n">
        <f aca="false">$E$45*(CHOOSE($L$45,Timing!G$7,Timing!G$8)-CHOOSE($L$45,Timing!F$7,Timing!F$8))</f>
        <v>0.06895</v>
      </c>
      <c r="S48" s="40" t="n">
        <f aca="false">$E$45*(CHOOSE($L$45,Timing!H$7,Timing!H$8)-CHOOSE($L$45,Timing!G$7,Timing!G$8))</f>
        <v>0.06895</v>
      </c>
      <c r="T48" s="40" t="n">
        <f aca="false">$E$45*(CHOOSE($L$45,Timing!I$7,Timing!I$8)-CHOOSE($L$45,Timing!H$7,Timing!H$8))</f>
        <v>0.06895</v>
      </c>
      <c r="U48" s="40" t="n">
        <f aca="false">$E$45*(CHOOSE($L$45,Timing!J$7,Timing!J$8)-CHOOSE($L$45,Timing!I$7,Timing!I$8))</f>
        <v>0.0426833333333333</v>
      </c>
      <c r="V48" s="40" t="n">
        <f aca="false">$E$45*(CHOOSE($L$45,Timing!K$7,Timing!K$8)-CHOOSE($L$45,Timing!J$7,Timing!J$8))</f>
        <v>0.0426833333333333</v>
      </c>
      <c r="W48" s="40" t="n">
        <f aca="false">$E$45*(CHOOSE($L$45,Timing!L$7,Timing!L$8)-CHOOSE($L$45,Timing!K$7,Timing!K$8))</f>
        <v>0.0426833333333333</v>
      </c>
      <c r="X48" s="40" t="n">
        <f aca="false">$E$45*(CHOOSE($L$45,Timing!M$7,Timing!M$8)-CHOOSE($L$45,Timing!L$7,Timing!L$8))</f>
        <v>0.0361166666666666</v>
      </c>
      <c r="Y48" s="40" t="n">
        <f aca="false">$E$45*(CHOOSE($L$45,Timing!N$7,Timing!N$8)-CHOOSE($L$45,Timing!M$7,Timing!M$8))</f>
        <v>0.0361166666666667</v>
      </c>
      <c r="Z48" s="40" t="n">
        <f aca="false">$E$45*(CHOOSE($L$45,Timing!O$7,Timing!O$8)-CHOOSE($L$45,Timing!N$7,Timing!N$8))</f>
        <v>0.0361166666666666</v>
      </c>
      <c r="AA48" s="40" t="n">
        <f aca="false">$E$45*(CHOOSE($L$45,Timing!P$7,Timing!P$8)-CHOOSE($L$45,Timing!O$7,Timing!O$8))</f>
        <v>0.0229833333333333</v>
      </c>
      <c r="AB48" s="40" t="n">
        <f aca="false">$E$45*(CHOOSE($L$45,Timing!Q$7,Timing!Q$8)-CHOOSE($L$45,Timing!P$7,Timing!P$8))</f>
        <v>0.0229833333333333</v>
      </c>
      <c r="AC48" s="40" t="n">
        <f aca="false">$E$45*(CHOOSE($L$45,Timing!R$7,Timing!R$8)-CHOOSE($L$45,Timing!Q$7,Timing!Q$8))</f>
        <v>0.0229833333333334</v>
      </c>
      <c r="AD48" s="40" t="n">
        <f aca="false">$E$45*(CHOOSE($L$45,Timing!S$7,Timing!S$8)-CHOOSE($L$45,Timing!R$7,Timing!R$8))</f>
        <v>0.0229833333333333</v>
      </c>
      <c r="AE48" s="40" t="n">
        <f aca="false">$E$45*(CHOOSE($L$45,Timing!T$7,Timing!T$8)-CHOOSE($L$45,Timing!S$7,Timing!S$8))</f>
        <v>0.0229833333333333</v>
      </c>
      <c r="AF48" s="40" t="n">
        <f aca="false">$E$45*(CHOOSE($L$45,Timing!U$7,Timing!U$8)-CHOOSE($L$45,Timing!T$7,Timing!T$8))</f>
        <v>0.0229833333333333</v>
      </c>
      <c r="AG48" s="40" t="n">
        <f aca="false">$E$45*(CHOOSE($L$45,Timing!V$7,Timing!V$8)-CHOOSE($L$45,Timing!U$7,Timing!U$8))</f>
        <v>0.0164166666666667</v>
      </c>
      <c r="AH48" s="40" t="n">
        <f aca="false">$E$45*(CHOOSE($L$45,Timing!W$7,Timing!W$8)-CHOOSE($L$45,Timing!V$7,Timing!V$8))</f>
        <v>0.0164166666666666</v>
      </c>
      <c r="AI48" s="40" t="n">
        <f aca="false">$E$45*(CHOOSE($L$45,Timing!X$7,Timing!X$8)-CHOOSE($L$45,Timing!W$7,Timing!W$8))</f>
        <v>0.0164166666666666</v>
      </c>
      <c r="AJ48" s="40" t="n">
        <f aca="false">$E$45*(CHOOSE($L$45,Timing!Y$7,Timing!Y$8)-CHOOSE($L$45,Timing!X$7,Timing!X$8))</f>
        <v>0.0164166666666667</v>
      </c>
      <c r="AK48" s="40" t="n">
        <f aca="false">$E$45*(CHOOSE($L$45,Timing!Z$7,Timing!Z$8)-CHOOSE($L$45,Timing!Y$7,Timing!Y$8))</f>
        <v>0.0164166666666667</v>
      </c>
      <c r="AL48" s="40" t="n">
        <f aca="false">$E$45*(CHOOSE($L$45,Timing!AA$7,Timing!AA$8)-CHOOSE($L$45,Timing!Z$7,Timing!Z$8))</f>
        <v>0.0164166666666666</v>
      </c>
    </row>
    <row r="49" customFormat="false" ht="15" hidden="false" customHeight="false" outlineLevel="0" collapsed="false">
      <c r="B49" s="9" t="s">
        <v>186</v>
      </c>
      <c r="N49" s="42" t="n">
        <f aca="false">0</f>
        <v>0</v>
      </c>
      <c r="O49" s="42" t="n">
        <f aca="false">$D$45*(1+IF($C$45&lt;=0,0,MAX($C$45*O$5/12,Inputs!$C$8)))+$I$45*(O$5&gt;Inputs!$C$12)*$D$45*(1+Inputs!$C$11*(O$5-Inputs!$C$12)/12)</f>
        <v>4410</v>
      </c>
      <c r="P49" s="42" t="n">
        <f aca="false">$D$45*(1+IF($C$45&lt;=0,0,MAX($C$45*P$5/12,Inputs!$C$8)))+$I$45*(P$5&gt;Inputs!$C$12)*$D$45*(1+Inputs!$C$11*(P$5-Inputs!$C$12)/12)</f>
        <v>4410</v>
      </c>
      <c r="Q49" s="42" t="n">
        <f aca="false">$D$45*(1+IF($C$45&lt;=0,0,MAX($C$45*Q$5/12,Inputs!$C$8)))+$I$45*(Q$5&gt;Inputs!$C$12)*$D$45*(1+Inputs!$C$11*(Q$5-Inputs!$C$12)/12)</f>
        <v>4410</v>
      </c>
      <c r="R49" s="42" t="n">
        <f aca="false">$D$45*(1+IF($C$45&lt;=0,0,MAX($C$45*R$5/12,Inputs!$C$8)))+$I$45*(R$5&gt;Inputs!$C$12)*$D$45*(1+Inputs!$C$11*(R$5-Inputs!$C$12)/12)</f>
        <v>4410</v>
      </c>
      <c r="S49" s="42" t="n">
        <f aca="false">$D$45*(1+IF($C$45&lt;=0,0,MAX($C$45*S$5/12,Inputs!$C$8)))+$I$45*(S$5&gt;Inputs!$C$12)*$D$45*(1+Inputs!$C$11*(S$5-Inputs!$C$12)/12)</f>
        <v>4410</v>
      </c>
      <c r="T49" s="42" t="n">
        <f aca="false">$D$45*(1+IF($C$45&lt;=0,0,MAX($C$45*T$5/12,Inputs!$C$8)))+$I$45*(T$5&gt;Inputs!$C$12)*$D$45*(1+Inputs!$C$11*(T$5-Inputs!$C$12)/12)</f>
        <v>4410</v>
      </c>
      <c r="U49" s="42" t="n">
        <f aca="false">$D$45*(1+IF($C$45&lt;=0,0,MAX($C$45*U$5/12,Inputs!$C$8)))+$I$45*(U$5&gt;Inputs!$C$12)*$D$45*(1+Inputs!$C$11*(U$5-Inputs!$C$12)/12)</f>
        <v>4410</v>
      </c>
      <c r="V49" s="42" t="n">
        <f aca="false">$D$45*(1+IF($C$45&lt;=0,0,MAX($C$45*V$5/12,Inputs!$C$8)))+$I$45*(V$5&gt;Inputs!$C$12)*$D$45*(1+Inputs!$C$11*(V$5-Inputs!$C$12)/12)</f>
        <v>4410</v>
      </c>
      <c r="W49" s="42" t="n">
        <f aca="false">$D$45*(1+IF($C$45&lt;=0,0,MAX($C$45*W$5/12,Inputs!$C$8)))+$I$45*(W$5&gt;Inputs!$C$12)*$D$45*(1+Inputs!$C$11*(W$5-Inputs!$C$12)/12)</f>
        <v>4420.5</v>
      </c>
      <c r="X49" s="42" t="n">
        <f aca="false">$D$45*(1+IF($C$45&lt;=0,0,MAX($C$45*X$5/12,Inputs!$C$8)))+$I$45*(X$5&gt;Inputs!$C$12)*$D$45*(1+Inputs!$C$11*(X$5-Inputs!$C$12)/12)</f>
        <v>4445</v>
      </c>
      <c r="Y49" s="42" t="n">
        <f aca="false">$D$45*(1+IF($C$45&lt;=0,0,MAX($C$45*Y$5/12,Inputs!$C$8)))+$I$45*(Y$5&gt;Inputs!$C$12)*$D$45*(1+Inputs!$C$11*(Y$5-Inputs!$C$12)/12)</f>
        <v>4469.5</v>
      </c>
      <c r="Z49" s="42" t="n">
        <f aca="false">$D$45*(1+IF($C$45&lt;=0,0,MAX($C$45*Z$5/12,Inputs!$C$8)))+$I$45*(Z$5&gt;Inputs!$C$12)*$D$45*(1+Inputs!$C$11*(Z$5-Inputs!$C$12)/12)</f>
        <v>4494</v>
      </c>
      <c r="AA49" s="42" t="n">
        <f aca="false">$D$45*(1+IF($C$45&lt;=0,0,MAX($C$45*AA$5/12,Inputs!$C$8)))+$I$45*(AA$5&gt;Inputs!$C$12)*$D$45*(1+Inputs!$C$11*(AA$5-Inputs!$C$12)/12)</f>
        <v>8781.5</v>
      </c>
      <c r="AB49" s="42" t="n">
        <f aca="false">$D$45*(1+IF($C$45&lt;=0,0,MAX($C$45*AB$5/12,Inputs!$C$8)))+$I$45*(AB$5&gt;Inputs!$C$12)*$D$45*(1+Inputs!$C$11*(AB$5-Inputs!$C$12)/12)</f>
        <v>8869</v>
      </c>
      <c r="AC49" s="42" t="n">
        <f aca="false">$D$45*(1+IF($C$45&lt;=0,0,MAX($C$45*AC$5/12,Inputs!$C$8)))+$I$45*(AC$5&gt;Inputs!$C$12)*$D$45*(1+Inputs!$C$11*(AC$5-Inputs!$C$12)/12)</f>
        <v>8956.5</v>
      </c>
      <c r="AD49" s="42" t="n">
        <f aca="false">$D$45*(1+IF($C$45&lt;=0,0,MAX($C$45*AD$5/12,Inputs!$C$8)))+$I$45*(AD$5&gt;Inputs!$C$12)*$D$45*(1+Inputs!$C$11*(AD$5-Inputs!$C$12)/12)</f>
        <v>9044</v>
      </c>
      <c r="AE49" s="42" t="n">
        <f aca="false">$D$45*(1+IF($C$45&lt;=0,0,MAX($C$45*AE$5/12,Inputs!$C$8)))+$I$45*(AE$5&gt;Inputs!$C$12)*$D$45*(1+Inputs!$C$11*(AE$5-Inputs!$C$12)/12)</f>
        <v>9131.5</v>
      </c>
      <c r="AF49" s="42" t="n">
        <f aca="false">$D$45*(1+IF($C$45&lt;=0,0,MAX($C$45*AF$5/12,Inputs!$C$8)))+$I$45*(AF$5&gt;Inputs!$C$12)*$D$45*(1+Inputs!$C$11*(AF$5-Inputs!$C$12)/12)</f>
        <v>9219</v>
      </c>
      <c r="AG49" s="42" t="n">
        <f aca="false">$D$45*(1+IF($C$45&lt;=0,0,MAX($C$45*AG$5/12,Inputs!$C$8)))+$I$45*(AG$5&gt;Inputs!$C$12)*$D$45*(1+Inputs!$C$11*(AG$5-Inputs!$C$12)/12)</f>
        <v>9306.5</v>
      </c>
      <c r="AH49" s="42" t="n">
        <f aca="false">$D$45*(1+IF($C$45&lt;=0,0,MAX($C$45*AH$5/12,Inputs!$C$8)))+$I$45*(AH$5&gt;Inputs!$C$12)*$D$45*(1+Inputs!$C$11*(AH$5-Inputs!$C$12)/12)</f>
        <v>9394</v>
      </c>
      <c r="AI49" s="42" t="n">
        <f aca="false">$D$45*(1+IF($C$45&lt;=0,0,MAX($C$45*AI$5/12,Inputs!$C$8)))+$I$45*(AI$5&gt;Inputs!$C$12)*$D$45*(1+Inputs!$C$11*(AI$5-Inputs!$C$12)/12)</f>
        <v>9481.5</v>
      </c>
      <c r="AJ49" s="42" t="n">
        <f aca="false">$D$45*(1+IF($C$45&lt;=0,0,MAX($C$45*AJ$5/12,Inputs!$C$8)))+$I$45*(AJ$5&gt;Inputs!$C$12)*$D$45*(1+Inputs!$C$11*(AJ$5-Inputs!$C$12)/12)</f>
        <v>9569</v>
      </c>
      <c r="AK49" s="42" t="n">
        <f aca="false">$D$45*(1+IF($C$45&lt;=0,0,MAX($C$45*AK$5/12,Inputs!$C$8)))+$I$45*(AK$5&gt;Inputs!$C$12)*$D$45*(1+Inputs!$C$11*(AK$5-Inputs!$C$12)/12)</f>
        <v>9656.5</v>
      </c>
      <c r="AL49" s="42" t="n">
        <f aca="false">$D$45*(1+IF($C$45&lt;=0,0,MAX($C$45*AL$5/12,Inputs!$C$8)))+$I$45*(AL$5&gt;Inputs!$C$12)*$D$45*(1+Inputs!$C$11*(AL$5-Inputs!$C$12)/12)</f>
        <v>9744</v>
      </c>
    </row>
    <row r="50" customFormat="false" ht="15" hidden="false" customHeight="false" outlineLevel="0" collapsed="false">
      <c r="B50" s="31" t="s">
        <v>187</v>
      </c>
      <c r="N50" s="42" t="n">
        <f aca="false">-($D$45+$J$45)*(N$5=0)+IF(AND(N$5-$K$45&gt;=1,N$5-$K$45&lt;=Inputs!$C$13),INDEX($N$48:$AL$48,1,N$5-$K$45+1)*INDEX($N$49:$AL$49,1,N$5-$K$45+1),0)-$I$45*((N$5=Inputs!$C$12)*$C$47*$D$45+(N$5=Inputs!$C$13)*$D$47*($D$45+Inputs!$C$14))+$I$45*((N$5=Inputs!$C$15+$K$45)*$E$47*$I$47+(N$5=Inputs!$C$16+$K$45)*$F$47*$J$47+(N$5=Inputs!$C$17)*$G$47*$H$45*$H$47)</f>
        <v>-4210</v>
      </c>
      <c r="O50" s="42" t="n">
        <f aca="false">-($D$45+$J$45)*(O$5=0)+IF(AND(O$5-$K$45&gt;=1,O$5-$K$45&lt;=Inputs!$C$13),INDEX($N$48:$AL$48,1,O$5-$K$45+1)*INDEX($N$49:$AL$49,1,O$5-$K$45+1),0)-$I$45*((O$5=Inputs!$C$12)*$C$47*$D$45+(O$5=Inputs!$C$13)*$D$47*($D$45+Inputs!$C$14))+$I$45*((O$5=Inputs!$C$15+$K$45)*$E$47*$I$47+(O$5=Inputs!$C$16+$K$45)*$F$47*$J$47+(O$5=Inputs!$C$17)*$G$47*$H$45*$H$47)</f>
        <v>0</v>
      </c>
      <c r="P50" s="42" t="n">
        <f aca="false">-($D$45+$J$45)*(P$5=0)+IF(AND(P$5-$K$45&gt;=1,P$5-$K$45&lt;=Inputs!$C$13),INDEX($N$48:$AL$48,1,P$5-$K$45+1)*INDEX($N$49:$AL$49,1,P$5-$K$45+1),0)-$I$45*((P$5=Inputs!$C$12)*$C$47*$D$45+(P$5=Inputs!$C$13)*$D$47*($D$45+Inputs!$C$14))+$I$45*((P$5=Inputs!$C$15+$K$45)*$E$47*$I$47+(P$5=Inputs!$C$16+$K$45)*$F$47*$J$47+(P$5=Inputs!$C$17)*$G$47*$H$45*$H$47)</f>
        <v>521.262</v>
      </c>
      <c r="Q50" s="42" t="n">
        <f aca="false">-($D$45+$J$45)*(Q$5=0)+IF(AND(Q$5-$K$45&gt;=1,Q$5-$K$45&lt;=Inputs!$C$13),INDEX($N$48:$AL$48,1,Q$5-$K$45+1)*INDEX($N$49:$AL$49,1,Q$5-$K$45+1),0)-$I$45*((Q$5=Inputs!$C$12)*$C$47*$D$45+(Q$5=Inputs!$C$13)*$D$47*($D$45+Inputs!$C$14))+$I$45*((Q$5=Inputs!$C$15+$K$45)*$E$47*$I$47+(Q$5=Inputs!$C$16+$K$45)*$F$47*$J$47+(Q$5=Inputs!$C$17)*$G$47*$H$45*$H$47)</f>
        <v>434.385</v>
      </c>
      <c r="R50" s="42" t="n">
        <f aca="false">-($D$45+$J$45)*(R$5=0)+IF(AND(R$5-$K$45&gt;=1,R$5-$K$45&lt;=Inputs!$C$13),INDEX($N$48:$AL$48,1,R$5-$K$45+1)*INDEX($N$49:$AL$49,1,R$5-$K$45+1),0)-$I$45*((R$5=Inputs!$C$12)*$C$47*$D$45+(R$5=Inputs!$C$13)*$D$47*($D$45+Inputs!$C$14))+$I$45*((R$5=Inputs!$C$15+$K$45)*$E$47*$I$47+(R$5=Inputs!$C$16+$K$45)*$F$47*$J$47+(R$5=Inputs!$C$17)*$G$47*$H$45*$H$47)</f>
        <v>390.9465</v>
      </c>
      <c r="S50" s="42" t="n">
        <f aca="false">-($D$45+$J$45)*(S$5=0)+IF(AND(S$5-$K$45&gt;=1,S$5-$K$45&lt;=Inputs!$C$13),INDEX($N$48:$AL$48,1,S$5-$K$45+1)*INDEX($N$49:$AL$49,1,S$5-$K$45+1),0)-$I$45*((S$5=Inputs!$C$12)*$C$47*$D$45+(S$5=Inputs!$C$13)*$D$47*($D$45+Inputs!$C$14))+$I$45*((S$5=Inputs!$C$15+$K$45)*$E$47*$I$47+(S$5=Inputs!$C$16+$K$45)*$F$47*$J$47+(S$5=Inputs!$C$17)*$G$47*$H$45*$H$47)</f>
        <v>304.0695</v>
      </c>
      <c r="T50" s="42" t="n">
        <f aca="false">-($D$45+$J$45)*(T$5=0)+IF(AND(T$5-$K$45&gt;=1,T$5-$K$45&lt;=Inputs!$C$13),INDEX($N$48:$AL$48,1,T$5-$K$45+1)*INDEX($N$49:$AL$49,1,T$5-$K$45+1),0)-$I$45*((T$5=Inputs!$C$12)*$C$47*$D$45+(T$5=Inputs!$C$13)*$D$47*($D$45+Inputs!$C$14))+$I$45*((T$5=Inputs!$C$15+$K$45)*$E$47*$I$47+(T$5=Inputs!$C$16+$K$45)*$F$47*$J$47+(T$5=Inputs!$C$17)*$G$47*$H$45*$H$47)</f>
        <v>304.0695</v>
      </c>
      <c r="U50" s="42" t="n">
        <f aca="false">-($D$45+$J$45)*(U$5=0)+IF(AND(U$5-$K$45&gt;=1,U$5-$K$45&lt;=Inputs!$C$13),INDEX($N$48:$AL$48,1,U$5-$K$45+1)*INDEX($N$49:$AL$49,1,U$5-$K$45+1),0)-$I$45*((U$5=Inputs!$C$12)*$C$47*$D$45+(U$5=Inputs!$C$13)*$D$47*($D$45+Inputs!$C$14))+$I$45*((U$5=Inputs!$C$15+$K$45)*$E$47*$I$47+(U$5=Inputs!$C$16+$K$45)*$F$47*$J$47+(U$5=Inputs!$C$17)*$G$47*$H$45*$H$47)</f>
        <v>304.0695</v>
      </c>
      <c r="V50" s="42" t="n">
        <f aca="false">-($D$45+$J$45)*(V$5=0)+IF(AND(V$5-$K$45&gt;=1,V$5-$K$45&lt;=Inputs!$C$13),INDEX($N$48:$AL$48,1,V$5-$K$45+1)*INDEX($N$49:$AL$49,1,V$5-$K$45+1),0)-$I$45*((V$5=Inputs!$C$12)*$C$47*$D$45+(V$5=Inputs!$C$13)*$D$47*($D$45+Inputs!$C$14))+$I$45*((V$5=Inputs!$C$15+$K$45)*$E$47*$I$47+(V$5=Inputs!$C$16+$K$45)*$F$47*$J$47+(V$5=Inputs!$C$17)*$G$47*$H$45*$H$47)</f>
        <v>188.2335</v>
      </c>
      <c r="W50" s="42" t="n">
        <f aca="false">-($D$45+$J$45)*(W$5=0)+IF(AND(W$5-$K$45&gt;=1,W$5-$K$45&lt;=Inputs!$C$13),INDEX($N$48:$AL$48,1,W$5-$K$45+1)*INDEX($N$49:$AL$49,1,W$5-$K$45+1),0)-$I$45*((W$5=Inputs!$C$12)*$C$47*$D$45+(W$5=Inputs!$C$13)*$D$47*($D$45+Inputs!$C$14))+$I$45*((W$5=Inputs!$C$15+$K$45)*$E$47*$I$47+(W$5=Inputs!$C$16+$K$45)*$F$47*$J$47+(W$5=Inputs!$C$17)*$G$47*$H$45*$H$47)</f>
        <v>188.2335</v>
      </c>
      <c r="X50" s="42" t="n">
        <f aca="false">-($D$45+$J$45)*(X$5=0)+IF(AND(X$5-$K$45&gt;=1,X$5-$K$45&lt;=Inputs!$C$13),INDEX($N$48:$AL$48,1,X$5-$K$45+1)*INDEX($N$49:$AL$49,1,X$5-$K$45+1),0)-$I$45*((X$5=Inputs!$C$12)*$C$47*$D$45+(X$5=Inputs!$C$13)*$D$47*($D$45+Inputs!$C$14))+$I$45*((X$5=Inputs!$C$15+$K$45)*$E$47*$I$47+(X$5=Inputs!$C$16+$K$45)*$F$47*$J$47+(X$5=Inputs!$C$17)*$G$47*$H$45*$H$47)</f>
        <v>188.681675</v>
      </c>
      <c r="Y50" s="42" t="n">
        <f aca="false">-($D$45+$J$45)*(Y$5=0)+IF(AND(Y$5-$K$45&gt;=1,Y$5-$K$45&lt;=Inputs!$C$13),INDEX($N$48:$AL$48,1,Y$5-$K$45+1)*INDEX($N$49:$AL$49,1,Y$5-$K$45+1),0)-$I$45*((Y$5=Inputs!$C$12)*$C$47*$D$45+(Y$5=Inputs!$C$13)*$D$47*($D$45+Inputs!$C$14))+$I$45*((Y$5=Inputs!$C$15+$K$45)*$E$47*$I$47+(Y$5=Inputs!$C$16+$K$45)*$F$47*$J$47+(Y$5=Inputs!$C$17)*$G$47*$H$45*$H$47)</f>
        <v>160.538583333333</v>
      </c>
      <c r="Z50" s="42" t="n">
        <f aca="false">-($D$45+$J$45)*(Z$5=0)+IF(AND(Z$5-$K$45&gt;=1,Z$5-$K$45&lt;=Inputs!$C$13),INDEX($N$48:$AL$48,1,Z$5-$K$45+1)*INDEX($N$49:$AL$49,1,Z$5-$K$45+1),0)-$I$45*((Z$5=Inputs!$C$12)*$C$47*$D$45+(Z$5=Inputs!$C$13)*$D$47*($D$45+Inputs!$C$14))+$I$45*((Z$5=Inputs!$C$15+$K$45)*$E$47*$I$47+(Z$5=Inputs!$C$16+$K$45)*$F$47*$J$47+(Z$5=Inputs!$C$17)*$G$47*$H$45*$H$47)</f>
        <v>-894.456558333333</v>
      </c>
      <c r="AA50" s="42" t="n">
        <f aca="false">-($D$45+$J$45)*(AA$5=0)+IF(AND(AA$5-$K$45&gt;=1,AA$5-$K$45&lt;=Inputs!$C$13),INDEX($N$48:$AL$48,1,AA$5-$K$45+1)*INDEX($N$49:$AL$49,1,AA$5-$K$45+1),0)-$I$45*((AA$5=Inputs!$C$12)*$C$47*$D$45+(AA$5=Inputs!$C$13)*$D$47*($D$45+Inputs!$C$14))+$I$45*((AA$5=Inputs!$C$15+$K$45)*$E$47*$I$47+(AA$5=Inputs!$C$16+$K$45)*$F$47*$J$47+(AA$5=Inputs!$C$17)*$G$47*$H$45*$H$47)</f>
        <v>162.3083</v>
      </c>
      <c r="AB50" s="42" t="n">
        <f aca="false">-($D$45+$J$45)*(AB$5=0)+IF(AND(AB$5-$K$45&gt;=1,AB$5-$K$45&lt;=Inputs!$C$13),INDEX($N$48:$AL$48,1,AB$5-$K$45+1)*INDEX($N$49:$AL$49,1,AB$5-$K$45+1),0)-$I$45*((AB$5=Inputs!$C$12)*$C$47*$D$45+(AB$5=Inputs!$C$13)*$D$47*($D$45+Inputs!$C$14))+$I$45*((AB$5=Inputs!$C$15+$K$45)*$E$47*$I$47+(AB$5=Inputs!$C$16+$K$45)*$F$47*$J$47+(AB$5=Inputs!$C$17)*$G$47*$H$45*$H$47)</f>
        <v>201.828141666667</v>
      </c>
      <c r="AC50" s="42" t="n">
        <f aca="false">-($D$45+$J$45)*(AC$5=0)+IF(AND(AC$5-$K$45&gt;=1,AC$5-$K$45&lt;=Inputs!$C$13),INDEX($N$48:$AL$48,1,AC$5-$K$45+1)*INDEX($N$49:$AL$49,1,AC$5-$K$45+1),0)-$I$45*((AC$5=Inputs!$C$12)*$C$47*$D$45+(AC$5=Inputs!$C$13)*$D$47*($D$45+Inputs!$C$14))+$I$45*((AC$5=Inputs!$C$15+$K$45)*$E$47*$I$47+(AC$5=Inputs!$C$16+$K$45)*$F$47*$J$47+(AC$5=Inputs!$C$17)*$G$47*$H$45*$H$47)</f>
        <v>203.839183333333</v>
      </c>
      <c r="AD50" s="42" t="n">
        <f aca="false">-($D$45+$J$45)*(AD$5=0)+IF(AND(AD$5-$K$45&gt;=1,AD$5-$K$45&lt;=Inputs!$C$13),INDEX($N$48:$AL$48,1,AD$5-$K$45+1)*INDEX($N$49:$AL$49,1,AD$5-$K$45+1),0)-$I$45*((AD$5=Inputs!$C$12)*$C$47*$D$45+(AD$5=Inputs!$C$13)*$D$47*($D$45+Inputs!$C$14))+$I$45*((AD$5=Inputs!$C$15+$K$45)*$E$47*$I$47+(AD$5=Inputs!$C$16+$K$45)*$F$47*$J$47+(AD$5=Inputs!$C$17)*$G$47*$H$45*$H$47)</f>
        <v>205.850225000001</v>
      </c>
      <c r="AE50" s="42" t="n">
        <f aca="false">-($D$45+$J$45)*(AE$5=0)+IF(AND(AE$5-$K$45&gt;=1,AE$5-$K$45&lt;=Inputs!$C$13),INDEX($N$48:$AL$48,1,AE$5-$K$45+1)*INDEX($N$49:$AL$49,1,AE$5-$K$45+1),0)-$I$45*((AE$5=Inputs!$C$12)*$C$47*$D$45+(AE$5=Inputs!$C$13)*$D$47*($D$45+Inputs!$C$14))+$I$45*((AE$5=Inputs!$C$15+$K$45)*$E$47*$I$47+(AE$5=Inputs!$C$16+$K$45)*$F$47*$J$47+(AE$5=Inputs!$C$17)*$G$47*$H$45*$H$47)</f>
        <v>207.861266666667</v>
      </c>
      <c r="AF50" s="42" t="n">
        <f aca="false">-($D$45+$J$45)*(AF$5=0)+IF(AND(AF$5-$K$45&gt;=1,AF$5-$K$45&lt;=Inputs!$C$13),INDEX($N$48:$AL$48,1,AF$5-$K$45+1)*INDEX($N$49:$AL$49,1,AF$5-$K$45+1),0)-$I$45*((AF$5=Inputs!$C$12)*$C$47*$D$45+(AF$5=Inputs!$C$13)*$D$47*($D$45+Inputs!$C$14))+$I$45*((AF$5=Inputs!$C$15+$K$45)*$E$47*$I$47+(AF$5=Inputs!$C$16+$K$45)*$F$47*$J$47+(AF$5=Inputs!$C$17)*$G$47*$H$45*$H$47)</f>
        <v>209.872308333333</v>
      </c>
      <c r="AG50" s="42" t="n">
        <f aca="false">-($D$45+$J$45)*(AG$5=0)+IF(AND(AG$5-$K$45&gt;=1,AG$5-$K$45&lt;=Inputs!$C$13),INDEX($N$48:$AL$48,1,AG$5-$K$45+1)*INDEX($N$49:$AL$49,1,AG$5-$K$45+1),0)-$I$45*((AG$5=Inputs!$C$12)*$C$47*$D$45+(AG$5=Inputs!$C$13)*$D$47*($D$45+Inputs!$C$14))+$I$45*((AG$5=Inputs!$C$15+$K$45)*$E$47*$I$47+(AG$5=Inputs!$C$16+$K$45)*$F$47*$J$47+(AG$5=Inputs!$C$17)*$G$47*$H$45*$H$47)</f>
        <v>211.88335</v>
      </c>
      <c r="AH50" s="42" t="n">
        <f aca="false">-($D$45+$J$45)*(AH$5=0)+IF(AND(AH$5-$K$45&gt;=1,AH$5-$K$45&lt;=Inputs!$C$13),INDEX($N$48:$AL$48,1,AH$5-$K$45+1)*INDEX($N$49:$AL$49,1,AH$5-$K$45+1),0)-$I$45*((AH$5=Inputs!$C$12)*$C$47*$D$45+(AH$5=Inputs!$C$13)*$D$47*($D$45+Inputs!$C$14))+$I$45*((AH$5=Inputs!$C$15+$K$45)*$E$47*$I$47+(AH$5=Inputs!$C$16+$K$45)*$F$47*$J$47+(AH$5=Inputs!$C$17)*$G$47*$H$45*$H$47)</f>
        <v>152.781708333334</v>
      </c>
      <c r="AI50" s="42" t="n">
        <f aca="false">-($D$45+$J$45)*(AI$5=0)+IF(AND(AI$5-$K$45&gt;=1,AI$5-$K$45&lt;=Inputs!$C$13),INDEX($N$48:$AL$48,1,AI$5-$K$45+1)*INDEX($N$49:$AL$49,1,AI$5-$K$45+1),0)-$I$45*((AI$5=Inputs!$C$12)*$C$47*$D$45+(AI$5=Inputs!$C$13)*$D$47*($D$45+Inputs!$C$14))+$I$45*((AI$5=Inputs!$C$15+$K$45)*$E$47*$I$47+(AI$5=Inputs!$C$16+$K$45)*$F$47*$J$47+(AI$5=Inputs!$C$17)*$G$47*$H$45*$H$47)</f>
        <v>154.218166666666</v>
      </c>
      <c r="AJ50" s="42" t="n">
        <f aca="false">-($D$45+$J$45)*(AJ$5=0)+IF(AND(AJ$5-$K$45&gt;=1,AJ$5-$K$45&lt;=Inputs!$C$13),INDEX($N$48:$AL$48,1,AJ$5-$K$45+1)*INDEX($N$49:$AL$49,1,AJ$5-$K$45+1),0)-$I$45*((AJ$5=Inputs!$C$12)*$C$47*$D$45+(AJ$5=Inputs!$C$13)*$D$47*($D$45+Inputs!$C$14))+$I$45*((AJ$5=Inputs!$C$15+$K$45)*$E$47*$I$47+(AJ$5=Inputs!$C$16+$K$45)*$F$47*$J$47+(AJ$5=Inputs!$C$17)*$G$47*$H$45*$H$47)</f>
        <v>155.654624999999</v>
      </c>
      <c r="AK50" s="42" t="n">
        <f aca="false">-($D$45+$J$45)*(AK$5=0)+IF(AND(AK$5-$K$45&gt;=1,AK$5-$K$45&lt;=Inputs!$C$13),INDEX($N$48:$AL$48,1,AK$5-$K$45+1)*INDEX($N$49:$AL$49,1,AK$5-$K$45+1),0)-$I$45*((AK$5=Inputs!$C$12)*$C$47*$D$45+(AK$5=Inputs!$C$13)*$D$47*($D$45+Inputs!$C$14))+$I$45*((AK$5=Inputs!$C$15+$K$45)*$E$47*$I$47+(AK$5=Inputs!$C$16+$K$45)*$F$47*$J$47+(AK$5=Inputs!$C$17)*$G$47*$H$45*$H$47)</f>
        <v>157.091083333334</v>
      </c>
      <c r="AL50" s="42" t="n">
        <f aca="false">-($D$45+$J$45)*(AL$5=0)+IF(AND(AL$5-$K$45&gt;=1,AL$5-$K$45&lt;=Inputs!$C$13),INDEX($N$48:$AL$48,1,AL$5-$K$45+1)*INDEX($N$49:$AL$49,1,AL$5-$K$45+1),0)-$I$45*((AL$5=Inputs!$C$12)*$C$47*$D$45+(AL$5=Inputs!$C$13)*$D$47*($D$45+Inputs!$C$14))+$I$45*((AL$5=Inputs!$C$15+$K$45)*$E$47*$I$47+(AL$5=Inputs!$C$16+$K$45)*$F$47*$J$47+(AL$5=Inputs!$C$17)*$G$47*$H$45*$H$47)</f>
        <v>68.5275416666671</v>
      </c>
      <c r="AM50" s="42" t="n">
        <f aca="false">-($D$45+$J$45)*(AM$5=0)+IF(AND(AM$5-$K$45&gt;=1,AM$5-$K$45&lt;=Inputs!$C$13),INDEX($N$48:$AL$48,1,AM$5-$K$45+1)*INDEX($N$49:$AL$49,1,AM$5-$K$45+1),0)-$I$45*((AM$5=Inputs!$C$12)*$C$47*$D$45+(AM$5=Inputs!$C$13)*$D$47*($D$45+Inputs!$C$14))+$I$45*((AM$5=Inputs!$C$15+$K$45)*$E$47*$I$47+(AM$5=Inputs!$C$16+$K$45)*$F$47*$J$47+(AM$5=Inputs!$C$17)*$G$47*$H$45*$H$47)</f>
        <v>159.963999999999</v>
      </c>
      <c r="AN50" s="42" t="n">
        <f aca="false">-($D$45+$J$45)*(AN$5=0)+IF(AND(AN$5-$K$45&gt;=1,AN$5-$K$45&lt;=Inputs!$C$13),INDEX($N$48:$AL$48,1,AN$5-$K$45+1)*INDEX($N$49:$AL$49,1,AN$5-$K$45+1),0)-$I$45*((AN$5=Inputs!$C$12)*$C$47*$D$45+(AN$5=Inputs!$C$13)*$D$47*($D$45+Inputs!$C$14))+$I$45*((AN$5=Inputs!$C$15+$K$45)*$E$47*$I$47+(AN$5=Inputs!$C$16+$K$45)*$F$47*$J$47+(AN$5=Inputs!$C$17)*$G$47*$H$45*$H$47)</f>
        <v>0</v>
      </c>
      <c r="AO50" s="42" t="n">
        <f aca="false">-($D$45+$J$45)*(AO$5=0)+IF(AND(AO$5-$K$45&gt;=1,AO$5-$K$45&lt;=Inputs!$C$13),INDEX($N$48:$AL$48,1,AO$5-$K$45+1)*INDEX($N$49:$AL$49,1,AO$5-$K$45+1),0)-$I$45*((AO$5=Inputs!$C$12)*$C$47*$D$45+(AO$5=Inputs!$C$13)*$D$47*($D$45+Inputs!$C$14))+$I$45*((AO$5=Inputs!$C$15+$K$45)*$E$47*$I$47+(AO$5=Inputs!$C$16+$K$45)*$F$47*$J$47+(AO$5=Inputs!$C$17)*$G$47*$H$45*$H$47)</f>
        <v>0</v>
      </c>
      <c r="AP50" s="42" t="n">
        <f aca="false">-($D$45+$J$45)*(AP$5=0)+IF(AND(AP$5-$K$45&gt;=1,AP$5-$K$45&lt;=Inputs!$C$13),INDEX($N$48:$AL$48,1,AP$5-$K$45+1)*INDEX($N$49:$AL$49,1,AP$5-$K$45+1),0)-$I$45*((AP$5=Inputs!$C$12)*$C$47*$D$45+(AP$5=Inputs!$C$13)*$D$47*($D$45+Inputs!$C$14))+$I$45*((AP$5=Inputs!$C$15+$K$45)*$E$47*$I$47+(AP$5=Inputs!$C$16+$K$45)*$F$47*$J$47+(AP$5=Inputs!$C$17)*$G$47*$H$45*$H$47)</f>
        <v>194.346</v>
      </c>
      <c r="AQ50" s="42" t="n">
        <f aca="false">-($D$45+$J$45)*(AQ$5=0)+IF(AND(AQ$5-$K$45&gt;=1,AQ$5-$K$45&lt;=Inputs!$C$13),INDEX($N$48:$AL$48,1,AQ$5-$K$45+1)*INDEX($N$49:$AL$49,1,AQ$5-$K$45+1),0)-$I$45*((AQ$5=Inputs!$C$12)*$C$47*$D$45+(AQ$5=Inputs!$C$13)*$D$47*($D$45+Inputs!$C$14))+$I$45*((AQ$5=Inputs!$C$15+$K$45)*$E$47*$I$47+(AQ$5=Inputs!$C$16+$K$45)*$F$47*$J$47+(AQ$5=Inputs!$C$17)*$G$47*$H$45*$H$47)</f>
        <v>0</v>
      </c>
      <c r="AR50" s="42" t="n">
        <f aca="false">-($D$45+$J$45)*(AR$5=0)+IF(AND(AR$5-$K$45&gt;=1,AR$5-$K$45&lt;=Inputs!$C$13),INDEX($N$48:$AL$48,1,AR$5-$K$45+1)*INDEX($N$49:$AL$49,1,AR$5-$K$45+1),0)-$I$45*((AR$5=Inputs!$C$12)*$C$47*$D$45+(AR$5=Inputs!$C$13)*$D$47*($D$45+Inputs!$C$14))+$I$45*((AR$5=Inputs!$C$15+$K$45)*$E$47*$I$47+(AR$5=Inputs!$C$16+$K$45)*$F$47*$J$47+(AR$5=Inputs!$C$17)*$G$47*$H$45*$H$47)</f>
        <v>0</v>
      </c>
      <c r="AS50" s="42" t="n">
        <f aca="false">-($D$45+$J$45)*(AS$5=0)+IF(AND(AS$5-$K$45&gt;=1,AS$5-$K$45&lt;=Inputs!$C$13),INDEX($N$48:$AL$48,1,AS$5-$K$45+1)*INDEX($N$49:$AL$49,1,AS$5-$K$45+1),0)-$I$45*((AS$5=Inputs!$C$12)*$C$47*$D$45+(AS$5=Inputs!$C$13)*$D$47*($D$45+Inputs!$C$14))+$I$45*((AS$5=Inputs!$C$15+$K$45)*$E$47*$I$47+(AS$5=Inputs!$C$16+$K$45)*$F$47*$J$47+(AS$5=Inputs!$C$17)*$G$47*$H$45*$H$47)</f>
        <v>47.44395</v>
      </c>
      <c r="AT50" s="42" t="n">
        <f aca="false">-($D$45+$J$45)*(AT$5=0)+IF(AND(AT$5-$K$45&gt;=1,AT$5-$K$45&lt;=Inputs!$C$13),INDEX($N$48:$AL$48,1,AT$5-$K$45+1)*INDEX($N$49:$AL$49,1,AT$5-$K$45+1),0)-$I$45*((AT$5=Inputs!$C$12)*$C$47*$D$45+(AT$5=Inputs!$C$13)*$D$47*($D$45+Inputs!$C$14))+$I$45*((AT$5=Inputs!$C$15+$K$45)*$E$47*$I$47+(AT$5=Inputs!$C$16+$K$45)*$F$47*$J$47+(AT$5=Inputs!$C$17)*$G$47*$H$45*$H$47)</f>
        <v>0</v>
      </c>
      <c r="AU50" s="42" t="n">
        <f aca="false">-($D$45+$J$45)*(AU$5=0)+IF(AND(AU$5-$K$45&gt;=1,AU$5-$K$45&lt;=Inputs!$C$13),INDEX($N$48:$AL$48,1,AU$5-$K$45+1)*INDEX($N$49:$AL$49,1,AU$5-$K$45+1),0)-$I$45*((AU$5=Inputs!$C$12)*$C$47*$D$45+(AU$5=Inputs!$C$13)*$D$47*($D$45+Inputs!$C$14))+$I$45*((AU$5=Inputs!$C$15+$K$45)*$E$47*$I$47+(AU$5=Inputs!$C$16+$K$45)*$F$47*$J$47+(AU$5=Inputs!$C$17)*$G$47*$H$45*$H$47)</f>
        <v>0</v>
      </c>
      <c r="AV50" s="42" t="n">
        <f aca="false">-($D$45+$J$45)*(AV$5=0)+IF(AND(AV$5-$K$45&gt;=1,AV$5-$K$45&lt;=Inputs!$C$13),INDEX($N$48:$AL$48,1,AV$5-$K$45+1)*INDEX($N$49:$AL$49,1,AV$5-$K$45+1),0)-$I$45*((AV$5=Inputs!$C$12)*$C$47*$D$45+(AV$5=Inputs!$C$13)*$D$47*($D$45+Inputs!$C$14))+$I$45*((AV$5=Inputs!$C$15+$K$45)*$E$47*$I$47+(AV$5=Inputs!$C$16+$K$45)*$F$47*$J$47+(AV$5=Inputs!$C$17)*$G$47*$H$45*$H$47)</f>
        <v>0</v>
      </c>
      <c r="AW50" s="42" t="n">
        <f aca="false">-($D$45+$J$45)*(AW$5=0)+IF(AND(AW$5-$K$45&gt;=1,AW$5-$K$45&lt;=Inputs!$C$13),INDEX($N$48:$AL$48,1,AW$5-$K$45+1)*INDEX($N$49:$AL$49,1,AW$5-$K$45+1),0)-$I$45*((AW$5=Inputs!$C$12)*$C$47*$D$45+(AW$5=Inputs!$C$13)*$D$47*($D$45+Inputs!$C$14))+$I$45*((AW$5=Inputs!$C$15+$K$45)*$E$47*$I$47+(AW$5=Inputs!$C$16+$K$45)*$F$47*$J$47+(AW$5=Inputs!$C$17)*$G$47*$H$45*$H$47)</f>
        <v>0</v>
      </c>
      <c r="AX50" s="42" t="n">
        <f aca="false">-($D$45+$J$45)*(AX$5=0)+IF(AND(AX$5-$K$45&gt;=1,AX$5-$K$45&lt;=Inputs!$C$13),INDEX($N$48:$AL$48,1,AX$5-$K$45+1)*INDEX($N$49:$AL$49,1,AX$5-$K$45+1),0)-$I$45*((AX$5=Inputs!$C$12)*$C$47*$D$45+(AX$5=Inputs!$C$13)*$D$47*($D$45+Inputs!$C$14))+$I$45*((AX$5=Inputs!$C$15+$K$45)*$E$47*$I$47+(AX$5=Inputs!$C$16+$K$45)*$F$47*$J$47+(AX$5=Inputs!$C$17)*$G$47*$H$45*$H$47)</f>
        <v>1.94400000000001</v>
      </c>
      <c r="AY50" s="42" t="n">
        <f aca="false">-($D$45+$J$45)*(AY$5=0)+IF(AND(AY$5-$K$45&gt;=1,AY$5-$K$45&lt;=Inputs!$C$13),INDEX($N$48:$AL$48,1,AY$5-$K$45+1)*INDEX($N$49:$AL$49,1,AY$5-$K$45+1),0)-$I$45*((AY$5=Inputs!$C$12)*$C$47*$D$45+(AY$5=Inputs!$C$13)*$D$47*($D$45+Inputs!$C$14))+$I$45*((AY$5=Inputs!$C$15+$K$45)*$E$47*$I$47+(AY$5=Inputs!$C$16+$K$45)*$F$47*$J$47+(AY$5=Inputs!$C$17)*$G$47*$H$45*$H$47)</f>
        <v>0</v>
      </c>
    </row>
    <row r="52" customFormat="false" ht="15" hidden="false" customHeight="false" outlineLevel="0" collapsed="false">
      <c r="B52" s="7" t="s">
        <v>192</v>
      </c>
      <c r="C52" s="8"/>
      <c r="D52" s="8"/>
      <c r="E52" s="8"/>
      <c r="F52" s="8"/>
      <c r="G52" s="8"/>
      <c r="H52" s="8"/>
      <c r="I52" s="8"/>
      <c r="J52" s="8"/>
      <c r="K52" s="8"/>
      <c r="L52" s="8"/>
    </row>
    <row r="53" customFormat="false" ht="30" hidden="false" customHeight="true" outlineLevel="0" collapsed="false">
      <c r="B53" s="37"/>
      <c r="C53" s="38" t="s">
        <v>169</v>
      </c>
      <c r="D53" s="38" t="s">
        <v>170</v>
      </c>
      <c r="E53" s="38" t="s">
        <v>171</v>
      </c>
      <c r="F53" s="38" t="s">
        <v>43</v>
      </c>
      <c r="G53" s="38" t="s">
        <v>44</v>
      </c>
      <c r="H53" s="38" t="s">
        <v>45</v>
      </c>
      <c r="I53" s="38" t="s">
        <v>172</v>
      </c>
      <c r="J53" s="38" t="s">
        <v>90</v>
      </c>
      <c r="K53" s="38" t="s">
        <v>89</v>
      </c>
      <c r="L53" s="38" t="s">
        <v>173</v>
      </c>
    </row>
    <row r="54" customFormat="false" ht="15" hidden="false" customHeight="false" outlineLevel="0" collapsed="false">
      <c r="B54" s="39" t="s">
        <v>174</v>
      </c>
      <c r="C54" s="26" t="n">
        <f aca="false">Class_IRR!$H$5</f>
        <v>0.09</v>
      </c>
      <c r="D54" s="30" t="n">
        <f aca="false">Inputs!$E$23</f>
        <v>4200</v>
      </c>
      <c r="E54" s="26" t="n">
        <f aca="false">Inputs!$F$23</f>
        <v>0.985</v>
      </c>
      <c r="F54" s="25" t="n">
        <f aca="false">Inputs!$G$23</f>
        <v>0.8</v>
      </c>
      <c r="G54" s="25" t="n">
        <f aca="false">Inputs!$H$23</f>
        <v>0.95</v>
      </c>
      <c r="H54" s="25" t="n">
        <f aca="false">Inputs!$I$23</f>
        <v>0.9</v>
      </c>
      <c r="I54" s="22" t="n">
        <f aca="false">Inputs!$J$23</f>
        <v>1</v>
      </c>
      <c r="J54" s="23" t="n">
        <f aca="false">Inputs!$C$9</f>
        <v>10</v>
      </c>
      <c r="K54" s="22" t="n">
        <f aca="false">Inputs!$C$10</f>
        <v>1</v>
      </c>
      <c r="L54" s="22" t="n">
        <f aca="false">1</f>
        <v>1</v>
      </c>
    </row>
    <row r="55" customFormat="false" ht="30" hidden="false" customHeight="true" outlineLevel="0" collapsed="false">
      <c r="B55" s="37"/>
      <c r="C55" s="38" t="s">
        <v>175</v>
      </c>
      <c r="D55" s="38" t="s">
        <v>176</v>
      </c>
      <c r="E55" s="38" t="s">
        <v>177</v>
      </c>
      <c r="F55" s="38" t="s">
        <v>178</v>
      </c>
      <c r="G55" s="38" t="s">
        <v>112</v>
      </c>
      <c r="H55" s="38" t="s">
        <v>179</v>
      </c>
      <c r="I55" s="38" t="s">
        <v>180</v>
      </c>
      <c r="J55" s="38" t="s">
        <v>181</v>
      </c>
      <c r="K55" s="38" t="s">
        <v>182</v>
      </c>
      <c r="L55" s="38" t="s">
        <v>183</v>
      </c>
    </row>
    <row r="56" customFormat="false" ht="15" hidden="false" customHeight="false" outlineLevel="0" collapsed="false">
      <c r="B56" s="39" t="s">
        <v>184</v>
      </c>
      <c r="C56" s="40" t="n">
        <f aca="false">1-$E$54*CHOOSE($L$54,INDEX(Timing!$C$7:$AA$7,1,Inputs!$C$12+1),INDEX(Timing!$C$8:$AA$8,1,Inputs!$C$12+1))</f>
        <v>0.2514</v>
      </c>
      <c r="D56" s="40" t="n">
        <f aca="false">1-$E$54*CHOOSE($L$54,INDEX(Timing!$C$7:$AA$7,1,Inputs!$C$13+1),INDEX(Timing!$C$8:$AA$8,1,Inputs!$C$13+1))</f>
        <v>0.015</v>
      </c>
      <c r="E56" s="40" t="n">
        <f aca="false">$I$54*$D$56*$F$54</f>
        <v>0.012</v>
      </c>
      <c r="F56" s="40" t="n">
        <f aca="false">$I$54*($D$56-$E$56)*$G$54</f>
        <v>0.00285</v>
      </c>
      <c r="G56" s="40" t="n">
        <f aca="false">$I$54*($D$56-$E$56-$F$56)</f>
        <v>0.00015</v>
      </c>
      <c r="H56" s="23" t="n">
        <f aca="false">$I$54*(3*$D$54+Inputs!$C$14)</f>
        <v>14400</v>
      </c>
      <c r="I56" s="23" t="n">
        <f aca="false">$I$54*($D$54*(1+IF($C$54&lt;=0,0,MAX($C$54*Inputs!$C$15/12,Inputs!$C$8)))+$D$54*(1+Inputs!$C$11*(Inputs!$C$15-Inputs!$C$12)/12)+$D$54*(1+Inputs!$C$11*(Inputs!$C$15-Inputs!$C$13)/12)+Inputs!$C$14)</f>
        <v>16384.5</v>
      </c>
      <c r="J56" s="23" t="n">
        <f aca="false">$I$54*($D$54*(1+IF($C$54&lt;=0,0,MAX($C$54*Inputs!$C$16/12,Inputs!$C$8)))+$D$54*(1+Inputs!$C$11*(Inputs!$C$16-Inputs!$C$12)/12)+$D$54*(1+Inputs!$C$11*(Inputs!$C$16-Inputs!$C$13)/12)+Inputs!$C$14)</f>
        <v>16857</v>
      </c>
      <c r="K56" s="40" t="n">
        <f aca="false">IRR($N$59:$AY$59,0.005)</f>
        <v>0.00829383997804321</v>
      </c>
      <c r="L56" s="41" t="n">
        <f aca="false">(1+$K$56)^12-1</f>
        <v>0.104193960193682</v>
      </c>
    </row>
    <row r="57" customFormat="false" ht="15" hidden="false" customHeight="false" outlineLevel="0" collapsed="false">
      <c r="B57" s="9" t="s">
        <v>185</v>
      </c>
      <c r="N57" s="40" t="n">
        <f aca="false">0</f>
        <v>0</v>
      </c>
      <c r="O57" s="40" t="n">
        <f aca="false">$E$54*(CHOOSE($L$54,Timing!D$7,Timing!D$8)-CHOOSE($L$54,Timing!C$7,Timing!C$8))</f>
        <v>0.1182</v>
      </c>
      <c r="P57" s="40" t="n">
        <f aca="false">$E$54*(CHOOSE($L$54,Timing!E$7,Timing!E$8)-CHOOSE($L$54,Timing!D$7,Timing!D$8))</f>
        <v>0.0985</v>
      </c>
      <c r="Q57" s="40" t="n">
        <f aca="false">$E$54*(CHOOSE($L$54,Timing!F$7,Timing!F$8)-CHOOSE($L$54,Timing!E$7,Timing!E$8))</f>
        <v>0.08865</v>
      </c>
      <c r="R57" s="40" t="n">
        <f aca="false">$E$54*(CHOOSE($L$54,Timing!G$7,Timing!G$8)-CHOOSE($L$54,Timing!F$7,Timing!F$8))</f>
        <v>0.06895</v>
      </c>
      <c r="S57" s="40" t="n">
        <f aca="false">$E$54*(CHOOSE($L$54,Timing!H$7,Timing!H$8)-CHOOSE($L$54,Timing!G$7,Timing!G$8))</f>
        <v>0.06895</v>
      </c>
      <c r="T57" s="40" t="n">
        <f aca="false">$E$54*(CHOOSE($L$54,Timing!I$7,Timing!I$8)-CHOOSE($L$54,Timing!H$7,Timing!H$8))</f>
        <v>0.06895</v>
      </c>
      <c r="U57" s="40" t="n">
        <f aca="false">$E$54*(CHOOSE($L$54,Timing!J$7,Timing!J$8)-CHOOSE($L$54,Timing!I$7,Timing!I$8))</f>
        <v>0.0426833333333333</v>
      </c>
      <c r="V57" s="40" t="n">
        <f aca="false">$E$54*(CHOOSE($L$54,Timing!K$7,Timing!K$8)-CHOOSE($L$54,Timing!J$7,Timing!J$8))</f>
        <v>0.0426833333333333</v>
      </c>
      <c r="W57" s="40" t="n">
        <f aca="false">$E$54*(CHOOSE($L$54,Timing!L$7,Timing!L$8)-CHOOSE($L$54,Timing!K$7,Timing!K$8))</f>
        <v>0.0426833333333333</v>
      </c>
      <c r="X57" s="40" t="n">
        <f aca="false">$E$54*(CHOOSE($L$54,Timing!M$7,Timing!M$8)-CHOOSE($L$54,Timing!L$7,Timing!L$8))</f>
        <v>0.0361166666666666</v>
      </c>
      <c r="Y57" s="40" t="n">
        <f aca="false">$E$54*(CHOOSE($L$54,Timing!N$7,Timing!N$8)-CHOOSE($L$54,Timing!M$7,Timing!M$8))</f>
        <v>0.0361166666666667</v>
      </c>
      <c r="Z57" s="40" t="n">
        <f aca="false">$E$54*(CHOOSE($L$54,Timing!O$7,Timing!O$8)-CHOOSE($L$54,Timing!N$7,Timing!N$8))</f>
        <v>0.0361166666666666</v>
      </c>
      <c r="AA57" s="40" t="n">
        <f aca="false">$E$54*(CHOOSE($L$54,Timing!P$7,Timing!P$8)-CHOOSE($L$54,Timing!O$7,Timing!O$8))</f>
        <v>0.0229833333333333</v>
      </c>
      <c r="AB57" s="40" t="n">
        <f aca="false">$E$54*(CHOOSE($L$54,Timing!Q$7,Timing!Q$8)-CHOOSE($L$54,Timing!P$7,Timing!P$8))</f>
        <v>0.0229833333333333</v>
      </c>
      <c r="AC57" s="40" t="n">
        <f aca="false">$E$54*(CHOOSE($L$54,Timing!R$7,Timing!R$8)-CHOOSE($L$54,Timing!Q$7,Timing!Q$8))</f>
        <v>0.0229833333333334</v>
      </c>
      <c r="AD57" s="40" t="n">
        <f aca="false">$E$54*(CHOOSE($L$54,Timing!S$7,Timing!S$8)-CHOOSE($L$54,Timing!R$7,Timing!R$8))</f>
        <v>0.0229833333333333</v>
      </c>
      <c r="AE57" s="40" t="n">
        <f aca="false">$E$54*(CHOOSE($L$54,Timing!T$7,Timing!T$8)-CHOOSE($L$54,Timing!S$7,Timing!S$8))</f>
        <v>0.0229833333333333</v>
      </c>
      <c r="AF57" s="40" t="n">
        <f aca="false">$E$54*(CHOOSE($L$54,Timing!U$7,Timing!U$8)-CHOOSE($L$54,Timing!T$7,Timing!T$8))</f>
        <v>0.0229833333333333</v>
      </c>
      <c r="AG57" s="40" t="n">
        <f aca="false">$E$54*(CHOOSE($L$54,Timing!V$7,Timing!V$8)-CHOOSE($L$54,Timing!U$7,Timing!U$8))</f>
        <v>0.0164166666666667</v>
      </c>
      <c r="AH57" s="40" t="n">
        <f aca="false">$E$54*(CHOOSE($L$54,Timing!W$7,Timing!W$8)-CHOOSE($L$54,Timing!V$7,Timing!V$8))</f>
        <v>0.0164166666666666</v>
      </c>
      <c r="AI57" s="40" t="n">
        <f aca="false">$E$54*(CHOOSE($L$54,Timing!X$7,Timing!X$8)-CHOOSE($L$54,Timing!W$7,Timing!W$8))</f>
        <v>0.0164166666666666</v>
      </c>
      <c r="AJ57" s="40" t="n">
        <f aca="false">$E$54*(CHOOSE($L$54,Timing!Y$7,Timing!Y$8)-CHOOSE($L$54,Timing!X$7,Timing!X$8))</f>
        <v>0.0164166666666667</v>
      </c>
      <c r="AK57" s="40" t="n">
        <f aca="false">$E$54*(CHOOSE($L$54,Timing!Z$7,Timing!Z$8)-CHOOSE($L$54,Timing!Y$7,Timing!Y$8))</f>
        <v>0.0164166666666667</v>
      </c>
      <c r="AL57" s="40" t="n">
        <f aca="false">$E$54*(CHOOSE($L$54,Timing!AA$7,Timing!AA$8)-CHOOSE($L$54,Timing!Z$7,Timing!Z$8))</f>
        <v>0.0164166666666666</v>
      </c>
    </row>
    <row r="58" customFormat="false" ht="15" hidden="false" customHeight="false" outlineLevel="0" collapsed="false">
      <c r="B58" s="9" t="s">
        <v>186</v>
      </c>
      <c r="N58" s="42" t="n">
        <f aca="false">0</f>
        <v>0</v>
      </c>
      <c r="O58" s="42" t="n">
        <f aca="false">$D$54*(1+IF($C$54&lt;=0,0,MAX($C$54*O$5/12,Inputs!$C$8)))+$I$54*(O$5&gt;Inputs!$C$12)*$D$54*(1+Inputs!$C$11*(O$5-Inputs!$C$12)/12)</f>
        <v>4410</v>
      </c>
      <c r="P58" s="42" t="n">
        <f aca="false">$D$54*(1+IF($C$54&lt;=0,0,MAX($C$54*P$5/12,Inputs!$C$8)))+$I$54*(P$5&gt;Inputs!$C$12)*$D$54*(1+Inputs!$C$11*(P$5-Inputs!$C$12)/12)</f>
        <v>4410</v>
      </c>
      <c r="Q58" s="42" t="n">
        <f aca="false">$D$54*(1+IF($C$54&lt;=0,0,MAX($C$54*Q$5/12,Inputs!$C$8)))+$I$54*(Q$5&gt;Inputs!$C$12)*$D$54*(1+Inputs!$C$11*(Q$5-Inputs!$C$12)/12)</f>
        <v>4410</v>
      </c>
      <c r="R58" s="42" t="n">
        <f aca="false">$D$54*(1+IF($C$54&lt;=0,0,MAX($C$54*R$5/12,Inputs!$C$8)))+$I$54*(R$5&gt;Inputs!$C$12)*$D$54*(1+Inputs!$C$11*(R$5-Inputs!$C$12)/12)</f>
        <v>4410</v>
      </c>
      <c r="S58" s="42" t="n">
        <f aca="false">$D$54*(1+IF($C$54&lt;=0,0,MAX($C$54*S$5/12,Inputs!$C$8)))+$I$54*(S$5&gt;Inputs!$C$12)*$D$54*(1+Inputs!$C$11*(S$5-Inputs!$C$12)/12)</f>
        <v>4410</v>
      </c>
      <c r="T58" s="42" t="n">
        <f aca="false">$D$54*(1+IF($C$54&lt;=0,0,MAX($C$54*T$5/12,Inputs!$C$8)))+$I$54*(T$5&gt;Inputs!$C$12)*$D$54*(1+Inputs!$C$11*(T$5-Inputs!$C$12)/12)</f>
        <v>4410</v>
      </c>
      <c r="U58" s="42" t="n">
        <f aca="false">$D$54*(1+IF($C$54&lt;=0,0,MAX($C$54*U$5/12,Inputs!$C$8)))+$I$54*(U$5&gt;Inputs!$C$12)*$D$54*(1+Inputs!$C$11*(U$5-Inputs!$C$12)/12)</f>
        <v>4420.5</v>
      </c>
      <c r="V58" s="42" t="n">
        <f aca="false">$D$54*(1+IF($C$54&lt;=0,0,MAX($C$54*V$5/12,Inputs!$C$8)))+$I$54*(V$5&gt;Inputs!$C$12)*$D$54*(1+Inputs!$C$11*(V$5-Inputs!$C$12)/12)</f>
        <v>4452</v>
      </c>
      <c r="W58" s="42" t="n">
        <f aca="false">$D$54*(1+IF($C$54&lt;=0,0,MAX($C$54*W$5/12,Inputs!$C$8)))+$I$54*(W$5&gt;Inputs!$C$12)*$D$54*(1+Inputs!$C$11*(W$5-Inputs!$C$12)/12)</f>
        <v>4483.5</v>
      </c>
      <c r="X58" s="42" t="n">
        <f aca="false">$D$54*(1+IF($C$54&lt;=0,0,MAX($C$54*X$5/12,Inputs!$C$8)))+$I$54*(X$5&gt;Inputs!$C$12)*$D$54*(1+Inputs!$C$11*(X$5-Inputs!$C$12)/12)</f>
        <v>4515</v>
      </c>
      <c r="Y58" s="42" t="n">
        <f aca="false">$D$54*(1+IF($C$54&lt;=0,0,MAX($C$54*Y$5/12,Inputs!$C$8)))+$I$54*(Y$5&gt;Inputs!$C$12)*$D$54*(1+Inputs!$C$11*(Y$5-Inputs!$C$12)/12)</f>
        <v>4546.5</v>
      </c>
      <c r="Z58" s="42" t="n">
        <f aca="false">$D$54*(1+IF($C$54&lt;=0,0,MAX($C$54*Z$5/12,Inputs!$C$8)))+$I$54*(Z$5&gt;Inputs!$C$12)*$D$54*(1+Inputs!$C$11*(Z$5-Inputs!$C$12)/12)</f>
        <v>4578</v>
      </c>
      <c r="AA58" s="42" t="n">
        <f aca="false">$D$54*(1+IF($C$54&lt;=0,0,MAX($C$54*AA$5/12,Inputs!$C$8)))+$I$54*(AA$5&gt;Inputs!$C$12)*$D$54*(1+Inputs!$C$11*(AA$5-Inputs!$C$12)/12)</f>
        <v>8872.5</v>
      </c>
      <c r="AB58" s="42" t="n">
        <f aca="false">$D$54*(1+IF($C$54&lt;=0,0,MAX($C$54*AB$5/12,Inputs!$C$8)))+$I$54*(AB$5&gt;Inputs!$C$12)*$D$54*(1+Inputs!$C$11*(AB$5-Inputs!$C$12)/12)</f>
        <v>8967</v>
      </c>
      <c r="AC58" s="42" t="n">
        <f aca="false">$D$54*(1+IF($C$54&lt;=0,0,MAX($C$54*AC$5/12,Inputs!$C$8)))+$I$54*(AC$5&gt;Inputs!$C$12)*$D$54*(1+Inputs!$C$11*(AC$5-Inputs!$C$12)/12)</f>
        <v>9061.5</v>
      </c>
      <c r="AD58" s="42" t="n">
        <f aca="false">$D$54*(1+IF($C$54&lt;=0,0,MAX($C$54*AD$5/12,Inputs!$C$8)))+$I$54*(AD$5&gt;Inputs!$C$12)*$D$54*(1+Inputs!$C$11*(AD$5-Inputs!$C$12)/12)</f>
        <v>9156</v>
      </c>
      <c r="AE58" s="42" t="n">
        <f aca="false">$D$54*(1+IF($C$54&lt;=0,0,MAX($C$54*AE$5/12,Inputs!$C$8)))+$I$54*(AE$5&gt;Inputs!$C$12)*$D$54*(1+Inputs!$C$11*(AE$5-Inputs!$C$12)/12)</f>
        <v>9250.5</v>
      </c>
      <c r="AF58" s="42" t="n">
        <f aca="false">$D$54*(1+IF($C$54&lt;=0,0,MAX($C$54*AF$5/12,Inputs!$C$8)))+$I$54*(AF$5&gt;Inputs!$C$12)*$D$54*(1+Inputs!$C$11*(AF$5-Inputs!$C$12)/12)</f>
        <v>9345</v>
      </c>
      <c r="AG58" s="42" t="n">
        <f aca="false">$D$54*(1+IF($C$54&lt;=0,0,MAX($C$54*AG$5/12,Inputs!$C$8)))+$I$54*(AG$5&gt;Inputs!$C$12)*$D$54*(1+Inputs!$C$11*(AG$5-Inputs!$C$12)/12)</f>
        <v>9439.5</v>
      </c>
      <c r="AH58" s="42" t="n">
        <f aca="false">$D$54*(1+IF($C$54&lt;=0,0,MAX($C$54*AH$5/12,Inputs!$C$8)))+$I$54*(AH$5&gt;Inputs!$C$12)*$D$54*(1+Inputs!$C$11*(AH$5-Inputs!$C$12)/12)</f>
        <v>9534</v>
      </c>
      <c r="AI58" s="42" t="n">
        <f aca="false">$D$54*(1+IF($C$54&lt;=0,0,MAX($C$54*AI$5/12,Inputs!$C$8)))+$I$54*(AI$5&gt;Inputs!$C$12)*$D$54*(1+Inputs!$C$11*(AI$5-Inputs!$C$12)/12)</f>
        <v>9628.5</v>
      </c>
      <c r="AJ58" s="42" t="n">
        <f aca="false">$D$54*(1+IF($C$54&lt;=0,0,MAX($C$54*AJ$5/12,Inputs!$C$8)))+$I$54*(AJ$5&gt;Inputs!$C$12)*$D$54*(1+Inputs!$C$11*(AJ$5-Inputs!$C$12)/12)</f>
        <v>9723</v>
      </c>
      <c r="AK58" s="42" t="n">
        <f aca="false">$D$54*(1+IF($C$54&lt;=0,0,MAX($C$54*AK$5/12,Inputs!$C$8)))+$I$54*(AK$5&gt;Inputs!$C$12)*$D$54*(1+Inputs!$C$11*(AK$5-Inputs!$C$12)/12)</f>
        <v>9817.5</v>
      </c>
      <c r="AL58" s="42" t="n">
        <f aca="false">$D$54*(1+IF($C$54&lt;=0,0,MAX($C$54*AL$5/12,Inputs!$C$8)))+$I$54*(AL$5&gt;Inputs!$C$12)*$D$54*(1+Inputs!$C$11*(AL$5-Inputs!$C$12)/12)</f>
        <v>9912</v>
      </c>
    </row>
    <row r="59" customFormat="false" ht="15" hidden="false" customHeight="false" outlineLevel="0" collapsed="false">
      <c r="B59" s="31" t="s">
        <v>187</v>
      </c>
      <c r="N59" s="42" t="n">
        <f aca="false">-($D$54+$J$54)*(N$5=0)+IF(AND(N$5-$K$54&gt;=1,N$5-$K$54&lt;=Inputs!$C$13),INDEX($N$57:$AL$57,1,N$5-$K$54+1)*INDEX($N$58:$AL$58,1,N$5-$K$54+1),0)-$I$54*((N$5=Inputs!$C$12)*$C$56*$D$54+(N$5=Inputs!$C$13)*$D$56*($D$54+Inputs!$C$14))+$I$54*((N$5=Inputs!$C$15+$K$54)*$E$56*$I$56+(N$5=Inputs!$C$16+$K$54)*$F$56*$J$56+(N$5=Inputs!$C$17)*$G$56*$H$54*$H$56)</f>
        <v>-4210</v>
      </c>
      <c r="O59" s="42" t="n">
        <f aca="false">-($D$54+$J$54)*(O$5=0)+IF(AND(O$5-$K$54&gt;=1,O$5-$K$54&lt;=Inputs!$C$13),INDEX($N$57:$AL$57,1,O$5-$K$54+1)*INDEX($N$58:$AL$58,1,O$5-$K$54+1),0)-$I$54*((O$5=Inputs!$C$12)*$C$56*$D$54+(O$5=Inputs!$C$13)*$D$56*($D$54+Inputs!$C$14))+$I$54*((O$5=Inputs!$C$15+$K$54)*$E$56*$I$56+(O$5=Inputs!$C$16+$K$54)*$F$56*$J$56+(O$5=Inputs!$C$17)*$G$56*$H$54*$H$56)</f>
        <v>0</v>
      </c>
      <c r="P59" s="42" t="n">
        <f aca="false">-($D$54+$J$54)*(P$5=0)+IF(AND(P$5-$K$54&gt;=1,P$5-$K$54&lt;=Inputs!$C$13),INDEX($N$57:$AL$57,1,P$5-$K$54+1)*INDEX($N$58:$AL$58,1,P$5-$K$54+1),0)-$I$54*((P$5=Inputs!$C$12)*$C$56*$D$54+(P$5=Inputs!$C$13)*$D$56*($D$54+Inputs!$C$14))+$I$54*((P$5=Inputs!$C$15+$K$54)*$E$56*$I$56+(P$5=Inputs!$C$16+$K$54)*$F$56*$J$56+(P$5=Inputs!$C$17)*$G$56*$H$54*$H$56)</f>
        <v>521.262</v>
      </c>
      <c r="Q59" s="42" t="n">
        <f aca="false">-($D$54+$J$54)*(Q$5=0)+IF(AND(Q$5-$K$54&gt;=1,Q$5-$K$54&lt;=Inputs!$C$13),INDEX($N$57:$AL$57,1,Q$5-$K$54+1)*INDEX($N$58:$AL$58,1,Q$5-$K$54+1),0)-$I$54*((Q$5=Inputs!$C$12)*$C$56*$D$54+(Q$5=Inputs!$C$13)*$D$56*($D$54+Inputs!$C$14))+$I$54*((Q$5=Inputs!$C$15+$K$54)*$E$56*$I$56+(Q$5=Inputs!$C$16+$K$54)*$F$56*$J$56+(Q$5=Inputs!$C$17)*$G$56*$H$54*$H$56)</f>
        <v>434.385</v>
      </c>
      <c r="R59" s="42" t="n">
        <f aca="false">-($D$54+$J$54)*(R$5=0)+IF(AND(R$5-$K$54&gt;=1,R$5-$K$54&lt;=Inputs!$C$13),INDEX($N$57:$AL$57,1,R$5-$K$54+1)*INDEX($N$58:$AL$58,1,R$5-$K$54+1),0)-$I$54*((R$5=Inputs!$C$12)*$C$56*$D$54+(R$5=Inputs!$C$13)*$D$56*($D$54+Inputs!$C$14))+$I$54*((R$5=Inputs!$C$15+$K$54)*$E$56*$I$56+(R$5=Inputs!$C$16+$K$54)*$F$56*$J$56+(R$5=Inputs!$C$17)*$G$56*$H$54*$H$56)</f>
        <v>390.9465</v>
      </c>
      <c r="S59" s="42" t="n">
        <f aca="false">-($D$54+$J$54)*(S$5=0)+IF(AND(S$5-$K$54&gt;=1,S$5-$K$54&lt;=Inputs!$C$13),INDEX($N$57:$AL$57,1,S$5-$K$54+1)*INDEX($N$58:$AL$58,1,S$5-$K$54+1),0)-$I$54*((S$5=Inputs!$C$12)*$C$56*$D$54+(S$5=Inputs!$C$13)*$D$56*($D$54+Inputs!$C$14))+$I$54*((S$5=Inputs!$C$15+$K$54)*$E$56*$I$56+(S$5=Inputs!$C$16+$K$54)*$F$56*$J$56+(S$5=Inputs!$C$17)*$G$56*$H$54*$H$56)</f>
        <v>304.0695</v>
      </c>
      <c r="T59" s="42" t="n">
        <f aca="false">-($D$54+$J$54)*(T$5=0)+IF(AND(T$5-$K$54&gt;=1,T$5-$K$54&lt;=Inputs!$C$13),INDEX($N$57:$AL$57,1,T$5-$K$54+1)*INDEX($N$58:$AL$58,1,T$5-$K$54+1),0)-$I$54*((T$5=Inputs!$C$12)*$C$56*$D$54+(T$5=Inputs!$C$13)*$D$56*($D$54+Inputs!$C$14))+$I$54*((T$5=Inputs!$C$15+$K$54)*$E$56*$I$56+(T$5=Inputs!$C$16+$K$54)*$F$56*$J$56+(T$5=Inputs!$C$17)*$G$56*$H$54*$H$56)</f>
        <v>304.0695</v>
      </c>
      <c r="U59" s="42" t="n">
        <f aca="false">-($D$54+$J$54)*(U$5=0)+IF(AND(U$5-$K$54&gt;=1,U$5-$K$54&lt;=Inputs!$C$13),INDEX($N$57:$AL$57,1,U$5-$K$54+1)*INDEX($N$58:$AL$58,1,U$5-$K$54+1),0)-$I$54*((U$5=Inputs!$C$12)*$C$56*$D$54+(U$5=Inputs!$C$13)*$D$56*($D$54+Inputs!$C$14))+$I$54*((U$5=Inputs!$C$15+$K$54)*$E$56*$I$56+(U$5=Inputs!$C$16+$K$54)*$F$56*$J$56+(U$5=Inputs!$C$17)*$G$56*$H$54*$H$56)</f>
        <v>304.0695</v>
      </c>
      <c r="V59" s="42" t="n">
        <f aca="false">-($D$54+$J$54)*(V$5=0)+IF(AND(V$5-$K$54&gt;=1,V$5-$K$54&lt;=Inputs!$C$13),INDEX($N$57:$AL$57,1,V$5-$K$54+1)*INDEX($N$58:$AL$58,1,V$5-$K$54+1),0)-$I$54*((V$5=Inputs!$C$12)*$C$56*$D$54+(V$5=Inputs!$C$13)*$D$56*($D$54+Inputs!$C$14))+$I$54*((V$5=Inputs!$C$15+$K$54)*$E$56*$I$56+(V$5=Inputs!$C$16+$K$54)*$F$56*$J$56+(V$5=Inputs!$C$17)*$G$56*$H$54*$H$56)</f>
        <v>188.681675</v>
      </c>
      <c r="W59" s="42" t="n">
        <f aca="false">-($D$54+$J$54)*(W$5=0)+IF(AND(W$5-$K$54&gt;=1,W$5-$K$54&lt;=Inputs!$C$13),INDEX($N$57:$AL$57,1,W$5-$K$54+1)*INDEX($N$58:$AL$58,1,W$5-$K$54+1),0)-$I$54*((W$5=Inputs!$C$12)*$C$56*$D$54+(W$5=Inputs!$C$13)*$D$56*($D$54+Inputs!$C$14))+$I$54*((W$5=Inputs!$C$15+$K$54)*$E$56*$I$56+(W$5=Inputs!$C$16+$K$54)*$F$56*$J$56+(W$5=Inputs!$C$17)*$G$56*$H$54*$H$56)</f>
        <v>190.0262</v>
      </c>
      <c r="X59" s="42" t="n">
        <f aca="false">-($D$54+$J$54)*(X$5=0)+IF(AND(X$5-$K$54&gt;=1,X$5-$K$54&lt;=Inputs!$C$13),INDEX($N$57:$AL$57,1,X$5-$K$54+1)*INDEX($N$58:$AL$58,1,X$5-$K$54+1),0)-$I$54*((X$5=Inputs!$C$12)*$C$56*$D$54+(X$5=Inputs!$C$13)*$D$56*($D$54+Inputs!$C$14))+$I$54*((X$5=Inputs!$C$15+$K$54)*$E$56*$I$56+(X$5=Inputs!$C$16+$K$54)*$F$56*$J$56+(X$5=Inputs!$C$17)*$G$56*$H$54*$H$56)</f>
        <v>191.370725</v>
      </c>
      <c r="Y59" s="42" t="n">
        <f aca="false">-($D$54+$J$54)*(Y$5=0)+IF(AND(Y$5-$K$54&gt;=1,Y$5-$K$54&lt;=Inputs!$C$13),INDEX($N$57:$AL$57,1,Y$5-$K$54+1)*INDEX($N$58:$AL$58,1,Y$5-$K$54+1),0)-$I$54*((Y$5=Inputs!$C$12)*$C$56*$D$54+(Y$5=Inputs!$C$13)*$D$56*($D$54+Inputs!$C$14))+$I$54*((Y$5=Inputs!$C$15+$K$54)*$E$56*$I$56+(Y$5=Inputs!$C$16+$K$54)*$F$56*$J$56+(Y$5=Inputs!$C$17)*$G$56*$H$54*$H$56)</f>
        <v>163.06675</v>
      </c>
      <c r="Z59" s="42" t="n">
        <f aca="false">-($D$54+$J$54)*(Z$5=0)+IF(AND(Z$5-$K$54&gt;=1,Z$5-$K$54&lt;=Inputs!$C$13),INDEX($N$57:$AL$57,1,Z$5-$K$54+1)*INDEX($N$58:$AL$58,1,Z$5-$K$54+1),0)-$I$54*((Z$5=Inputs!$C$12)*$C$56*$D$54+(Z$5=Inputs!$C$13)*$D$56*($D$54+Inputs!$C$14))+$I$54*((Z$5=Inputs!$C$15+$K$54)*$E$56*$I$56+(Z$5=Inputs!$C$16+$K$54)*$F$56*$J$56+(Z$5=Inputs!$C$17)*$G$56*$H$54*$H$56)</f>
        <v>-891.675575</v>
      </c>
      <c r="AA59" s="42" t="n">
        <f aca="false">-($D$54+$J$54)*(AA$5=0)+IF(AND(AA$5-$K$54&gt;=1,AA$5-$K$54&lt;=Inputs!$C$13),INDEX($N$57:$AL$57,1,AA$5-$K$54+1)*INDEX($N$58:$AL$58,1,AA$5-$K$54+1),0)-$I$54*((AA$5=Inputs!$C$12)*$C$56*$D$54+(AA$5=Inputs!$C$13)*$D$56*($D$54+Inputs!$C$14))+$I$54*((AA$5=Inputs!$C$15+$K$54)*$E$56*$I$56+(AA$5=Inputs!$C$16+$K$54)*$F$56*$J$56+(AA$5=Inputs!$C$17)*$G$56*$H$54*$H$56)</f>
        <v>165.3421</v>
      </c>
      <c r="AB59" s="42" t="n">
        <f aca="false">-($D$54+$J$54)*(AB$5=0)+IF(AND(AB$5-$K$54&gt;=1,AB$5-$K$54&lt;=Inputs!$C$13),INDEX($N$57:$AL$57,1,AB$5-$K$54+1)*INDEX($N$58:$AL$58,1,AB$5-$K$54+1),0)-$I$54*((AB$5=Inputs!$C$12)*$C$56*$D$54+(AB$5=Inputs!$C$13)*$D$56*($D$54+Inputs!$C$14))+$I$54*((AB$5=Inputs!$C$15+$K$54)*$E$56*$I$56+(AB$5=Inputs!$C$16+$K$54)*$F$56*$J$56+(AB$5=Inputs!$C$17)*$G$56*$H$54*$H$56)</f>
        <v>203.919625</v>
      </c>
      <c r="AC59" s="42" t="n">
        <f aca="false">-($D$54+$J$54)*(AC$5=0)+IF(AND(AC$5-$K$54&gt;=1,AC$5-$K$54&lt;=Inputs!$C$13),INDEX($N$57:$AL$57,1,AC$5-$K$54+1)*INDEX($N$58:$AL$58,1,AC$5-$K$54+1),0)-$I$54*((AC$5=Inputs!$C$12)*$C$56*$D$54+(AC$5=Inputs!$C$13)*$D$56*($D$54+Inputs!$C$14))+$I$54*((AC$5=Inputs!$C$15+$K$54)*$E$56*$I$56+(AC$5=Inputs!$C$16+$K$54)*$F$56*$J$56+(AC$5=Inputs!$C$17)*$G$56*$H$54*$H$56)</f>
        <v>206.09155</v>
      </c>
      <c r="AD59" s="42" t="n">
        <f aca="false">-($D$54+$J$54)*(AD$5=0)+IF(AND(AD$5-$K$54&gt;=1,AD$5-$K$54&lt;=Inputs!$C$13),INDEX($N$57:$AL$57,1,AD$5-$K$54+1)*INDEX($N$58:$AL$58,1,AD$5-$K$54+1),0)-$I$54*((AD$5=Inputs!$C$12)*$C$56*$D$54+(AD$5=Inputs!$C$13)*$D$56*($D$54+Inputs!$C$14))+$I$54*((AD$5=Inputs!$C$15+$K$54)*$E$56*$I$56+(AD$5=Inputs!$C$16+$K$54)*$F$56*$J$56+(AD$5=Inputs!$C$17)*$G$56*$H$54*$H$56)</f>
        <v>208.263475000001</v>
      </c>
      <c r="AE59" s="42" t="n">
        <f aca="false">-($D$54+$J$54)*(AE$5=0)+IF(AND(AE$5-$K$54&gt;=1,AE$5-$K$54&lt;=Inputs!$C$13),INDEX($N$57:$AL$57,1,AE$5-$K$54+1)*INDEX($N$58:$AL$58,1,AE$5-$K$54+1),0)-$I$54*((AE$5=Inputs!$C$12)*$C$56*$D$54+(AE$5=Inputs!$C$13)*$D$56*($D$54+Inputs!$C$14))+$I$54*((AE$5=Inputs!$C$15+$K$54)*$E$56*$I$56+(AE$5=Inputs!$C$16+$K$54)*$F$56*$J$56+(AE$5=Inputs!$C$17)*$G$56*$H$54*$H$56)</f>
        <v>210.4354</v>
      </c>
      <c r="AF59" s="42" t="n">
        <f aca="false">-($D$54+$J$54)*(AF$5=0)+IF(AND(AF$5-$K$54&gt;=1,AF$5-$K$54&lt;=Inputs!$C$13),INDEX($N$57:$AL$57,1,AF$5-$K$54+1)*INDEX($N$58:$AL$58,1,AF$5-$K$54+1),0)-$I$54*((AF$5=Inputs!$C$12)*$C$56*$D$54+(AF$5=Inputs!$C$13)*$D$56*($D$54+Inputs!$C$14))+$I$54*((AF$5=Inputs!$C$15+$K$54)*$E$56*$I$56+(AF$5=Inputs!$C$16+$K$54)*$F$56*$J$56+(AF$5=Inputs!$C$17)*$G$56*$H$54*$H$56)</f>
        <v>212.607325</v>
      </c>
      <c r="AG59" s="42" t="n">
        <f aca="false">-($D$54+$J$54)*(AG$5=0)+IF(AND(AG$5-$K$54&gt;=1,AG$5-$K$54&lt;=Inputs!$C$13),INDEX($N$57:$AL$57,1,AG$5-$K$54+1)*INDEX($N$58:$AL$58,1,AG$5-$K$54+1),0)-$I$54*((AG$5=Inputs!$C$12)*$C$56*$D$54+(AG$5=Inputs!$C$13)*$D$56*($D$54+Inputs!$C$14))+$I$54*((AG$5=Inputs!$C$15+$K$54)*$E$56*$I$56+(AG$5=Inputs!$C$16+$K$54)*$F$56*$J$56+(AG$5=Inputs!$C$17)*$G$56*$H$54*$H$56)</f>
        <v>214.77925</v>
      </c>
      <c r="AH59" s="42" t="n">
        <f aca="false">-($D$54+$J$54)*(AH$5=0)+IF(AND(AH$5-$K$54&gt;=1,AH$5-$K$54&lt;=Inputs!$C$13),INDEX($N$57:$AL$57,1,AH$5-$K$54+1)*INDEX($N$58:$AL$58,1,AH$5-$K$54+1),0)-$I$54*((AH$5=Inputs!$C$12)*$C$56*$D$54+(AH$5=Inputs!$C$13)*$D$56*($D$54+Inputs!$C$14))+$I$54*((AH$5=Inputs!$C$15+$K$54)*$E$56*$I$56+(AH$5=Inputs!$C$16+$K$54)*$F$56*$J$56+(AH$5=Inputs!$C$17)*$G$56*$H$54*$H$56)</f>
        <v>154.965125</v>
      </c>
      <c r="AI59" s="42" t="n">
        <f aca="false">-($D$54+$J$54)*(AI$5=0)+IF(AND(AI$5-$K$54&gt;=1,AI$5-$K$54&lt;=Inputs!$C$13),INDEX($N$57:$AL$57,1,AI$5-$K$54+1)*INDEX($N$58:$AL$58,1,AI$5-$K$54+1),0)-$I$54*((AI$5=Inputs!$C$12)*$C$56*$D$54+(AI$5=Inputs!$C$13)*$D$56*($D$54+Inputs!$C$14))+$I$54*((AI$5=Inputs!$C$15+$K$54)*$E$56*$I$56+(AI$5=Inputs!$C$16+$K$54)*$F$56*$J$56+(AI$5=Inputs!$C$17)*$G$56*$H$54*$H$56)</f>
        <v>156.516499999999</v>
      </c>
      <c r="AJ59" s="42" t="n">
        <f aca="false">-($D$54+$J$54)*(AJ$5=0)+IF(AND(AJ$5-$K$54&gt;=1,AJ$5-$K$54&lt;=Inputs!$C$13),INDEX($N$57:$AL$57,1,AJ$5-$K$54+1)*INDEX($N$58:$AL$58,1,AJ$5-$K$54+1),0)-$I$54*((AJ$5=Inputs!$C$12)*$C$56*$D$54+(AJ$5=Inputs!$C$13)*$D$56*($D$54+Inputs!$C$14))+$I$54*((AJ$5=Inputs!$C$15+$K$54)*$E$56*$I$56+(AJ$5=Inputs!$C$16+$K$54)*$F$56*$J$56+(AJ$5=Inputs!$C$17)*$G$56*$H$54*$H$56)</f>
        <v>158.067874999999</v>
      </c>
      <c r="AK59" s="42" t="n">
        <f aca="false">-($D$54+$J$54)*(AK$5=0)+IF(AND(AK$5-$K$54&gt;=1,AK$5-$K$54&lt;=Inputs!$C$13),INDEX($N$57:$AL$57,1,AK$5-$K$54+1)*INDEX($N$58:$AL$58,1,AK$5-$K$54+1),0)-$I$54*((AK$5=Inputs!$C$12)*$C$56*$D$54+(AK$5=Inputs!$C$13)*$D$56*($D$54+Inputs!$C$14))+$I$54*((AK$5=Inputs!$C$15+$K$54)*$E$56*$I$56+(AK$5=Inputs!$C$16+$K$54)*$F$56*$J$56+(AK$5=Inputs!$C$17)*$G$56*$H$54*$H$56)</f>
        <v>159.619250000001</v>
      </c>
      <c r="AL59" s="42" t="n">
        <f aca="false">-($D$54+$J$54)*(AL$5=0)+IF(AND(AL$5-$K$54&gt;=1,AL$5-$K$54&lt;=Inputs!$C$13),INDEX($N$57:$AL$57,1,AL$5-$K$54+1)*INDEX($N$58:$AL$58,1,AL$5-$K$54+1),0)-$I$54*((AL$5=Inputs!$C$12)*$C$56*$D$54+(AL$5=Inputs!$C$13)*$D$56*($D$54+Inputs!$C$14))+$I$54*((AL$5=Inputs!$C$15+$K$54)*$E$56*$I$56+(AL$5=Inputs!$C$16+$K$54)*$F$56*$J$56+(AL$5=Inputs!$C$17)*$G$56*$H$54*$H$56)</f>
        <v>71.1706250000004</v>
      </c>
      <c r="AM59" s="42" t="n">
        <f aca="false">-($D$54+$J$54)*(AM$5=0)+IF(AND(AM$5-$K$54&gt;=1,AM$5-$K$54&lt;=Inputs!$C$13),INDEX($N$57:$AL$57,1,AM$5-$K$54+1)*INDEX($N$58:$AL$58,1,AM$5-$K$54+1),0)-$I$54*((AM$5=Inputs!$C$12)*$C$56*$D$54+(AM$5=Inputs!$C$13)*$D$56*($D$54+Inputs!$C$14))+$I$54*((AM$5=Inputs!$C$15+$K$54)*$E$56*$I$56+(AM$5=Inputs!$C$16+$K$54)*$F$56*$J$56+(AM$5=Inputs!$C$17)*$G$56*$H$54*$H$56)</f>
        <v>162.721999999999</v>
      </c>
      <c r="AN59" s="42" t="n">
        <f aca="false">-($D$54+$J$54)*(AN$5=0)+IF(AND(AN$5-$K$54&gt;=1,AN$5-$K$54&lt;=Inputs!$C$13),INDEX($N$57:$AL$57,1,AN$5-$K$54+1)*INDEX($N$58:$AL$58,1,AN$5-$K$54+1),0)-$I$54*((AN$5=Inputs!$C$12)*$C$56*$D$54+(AN$5=Inputs!$C$13)*$D$56*($D$54+Inputs!$C$14))+$I$54*((AN$5=Inputs!$C$15+$K$54)*$E$56*$I$56+(AN$5=Inputs!$C$16+$K$54)*$F$56*$J$56+(AN$5=Inputs!$C$17)*$G$56*$H$54*$H$56)</f>
        <v>0</v>
      </c>
      <c r="AO59" s="42" t="n">
        <f aca="false">-($D$54+$J$54)*(AO$5=0)+IF(AND(AO$5-$K$54&gt;=1,AO$5-$K$54&lt;=Inputs!$C$13),INDEX($N$57:$AL$57,1,AO$5-$K$54+1)*INDEX($N$58:$AL$58,1,AO$5-$K$54+1),0)-$I$54*((AO$5=Inputs!$C$12)*$C$56*$D$54+(AO$5=Inputs!$C$13)*$D$56*($D$54+Inputs!$C$14))+$I$54*((AO$5=Inputs!$C$15+$K$54)*$E$56*$I$56+(AO$5=Inputs!$C$16+$K$54)*$F$56*$J$56+(AO$5=Inputs!$C$17)*$G$56*$H$54*$H$56)</f>
        <v>0</v>
      </c>
      <c r="AP59" s="42" t="n">
        <f aca="false">-($D$54+$J$54)*(AP$5=0)+IF(AND(AP$5-$K$54&gt;=1,AP$5-$K$54&lt;=Inputs!$C$13),INDEX($N$57:$AL$57,1,AP$5-$K$54+1)*INDEX($N$58:$AL$58,1,AP$5-$K$54+1),0)-$I$54*((AP$5=Inputs!$C$12)*$C$56*$D$54+(AP$5=Inputs!$C$13)*$D$56*($D$54+Inputs!$C$14))+$I$54*((AP$5=Inputs!$C$15+$K$54)*$E$56*$I$56+(AP$5=Inputs!$C$16+$K$54)*$F$56*$J$56+(AP$5=Inputs!$C$17)*$G$56*$H$54*$H$56)</f>
        <v>196.614</v>
      </c>
      <c r="AQ59" s="42" t="n">
        <f aca="false">-($D$54+$J$54)*(AQ$5=0)+IF(AND(AQ$5-$K$54&gt;=1,AQ$5-$K$54&lt;=Inputs!$C$13),INDEX($N$57:$AL$57,1,AQ$5-$K$54+1)*INDEX($N$58:$AL$58,1,AQ$5-$K$54+1),0)-$I$54*((AQ$5=Inputs!$C$12)*$C$56*$D$54+(AQ$5=Inputs!$C$13)*$D$56*($D$54+Inputs!$C$14))+$I$54*((AQ$5=Inputs!$C$15+$K$54)*$E$56*$I$56+(AQ$5=Inputs!$C$16+$K$54)*$F$56*$J$56+(AQ$5=Inputs!$C$17)*$G$56*$H$54*$H$56)</f>
        <v>0</v>
      </c>
      <c r="AR59" s="42" t="n">
        <f aca="false">-($D$54+$J$54)*(AR$5=0)+IF(AND(AR$5-$K$54&gt;=1,AR$5-$K$54&lt;=Inputs!$C$13),INDEX($N$57:$AL$57,1,AR$5-$K$54+1)*INDEX($N$58:$AL$58,1,AR$5-$K$54+1),0)-$I$54*((AR$5=Inputs!$C$12)*$C$56*$D$54+(AR$5=Inputs!$C$13)*$D$56*($D$54+Inputs!$C$14))+$I$54*((AR$5=Inputs!$C$15+$K$54)*$E$56*$I$56+(AR$5=Inputs!$C$16+$K$54)*$F$56*$J$56+(AR$5=Inputs!$C$17)*$G$56*$H$54*$H$56)</f>
        <v>0</v>
      </c>
      <c r="AS59" s="42" t="n">
        <f aca="false">-($D$54+$J$54)*(AS$5=0)+IF(AND(AS$5-$K$54&gt;=1,AS$5-$K$54&lt;=Inputs!$C$13),INDEX($N$57:$AL$57,1,AS$5-$K$54+1)*INDEX($N$58:$AL$58,1,AS$5-$K$54+1),0)-$I$54*((AS$5=Inputs!$C$12)*$C$56*$D$54+(AS$5=Inputs!$C$13)*$D$56*($D$54+Inputs!$C$14))+$I$54*((AS$5=Inputs!$C$15+$K$54)*$E$56*$I$56+(AS$5=Inputs!$C$16+$K$54)*$F$56*$J$56+(AS$5=Inputs!$C$17)*$G$56*$H$54*$H$56)</f>
        <v>48.04245</v>
      </c>
      <c r="AT59" s="42" t="n">
        <f aca="false">-($D$54+$J$54)*(AT$5=0)+IF(AND(AT$5-$K$54&gt;=1,AT$5-$K$54&lt;=Inputs!$C$13),INDEX($N$57:$AL$57,1,AT$5-$K$54+1)*INDEX($N$58:$AL$58,1,AT$5-$K$54+1),0)-$I$54*((AT$5=Inputs!$C$12)*$C$56*$D$54+(AT$5=Inputs!$C$13)*$D$56*($D$54+Inputs!$C$14))+$I$54*((AT$5=Inputs!$C$15+$K$54)*$E$56*$I$56+(AT$5=Inputs!$C$16+$K$54)*$F$56*$J$56+(AT$5=Inputs!$C$17)*$G$56*$H$54*$H$56)</f>
        <v>0</v>
      </c>
      <c r="AU59" s="42" t="n">
        <f aca="false">-($D$54+$J$54)*(AU$5=0)+IF(AND(AU$5-$K$54&gt;=1,AU$5-$K$54&lt;=Inputs!$C$13),INDEX($N$57:$AL$57,1,AU$5-$K$54+1)*INDEX($N$58:$AL$58,1,AU$5-$K$54+1),0)-$I$54*((AU$5=Inputs!$C$12)*$C$56*$D$54+(AU$5=Inputs!$C$13)*$D$56*($D$54+Inputs!$C$14))+$I$54*((AU$5=Inputs!$C$15+$K$54)*$E$56*$I$56+(AU$5=Inputs!$C$16+$K$54)*$F$56*$J$56+(AU$5=Inputs!$C$17)*$G$56*$H$54*$H$56)</f>
        <v>0</v>
      </c>
      <c r="AV59" s="42" t="n">
        <f aca="false">-($D$54+$J$54)*(AV$5=0)+IF(AND(AV$5-$K$54&gt;=1,AV$5-$K$54&lt;=Inputs!$C$13),INDEX($N$57:$AL$57,1,AV$5-$K$54+1)*INDEX($N$58:$AL$58,1,AV$5-$K$54+1),0)-$I$54*((AV$5=Inputs!$C$12)*$C$56*$D$54+(AV$5=Inputs!$C$13)*$D$56*($D$54+Inputs!$C$14))+$I$54*((AV$5=Inputs!$C$15+$K$54)*$E$56*$I$56+(AV$5=Inputs!$C$16+$K$54)*$F$56*$J$56+(AV$5=Inputs!$C$17)*$G$56*$H$54*$H$56)</f>
        <v>0</v>
      </c>
      <c r="AW59" s="42" t="n">
        <f aca="false">-($D$54+$J$54)*(AW$5=0)+IF(AND(AW$5-$K$54&gt;=1,AW$5-$K$54&lt;=Inputs!$C$13),INDEX($N$57:$AL$57,1,AW$5-$K$54+1)*INDEX($N$58:$AL$58,1,AW$5-$K$54+1),0)-$I$54*((AW$5=Inputs!$C$12)*$C$56*$D$54+(AW$5=Inputs!$C$13)*$D$56*($D$54+Inputs!$C$14))+$I$54*((AW$5=Inputs!$C$15+$K$54)*$E$56*$I$56+(AW$5=Inputs!$C$16+$K$54)*$F$56*$J$56+(AW$5=Inputs!$C$17)*$G$56*$H$54*$H$56)</f>
        <v>0</v>
      </c>
      <c r="AX59" s="42" t="n">
        <f aca="false">-($D$54+$J$54)*(AX$5=0)+IF(AND(AX$5-$K$54&gt;=1,AX$5-$K$54&lt;=Inputs!$C$13),INDEX($N$57:$AL$57,1,AX$5-$K$54+1)*INDEX($N$58:$AL$58,1,AX$5-$K$54+1),0)-$I$54*((AX$5=Inputs!$C$12)*$C$56*$D$54+(AX$5=Inputs!$C$13)*$D$56*($D$54+Inputs!$C$14))+$I$54*((AX$5=Inputs!$C$15+$K$54)*$E$56*$I$56+(AX$5=Inputs!$C$16+$K$54)*$F$56*$J$56+(AX$5=Inputs!$C$17)*$G$56*$H$54*$H$56)</f>
        <v>1.94400000000001</v>
      </c>
      <c r="AY59" s="42" t="n">
        <f aca="false">-($D$54+$J$54)*(AY$5=0)+IF(AND(AY$5-$K$54&gt;=1,AY$5-$K$54&lt;=Inputs!$C$13),INDEX($N$57:$AL$57,1,AY$5-$K$54+1)*INDEX($N$58:$AL$58,1,AY$5-$K$54+1),0)-$I$54*((AY$5=Inputs!$C$12)*$C$56*$D$54+(AY$5=Inputs!$C$13)*$D$56*($D$54+Inputs!$C$14))+$I$54*((AY$5=Inputs!$C$15+$K$54)*$E$56*$I$56+(AY$5=Inputs!$C$16+$K$54)*$F$56*$J$56+(AY$5=Inputs!$C$17)*$G$56*$H$54*$H$56)</f>
        <v>0</v>
      </c>
    </row>
    <row r="61" customFormat="false" ht="15" hidden="false" customHeight="false" outlineLevel="0" collapsed="false">
      <c r="B61" s="7" t="s">
        <v>193</v>
      </c>
      <c r="C61" s="8"/>
      <c r="D61" s="8"/>
      <c r="E61" s="8"/>
      <c r="F61" s="8"/>
      <c r="G61" s="8"/>
      <c r="H61" s="8"/>
      <c r="I61" s="8"/>
      <c r="J61" s="8"/>
      <c r="K61" s="8"/>
      <c r="L61" s="8"/>
    </row>
    <row r="62" customFormat="false" ht="30" hidden="false" customHeight="true" outlineLevel="0" collapsed="false">
      <c r="B62" s="37"/>
      <c r="C62" s="38" t="s">
        <v>169</v>
      </c>
      <c r="D62" s="38" t="s">
        <v>170</v>
      </c>
      <c r="E62" s="38" t="s">
        <v>171</v>
      </c>
      <c r="F62" s="38" t="s">
        <v>43</v>
      </c>
      <c r="G62" s="38" t="s">
        <v>44</v>
      </c>
      <c r="H62" s="38" t="s">
        <v>45</v>
      </c>
      <c r="I62" s="38" t="s">
        <v>172</v>
      </c>
      <c r="J62" s="38" t="s">
        <v>90</v>
      </c>
      <c r="K62" s="38" t="s">
        <v>89</v>
      </c>
      <c r="L62" s="38" t="s">
        <v>173</v>
      </c>
    </row>
    <row r="63" customFormat="false" ht="15" hidden="false" customHeight="false" outlineLevel="0" collapsed="false">
      <c r="B63" s="39" t="s">
        <v>174</v>
      </c>
      <c r="C63" s="26" t="n">
        <f aca="false">Class_IRR!$I$5</f>
        <v>0.13</v>
      </c>
      <c r="D63" s="30" t="n">
        <f aca="false">Inputs!$E$23</f>
        <v>4200</v>
      </c>
      <c r="E63" s="26" t="n">
        <f aca="false">Inputs!$F$23</f>
        <v>0.985</v>
      </c>
      <c r="F63" s="25" t="n">
        <f aca="false">Inputs!$G$23</f>
        <v>0.8</v>
      </c>
      <c r="G63" s="25" t="n">
        <f aca="false">Inputs!$H$23</f>
        <v>0.95</v>
      </c>
      <c r="H63" s="25" t="n">
        <f aca="false">Inputs!$I$23</f>
        <v>0.9</v>
      </c>
      <c r="I63" s="22" t="n">
        <f aca="false">Inputs!$J$23</f>
        <v>1</v>
      </c>
      <c r="J63" s="23" t="n">
        <f aca="false">Inputs!$C$9</f>
        <v>10</v>
      </c>
      <c r="K63" s="22" t="n">
        <f aca="false">Inputs!$C$10</f>
        <v>1</v>
      </c>
      <c r="L63" s="22" t="n">
        <f aca="false">1</f>
        <v>1</v>
      </c>
    </row>
    <row r="64" customFormat="false" ht="30" hidden="false" customHeight="true" outlineLevel="0" collapsed="false">
      <c r="B64" s="37"/>
      <c r="C64" s="38" t="s">
        <v>175</v>
      </c>
      <c r="D64" s="38" t="s">
        <v>176</v>
      </c>
      <c r="E64" s="38" t="s">
        <v>177</v>
      </c>
      <c r="F64" s="38" t="s">
        <v>178</v>
      </c>
      <c r="G64" s="38" t="s">
        <v>112</v>
      </c>
      <c r="H64" s="38" t="s">
        <v>179</v>
      </c>
      <c r="I64" s="38" t="s">
        <v>180</v>
      </c>
      <c r="J64" s="38" t="s">
        <v>181</v>
      </c>
      <c r="K64" s="38" t="s">
        <v>182</v>
      </c>
      <c r="L64" s="38" t="s">
        <v>183</v>
      </c>
    </row>
    <row r="65" customFormat="false" ht="15" hidden="false" customHeight="false" outlineLevel="0" collapsed="false">
      <c r="B65" s="39" t="s">
        <v>184</v>
      </c>
      <c r="C65" s="40" t="n">
        <f aca="false">1-$E$63*CHOOSE($L$63,INDEX(Timing!$C$7:$AA$7,1,Inputs!$C$12+1),INDEX(Timing!$C$8:$AA$8,1,Inputs!$C$12+1))</f>
        <v>0.2514</v>
      </c>
      <c r="D65" s="40" t="n">
        <f aca="false">1-$E$63*CHOOSE($L$63,INDEX(Timing!$C$7:$AA$7,1,Inputs!$C$13+1),INDEX(Timing!$C$8:$AA$8,1,Inputs!$C$13+1))</f>
        <v>0.015</v>
      </c>
      <c r="E65" s="40" t="n">
        <f aca="false">$I$63*$D$65*$F$63</f>
        <v>0.012</v>
      </c>
      <c r="F65" s="40" t="n">
        <f aca="false">$I$63*($D$65-$E$65)*$G$63</f>
        <v>0.00285</v>
      </c>
      <c r="G65" s="40" t="n">
        <f aca="false">$I$63*($D$65-$E$65-$F$65)</f>
        <v>0.00015</v>
      </c>
      <c r="H65" s="23" t="n">
        <f aca="false">$I$63*(3*$D$63+Inputs!$C$14)</f>
        <v>14400</v>
      </c>
      <c r="I65" s="23" t="n">
        <f aca="false">$I$63*($D$63*(1+IF($C$63&lt;=0,0,MAX($C$63*Inputs!$C$15/12,Inputs!$C$8)))+$D$63*(1+Inputs!$C$11*(Inputs!$C$15-Inputs!$C$12)/12)+$D$63*(1+Inputs!$C$11*(Inputs!$C$15-Inputs!$C$13)/12)+Inputs!$C$14)</f>
        <v>16762.5</v>
      </c>
      <c r="J65" s="23" t="n">
        <f aca="false">$I$63*($D$63*(1+IF($C$63&lt;=0,0,MAX($C$63*Inputs!$C$16/12,Inputs!$C$8)))+$D$63*(1+Inputs!$C$11*(Inputs!$C$16-Inputs!$C$12)/12)+$D$63*(1+Inputs!$C$11*(Inputs!$C$16-Inputs!$C$13)/12)+Inputs!$C$14)</f>
        <v>17277</v>
      </c>
      <c r="K65" s="40" t="n">
        <f aca="false">IRR($N$68:$AY$68,0.005)</f>
        <v>0.0101610904137838</v>
      </c>
      <c r="L65" s="41" t="n">
        <f aca="false">(1+$K$65)^12-1</f>
        <v>0.128983604740644</v>
      </c>
    </row>
    <row r="66" customFormat="false" ht="15" hidden="false" customHeight="false" outlineLevel="0" collapsed="false">
      <c r="B66" s="9" t="s">
        <v>185</v>
      </c>
      <c r="N66" s="40" t="n">
        <f aca="false">0</f>
        <v>0</v>
      </c>
      <c r="O66" s="40" t="n">
        <f aca="false">$E$63*(CHOOSE($L$63,Timing!D$7,Timing!D$8)-CHOOSE($L$63,Timing!C$7,Timing!C$8))</f>
        <v>0.1182</v>
      </c>
      <c r="P66" s="40" t="n">
        <f aca="false">$E$63*(CHOOSE($L$63,Timing!E$7,Timing!E$8)-CHOOSE($L$63,Timing!D$7,Timing!D$8))</f>
        <v>0.0985</v>
      </c>
      <c r="Q66" s="40" t="n">
        <f aca="false">$E$63*(CHOOSE($L$63,Timing!F$7,Timing!F$8)-CHOOSE($L$63,Timing!E$7,Timing!E$8))</f>
        <v>0.08865</v>
      </c>
      <c r="R66" s="40" t="n">
        <f aca="false">$E$63*(CHOOSE($L$63,Timing!G$7,Timing!G$8)-CHOOSE($L$63,Timing!F$7,Timing!F$8))</f>
        <v>0.06895</v>
      </c>
      <c r="S66" s="40" t="n">
        <f aca="false">$E$63*(CHOOSE($L$63,Timing!H$7,Timing!H$8)-CHOOSE($L$63,Timing!G$7,Timing!G$8))</f>
        <v>0.06895</v>
      </c>
      <c r="T66" s="40" t="n">
        <f aca="false">$E$63*(CHOOSE($L$63,Timing!I$7,Timing!I$8)-CHOOSE($L$63,Timing!H$7,Timing!H$8))</f>
        <v>0.06895</v>
      </c>
      <c r="U66" s="40" t="n">
        <f aca="false">$E$63*(CHOOSE($L$63,Timing!J$7,Timing!J$8)-CHOOSE($L$63,Timing!I$7,Timing!I$8))</f>
        <v>0.0426833333333333</v>
      </c>
      <c r="V66" s="40" t="n">
        <f aca="false">$E$63*(CHOOSE($L$63,Timing!K$7,Timing!K$8)-CHOOSE($L$63,Timing!J$7,Timing!J$8))</f>
        <v>0.0426833333333333</v>
      </c>
      <c r="W66" s="40" t="n">
        <f aca="false">$E$63*(CHOOSE($L$63,Timing!L$7,Timing!L$8)-CHOOSE($L$63,Timing!K$7,Timing!K$8))</f>
        <v>0.0426833333333333</v>
      </c>
      <c r="X66" s="40" t="n">
        <f aca="false">$E$63*(CHOOSE($L$63,Timing!M$7,Timing!M$8)-CHOOSE($L$63,Timing!L$7,Timing!L$8))</f>
        <v>0.0361166666666666</v>
      </c>
      <c r="Y66" s="40" t="n">
        <f aca="false">$E$63*(CHOOSE($L$63,Timing!N$7,Timing!N$8)-CHOOSE($L$63,Timing!M$7,Timing!M$8))</f>
        <v>0.0361166666666667</v>
      </c>
      <c r="Z66" s="40" t="n">
        <f aca="false">$E$63*(CHOOSE($L$63,Timing!O$7,Timing!O$8)-CHOOSE($L$63,Timing!N$7,Timing!N$8))</f>
        <v>0.0361166666666666</v>
      </c>
      <c r="AA66" s="40" t="n">
        <f aca="false">$E$63*(CHOOSE($L$63,Timing!P$7,Timing!P$8)-CHOOSE($L$63,Timing!O$7,Timing!O$8))</f>
        <v>0.0229833333333333</v>
      </c>
      <c r="AB66" s="40" t="n">
        <f aca="false">$E$63*(CHOOSE($L$63,Timing!Q$7,Timing!Q$8)-CHOOSE($L$63,Timing!P$7,Timing!P$8))</f>
        <v>0.0229833333333333</v>
      </c>
      <c r="AC66" s="40" t="n">
        <f aca="false">$E$63*(CHOOSE($L$63,Timing!R$7,Timing!R$8)-CHOOSE($L$63,Timing!Q$7,Timing!Q$8))</f>
        <v>0.0229833333333334</v>
      </c>
      <c r="AD66" s="40" t="n">
        <f aca="false">$E$63*(CHOOSE($L$63,Timing!S$7,Timing!S$8)-CHOOSE($L$63,Timing!R$7,Timing!R$8))</f>
        <v>0.0229833333333333</v>
      </c>
      <c r="AE66" s="40" t="n">
        <f aca="false">$E$63*(CHOOSE($L$63,Timing!T$7,Timing!T$8)-CHOOSE($L$63,Timing!S$7,Timing!S$8))</f>
        <v>0.0229833333333333</v>
      </c>
      <c r="AF66" s="40" t="n">
        <f aca="false">$E$63*(CHOOSE($L$63,Timing!U$7,Timing!U$8)-CHOOSE($L$63,Timing!T$7,Timing!T$8))</f>
        <v>0.0229833333333333</v>
      </c>
      <c r="AG66" s="40" t="n">
        <f aca="false">$E$63*(CHOOSE($L$63,Timing!V$7,Timing!V$8)-CHOOSE($L$63,Timing!U$7,Timing!U$8))</f>
        <v>0.0164166666666667</v>
      </c>
      <c r="AH66" s="40" t="n">
        <f aca="false">$E$63*(CHOOSE($L$63,Timing!W$7,Timing!W$8)-CHOOSE($L$63,Timing!V$7,Timing!V$8))</f>
        <v>0.0164166666666666</v>
      </c>
      <c r="AI66" s="40" t="n">
        <f aca="false">$E$63*(CHOOSE($L$63,Timing!X$7,Timing!X$8)-CHOOSE($L$63,Timing!W$7,Timing!W$8))</f>
        <v>0.0164166666666666</v>
      </c>
      <c r="AJ66" s="40" t="n">
        <f aca="false">$E$63*(CHOOSE($L$63,Timing!Y$7,Timing!Y$8)-CHOOSE($L$63,Timing!X$7,Timing!X$8))</f>
        <v>0.0164166666666667</v>
      </c>
      <c r="AK66" s="40" t="n">
        <f aca="false">$E$63*(CHOOSE($L$63,Timing!Z$7,Timing!Z$8)-CHOOSE($L$63,Timing!Y$7,Timing!Y$8))</f>
        <v>0.0164166666666667</v>
      </c>
      <c r="AL66" s="40" t="n">
        <f aca="false">$E$63*(CHOOSE($L$63,Timing!AA$7,Timing!AA$8)-CHOOSE($L$63,Timing!Z$7,Timing!Z$8))</f>
        <v>0.0164166666666666</v>
      </c>
    </row>
    <row r="67" customFormat="false" ht="15" hidden="false" customHeight="false" outlineLevel="0" collapsed="false">
      <c r="B67" s="9" t="s">
        <v>186</v>
      </c>
      <c r="N67" s="42" t="n">
        <f aca="false">0</f>
        <v>0</v>
      </c>
      <c r="O67" s="42" t="n">
        <f aca="false">$D$63*(1+IF($C$63&lt;=0,0,MAX($C$63*O$5/12,Inputs!$C$8)))+$I$63*(O$5&gt;Inputs!$C$12)*$D$63*(1+Inputs!$C$11*(O$5-Inputs!$C$12)/12)</f>
        <v>4410</v>
      </c>
      <c r="P67" s="42" t="n">
        <f aca="false">$D$63*(1+IF($C$63&lt;=0,0,MAX($C$63*P$5/12,Inputs!$C$8)))+$I$63*(P$5&gt;Inputs!$C$12)*$D$63*(1+Inputs!$C$11*(P$5-Inputs!$C$12)/12)</f>
        <v>4410</v>
      </c>
      <c r="Q67" s="42" t="n">
        <f aca="false">$D$63*(1+IF($C$63&lt;=0,0,MAX($C$63*Q$5/12,Inputs!$C$8)))+$I$63*(Q$5&gt;Inputs!$C$12)*$D$63*(1+Inputs!$C$11*(Q$5-Inputs!$C$12)/12)</f>
        <v>4410</v>
      </c>
      <c r="R67" s="42" t="n">
        <f aca="false">$D$63*(1+IF($C$63&lt;=0,0,MAX($C$63*R$5/12,Inputs!$C$8)))+$I$63*(R$5&gt;Inputs!$C$12)*$D$63*(1+Inputs!$C$11*(R$5-Inputs!$C$12)/12)</f>
        <v>4410</v>
      </c>
      <c r="S67" s="42" t="n">
        <f aca="false">$D$63*(1+IF($C$63&lt;=0,0,MAX($C$63*S$5/12,Inputs!$C$8)))+$I$63*(S$5&gt;Inputs!$C$12)*$D$63*(1+Inputs!$C$11*(S$5-Inputs!$C$12)/12)</f>
        <v>4427.5</v>
      </c>
      <c r="T67" s="42" t="n">
        <f aca="false">$D$63*(1+IF($C$63&lt;=0,0,MAX($C$63*T$5/12,Inputs!$C$8)))+$I$63*(T$5&gt;Inputs!$C$12)*$D$63*(1+Inputs!$C$11*(T$5-Inputs!$C$12)/12)</f>
        <v>4473</v>
      </c>
      <c r="U67" s="42" t="n">
        <f aca="false">$D$63*(1+IF($C$63&lt;=0,0,MAX($C$63*U$5/12,Inputs!$C$8)))+$I$63*(U$5&gt;Inputs!$C$12)*$D$63*(1+Inputs!$C$11*(U$5-Inputs!$C$12)/12)</f>
        <v>4518.5</v>
      </c>
      <c r="V67" s="42" t="n">
        <f aca="false">$D$63*(1+IF($C$63&lt;=0,0,MAX($C$63*V$5/12,Inputs!$C$8)))+$I$63*(V$5&gt;Inputs!$C$12)*$D$63*(1+Inputs!$C$11*(V$5-Inputs!$C$12)/12)</f>
        <v>4564</v>
      </c>
      <c r="W67" s="42" t="n">
        <f aca="false">$D$63*(1+IF($C$63&lt;=0,0,MAX($C$63*W$5/12,Inputs!$C$8)))+$I$63*(W$5&gt;Inputs!$C$12)*$D$63*(1+Inputs!$C$11*(W$5-Inputs!$C$12)/12)</f>
        <v>4609.5</v>
      </c>
      <c r="X67" s="42" t="n">
        <f aca="false">$D$63*(1+IF($C$63&lt;=0,0,MAX($C$63*X$5/12,Inputs!$C$8)))+$I$63*(X$5&gt;Inputs!$C$12)*$D$63*(1+Inputs!$C$11*(X$5-Inputs!$C$12)/12)</f>
        <v>4655</v>
      </c>
      <c r="Y67" s="42" t="n">
        <f aca="false">$D$63*(1+IF($C$63&lt;=0,0,MAX($C$63*Y$5/12,Inputs!$C$8)))+$I$63*(Y$5&gt;Inputs!$C$12)*$D$63*(1+Inputs!$C$11*(Y$5-Inputs!$C$12)/12)</f>
        <v>4700.5</v>
      </c>
      <c r="Z67" s="42" t="n">
        <f aca="false">$D$63*(1+IF($C$63&lt;=0,0,MAX($C$63*Z$5/12,Inputs!$C$8)))+$I$63*(Z$5&gt;Inputs!$C$12)*$D$63*(1+Inputs!$C$11*(Z$5-Inputs!$C$12)/12)</f>
        <v>4746</v>
      </c>
      <c r="AA67" s="42" t="n">
        <f aca="false">$D$63*(1+IF($C$63&lt;=0,0,MAX($C$63*AA$5/12,Inputs!$C$8)))+$I$63*(AA$5&gt;Inputs!$C$12)*$D$63*(1+Inputs!$C$11*(AA$5-Inputs!$C$12)/12)</f>
        <v>9054.5</v>
      </c>
      <c r="AB67" s="42" t="n">
        <f aca="false">$D$63*(1+IF($C$63&lt;=0,0,MAX($C$63*AB$5/12,Inputs!$C$8)))+$I$63*(AB$5&gt;Inputs!$C$12)*$D$63*(1+Inputs!$C$11*(AB$5-Inputs!$C$12)/12)</f>
        <v>9163</v>
      </c>
      <c r="AC67" s="42" t="n">
        <f aca="false">$D$63*(1+IF($C$63&lt;=0,0,MAX($C$63*AC$5/12,Inputs!$C$8)))+$I$63*(AC$5&gt;Inputs!$C$12)*$D$63*(1+Inputs!$C$11*(AC$5-Inputs!$C$12)/12)</f>
        <v>9271.5</v>
      </c>
      <c r="AD67" s="42" t="n">
        <f aca="false">$D$63*(1+IF($C$63&lt;=0,0,MAX($C$63*AD$5/12,Inputs!$C$8)))+$I$63*(AD$5&gt;Inputs!$C$12)*$D$63*(1+Inputs!$C$11*(AD$5-Inputs!$C$12)/12)</f>
        <v>9380</v>
      </c>
      <c r="AE67" s="42" t="n">
        <f aca="false">$D$63*(1+IF($C$63&lt;=0,0,MAX($C$63*AE$5/12,Inputs!$C$8)))+$I$63*(AE$5&gt;Inputs!$C$12)*$D$63*(1+Inputs!$C$11*(AE$5-Inputs!$C$12)/12)</f>
        <v>9488.5</v>
      </c>
      <c r="AF67" s="42" t="n">
        <f aca="false">$D$63*(1+IF($C$63&lt;=0,0,MAX($C$63*AF$5/12,Inputs!$C$8)))+$I$63*(AF$5&gt;Inputs!$C$12)*$D$63*(1+Inputs!$C$11*(AF$5-Inputs!$C$12)/12)</f>
        <v>9597</v>
      </c>
      <c r="AG67" s="42" t="n">
        <f aca="false">$D$63*(1+IF($C$63&lt;=0,0,MAX($C$63*AG$5/12,Inputs!$C$8)))+$I$63*(AG$5&gt;Inputs!$C$12)*$D$63*(1+Inputs!$C$11*(AG$5-Inputs!$C$12)/12)</f>
        <v>9705.5</v>
      </c>
      <c r="AH67" s="42" t="n">
        <f aca="false">$D$63*(1+IF($C$63&lt;=0,0,MAX($C$63*AH$5/12,Inputs!$C$8)))+$I$63*(AH$5&gt;Inputs!$C$12)*$D$63*(1+Inputs!$C$11*(AH$5-Inputs!$C$12)/12)</f>
        <v>9814</v>
      </c>
      <c r="AI67" s="42" t="n">
        <f aca="false">$D$63*(1+IF($C$63&lt;=0,0,MAX($C$63*AI$5/12,Inputs!$C$8)))+$I$63*(AI$5&gt;Inputs!$C$12)*$D$63*(1+Inputs!$C$11*(AI$5-Inputs!$C$12)/12)</f>
        <v>9922.5</v>
      </c>
      <c r="AJ67" s="42" t="n">
        <f aca="false">$D$63*(1+IF($C$63&lt;=0,0,MAX($C$63*AJ$5/12,Inputs!$C$8)))+$I$63*(AJ$5&gt;Inputs!$C$12)*$D$63*(1+Inputs!$C$11*(AJ$5-Inputs!$C$12)/12)</f>
        <v>10031</v>
      </c>
      <c r="AK67" s="42" t="n">
        <f aca="false">$D$63*(1+IF($C$63&lt;=0,0,MAX($C$63*AK$5/12,Inputs!$C$8)))+$I$63*(AK$5&gt;Inputs!$C$12)*$D$63*(1+Inputs!$C$11*(AK$5-Inputs!$C$12)/12)</f>
        <v>10139.5</v>
      </c>
      <c r="AL67" s="42" t="n">
        <f aca="false">$D$63*(1+IF($C$63&lt;=0,0,MAX($C$63*AL$5/12,Inputs!$C$8)))+$I$63*(AL$5&gt;Inputs!$C$12)*$D$63*(1+Inputs!$C$11*(AL$5-Inputs!$C$12)/12)</f>
        <v>10248</v>
      </c>
    </row>
    <row r="68" customFormat="false" ht="15" hidden="false" customHeight="false" outlineLevel="0" collapsed="false">
      <c r="B68" s="31" t="s">
        <v>187</v>
      </c>
      <c r="N68" s="42" t="n">
        <f aca="false">-($D$63+$J$63)*(N$5=0)+IF(AND(N$5-$K$63&gt;=1,N$5-$K$63&lt;=Inputs!$C$13),INDEX($N$66:$AL$66,1,N$5-$K$63+1)*INDEX($N$67:$AL$67,1,N$5-$K$63+1),0)-$I$63*((N$5=Inputs!$C$12)*$C$65*$D$63+(N$5=Inputs!$C$13)*$D$65*($D$63+Inputs!$C$14))+$I$63*((N$5=Inputs!$C$15+$K$63)*$E$65*$I$65+(N$5=Inputs!$C$16+$K$63)*$F$65*$J$65+(N$5=Inputs!$C$17)*$G$65*$H$63*$H$65)</f>
        <v>-4210</v>
      </c>
      <c r="O68" s="42" t="n">
        <f aca="false">-($D$63+$J$63)*(O$5=0)+IF(AND(O$5-$K$63&gt;=1,O$5-$K$63&lt;=Inputs!$C$13),INDEX($N$66:$AL$66,1,O$5-$K$63+1)*INDEX($N$67:$AL$67,1,O$5-$K$63+1),0)-$I$63*((O$5=Inputs!$C$12)*$C$65*$D$63+(O$5=Inputs!$C$13)*$D$65*($D$63+Inputs!$C$14))+$I$63*((O$5=Inputs!$C$15+$K$63)*$E$65*$I$65+(O$5=Inputs!$C$16+$K$63)*$F$65*$J$65+(O$5=Inputs!$C$17)*$G$65*$H$63*$H$65)</f>
        <v>0</v>
      </c>
      <c r="P68" s="42" t="n">
        <f aca="false">-($D$63+$J$63)*(P$5=0)+IF(AND(P$5-$K$63&gt;=1,P$5-$K$63&lt;=Inputs!$C$13),INDEX($N$66:$AL$66,1,P$5-$K$63+1)*INDEX($N$67:$AL$67,1,P$5-$K$63+1),0)-$I$63*((P$5=Inputs!$C$12)*$C$65*$D$63+(P$5=Inputs!$C$13)*$D$65*($D$63+Inputs!$C$14))+$I$63*((P$5=Inputs!$C$15+$K$63)*$E$65*$I$65+(P$5=Inputs!$C$16+$K$63)*$F$65*$J$65+(P$5=Inputs!$C$17)*$G$65*$H$63*$H$65)</f>
        <v>521.262</v>
      </c>
      <c r="Q68" s="42" t="n">
        <f aca="false">-($D$63+$J$63)*(Q$5=0)+IF(AND(Q$5-$K$63&gt;=1,Q$5-$K$63&lt;=Inputs!$C$13),INDEX($N$66:$AL$66,1,Q$5-$K$63+1)*INDEX($N$67:$AL$67,1,Q$5-$K$63+1),0)-$I$63*((Q$5=Inputs!$C$12)*$C$65*$D$63+(Q$5=Inputs!$C$13)*$D$65*($D$63+Inputs!$C$14))+$I$63*((Q$5=Inputs!$C$15+$K$63)*$E$65*$I$65+(Q$5=Inputs!$C$16+$K$63)*$F$65*$J$65+(Q$5=Inputs!$C$17)*$G$65*$H$63*$H$65)</f>
        <v>434.385</v>
      </c>
      <c r="R68" s="42" t="n">
        <f aca="false">-($D$63+$J$63)*(R$5=0)+IF(AND(R$5-$K$63&gt;=1,R$5-$K$63&lt;=Inputs!$C$13),INDEX($N$66:$AL$66,1,R$5-$K$63+1)*INDEX($N$67:$AL$67,1,R$5-$K$63+1),0)-$I$63*((R$5=Inputs!$C$12)*$C$65*$D$63+(R$5=Inputs!$C$13)*$D$65*($D$63+Inputs!$C$14))+$I$63*((R$5=Inputs!$C$15+$K$63)*$E$65*$I$65+(R$5=Inputs!$C$16+$K$63)*$F$65*$J$65+(R$5=Inputs!$C$17)*$G$65*$H$63*$H$65)</f>
        <v>390.9465</v>
      </c>
      <c r="S68" s="42" t="n">
        <f aca="false">-($D$63+$J$63)*(S$5=0)+IF(AND(S$5-$K$63&gt;=1,S$5-$K$63&lt;=Inputs!$C$13),INDEX($N$66:$AL$66,1,S$5-$K$63+1)*INDEX($N$67:$AL$67,1,S$5-$K$63+1),0)-$I$63*((S$5=Inputs!$C$12)*$C$65*$D$63+(S$5=Inputs!$C$13)*$D$65*($D$63+Inputs!$C$14))+$I$63*((S$5=Inputs!$C$15+$K$63)*$E$65*$I$65+(S$5=Inputs!$C$16+$K$63)*$F$65*$J$65+(S$5=Inputs!$C$17)*$G$65*$H$63*$H$65)</f>
        <v>304.0695</v>
      </c>
      <c r="T68" s="42" t="n">
        <f aca="false">-($D$63+$J$63)*(T$5=0)+IF(AND(T$5-$K$63&gt;=1,T$5-$K$63&lt;=Inputs!$C$13),INDEX($N$66:$AL$66,1,T$5-$K$63+1)*INDEX($N$67:$AL$67,1,T$5-$K$63+1),0)-$I$63*((T$5=Inputs!$C$12)*$C$65*$D$63+(T$5=Inputs!$C$13)*$D$65*($D$63+Inputs!$C$14))+$I$63*((T$5=Inputs!$C$15+$K$63)*$E$65*$I$65+(T$5=Inputs!$C$16+$K$63)*$F$65*$J$65+(T$5=Inputs!$C$17)*$G$65*$H$63*$H$65)</f>
        <v>305.276125</v>
      </c>
      <c r="U68" s="42" t="n">
        <f aca="false">-($D$63+$J$63)*(U$5=0)+IF(AND(U$5-$K$63&gt;=1,U$5-$K$63&lt;=Inputs!$C$13),INDEX($N$66:$AL$66,1,U$5-$K$63+1)*INDEX($N$67:$AL$67,1,U$5-$K$63+1),0)-$I$63*((U$5=Inputs!$C$12)*$C$65*$D$63+(U$5=Inputs!$C$13)*$D$65*($D$63+Inputs!$C$14))+$I$63*((U$5=Inputs!$C$15+$K$63)*$E$65*$I$65+(U$5=Inputs!$C$16+$K$63)*$F$65*$J$65+(U$5=Inputs!$C$17)*$G$65*$H$63*$H$65)</f>
        <v>308.41335</v>
      </c>
      <c r="V68" s="42" t="n">
        <f aca="false">-($D$63+$J$63)*(V$5=0)+IF(AND(V$5-$K$63&gt;=1,V$5-$K$63&lt;=Inputs!$C$13),INDEX($N$66:$AL$66,1,V$5-$K$63+1)*INDEX($N$67:$AL$67,1,V$5-$K$63+1),0)-$I$63*((V$5=Inputs!$C$12)*$C$65*$D$63+(V$5=Inputs!$C$13)*$D$65*($D$63+Inputs!$C$14))+$I$63*((V$5=Inputs!$C$15+$K$63)*$E$65*$I$65+(V$5=Inputs!$C$16+$K$63)*$F$65*$J$65+(V$5=Inputs!$C$17)*$G$65*$H$63*$H$65)</f>
        <v>192.864641666667</v>
      </c>
      <c r="W68" s="42" t="n">
        <f aca="false">-($D$63+$J$63)*(W$5=0)+IF(AND(W$5-$K$63&gt;=1,W$5-$K$63&lt;=Inputs!$C$13),INDEX($N$66:$AL$66,1,W$5-$K$63+1)*INDEX($N$67:$AL$67,1,W$5-$K$63+1),0)-$I$63*((W$5=Inputs!$C$12)*$C$65*$D$63+(W$5=Inputs!$C$13)*$D$65*($D$63+Inputs!$C$14))+$I$63*((W$5=Inputs!$C$15+$K$63)*$E$65*$I$65+(W$5=Inputs!$C$16+$K$63)*$F$65*$J$65+(W$5=Inputs!$C$17)*$G$65*$H$63*$H$65)</f>
        <v>194.806733333333</v>
      </c>
      <c r="X68" s="42" t="n">
        <f aca="false">-($D$63+$J$63)*(X$5=0)+IF(AND(X$5-$K$63&gt;=1,X$5-$K$63&lt;=Inputs!$C$13),INDEX($N$66:$AL$66,1,X$5-$K$63+1)*INDEX($N$67:$AL$67,1,X$5-$K$63+1),0)-$I$63*((X$5=Inputs!$C$12)*$C$65*$D$63+(X$5=Inputs!$C$13)*$D$65*($D$63+Inputs!$C$14))+$I$63*((X$5=Inputs!$C$15+$K$63)*$E$65*$I$65+(X$5=Inputs!$C$16+$K$63)*$F$65*$J$65+(X$5=Inputs!$C$17)*$G$65*$H$63*$H$65)</f>
        <v>196.748825</v>
      </c>
      <c r="Y68" s="42" t="n">
        <f aca="false">-($D$63+$J$63)*(Y$5=0)+IF(AND(Y$5-$K$63&gt;=1,Y$5-$K$63&lt;=Inputs!$C$13),INDEX($N$66:$AL$66,1,Y$5-$K$63+1)*INDEX($N$67:$AL$67,1,Y$5-$K$63+1),0)-$I$63*((Y$5=Inputs!$C$12)*$C$65*$D$63+(Y$5=Inputs!$C$13)*$D$65*($D$63+Inputs!$C$14))+$I$63*((Y$5=Inputs!$C$15+$K$63)*$E$65*$I$65+(Y$5=Inputs!$C$16+$K$63)*$F$65*$J$65+(Y$5=Inputs!$C$17)*$G$65*$H$63*$H$65)</f>
        <v>168.123083333333</v>
      </c>
      <c r="Z68" s="42" t="n">
        <f aca="false">-($D$63+$J$63)*(Z$5=0)+IF(AND(Z$5-$K$63&gt;=1,Z$5-$K$63&lt;=Inputs!$C$13),INDEX($N$66:$AL$66,1,Z$5-$K$63+1)*INDEX($N$67:$AL$67,1,Z$5-$K$63+1),0)-$I$63*((Z$5=Inputs!$C$12)*$C$65*$D$63+(Z$5=Inputs!$C$13)*$D$65*($D$63+Inputs!$C$14))+$I$63*((Z$5=Inputs!$C$15+$K$63)*$E$65*$I$65+(Z$5=Inputs!$C$16+$K$63)*$F$65*$J$65+(Z$5=Inputs!$C$17)*$G$65*$H$63*$H$65)</f>
        <v>-886.113608333333</v>
      </c>
      <c r="AA68" s="42" t="n">
        <f aca="false">-($D$63+$J$63)*(AA$5=0)+IF(AND(AA$5-$K$63&gt;=1,AA$5-$K$63&lt;=Inputs!$C$13),INDEX($N$66:$AL$66,1,AA$5-$K$63+1)*INDEX($N$67:$AL$67,1,AA$5-$K$63+1),0)-$I$63*((AA$5=Inputs!$C$12)*$C$65*$D$63+(AA$5=Inputs!$C$13)*$D$65*($D$63+Inputs!$C$14))+$I$63*((AA$5=Inputs!$C$15+$K$63)*$E$65*$I$65+(AA$5=Inputs!$C$16+$K$63)*$F$65*$J$65+(AA$5=Inputs!$C$17)*$G$65*$H$63*$H$65)</f>
        <v>171.4097</v>
      </c>
      <c r="AB68" s="42" t="n">
        <f aca="false">-($D$63+$J$63)*(AB$5=0)+IF(AND(AB$5-$K$63&gt;=1,AB$5-$K$63&lt;=Inputs!$C$13),INDEX($N$66:$AL$66,1,AB$5-$K$63+1)*INDEX($N$67:$AL$67,1,AB$5-$K$63+1),0)-$I$63*((AB$5=Inputs!$C$12)*$C$65*$D$63+(AB$5=Inputs!$C$13)*$D$65*($D$63+Inputs!$C$14))+$I$63*((AB$5=Inputs!$C$15+$K$63)*$E$65*$I$65+(AB$5=Inputs!$C$16+$K$63)*$F$65*$J$65+(AB$5=Inputs!$C$17)*$G$65*$H$63*$H$65)</f>
        <v>208.102591666667</v>
      </c>
      <c r="AC68" s="42" t="n">
        <f aca="false">-($D$63+$J$63)*(AC$5=0)+IF(AND(AC$5-$K$63&gt;=1,AC$5-$K$63&lt;=Inputs!$C$13),INDEX($N$66:$AL$66,1,AC$5-$K$63+1)*INDEX($N$67:$AL$67,1,AC$5-$K$63+1),0)-$I$63*((AC$5=Inputs!$C$12)*$C$65*$D$63+(AC$5=Inputs!$C$13)*$D$65*($D$63+Inputs!$C$14))+$I$63*((AC$5=Inputs!$C$15+$K$63)*$E$65*$I$65+(AC$5=Inputs!$C$16+$K$63)*$F$65*$J$65+(AC$5=Inputs!$C$17)*$G$65*$H$63*$H$65)</f>
        <v>210.596283333333</v>
      </c>
      <c r="AD68" s="42" t="n">
        <f aca="false">-($D$63+$J$63)*(AD$5=0)+IF(AND(AD$5-$K$63&gt;=1,AD$5-$K$63&lt;=Inputs!$C$13),INDEX($N$66:$AL$66,1,AD$5-$K$63+1)*INDEX($N$67:$AL$67,1,AD$5-$K$63+1),0)-$I$63*((AD$5=Inputs!$C$12)*$C$65*$D$63+(AD$5=Inputs!$C$13)*$D$65*($D$63+Inputs!$C$14))+$I$63*((AD$5=Inputs!$C$15+$K$63)*$E$65*$I$65+(AD$5=Inputs!$C$16+$K$63)*$F$65*$J$65+(AD$5=Inputs!$C$17)*$G$65*$H$63*$H$65)</f>
        <v>213.089975000001</v>
      </c>
      <c r="AE68" s="42" t="n">
        <f aca="false">-($D$63+$J$63)*(AE$5=0)+IF(AND(AE$5-$K$63&gt;=1,AE$5-$K$63&lt;=Inputs!$C$13),INDEX($N$66:$AL$66,1,AE$5-$K$63+1)*INDEX($N$67:$AL$67,1,AE$5-$K$63+1),0)-$I$63*((AE$5=Inputs!$C$12)*$C$65*$D$63+(AE$5=Inputs!$C$13)*$D$65*($D$63+Inputs!$C$14))+$I$63*((AE$5=Inputs!$C$15+$K$63)*$E$65*$I$65+(AE$5=Inputs!$C$16+$K$63)*$F$65*$J$65+(AE$5=Inputs!$C$17)*$G$65*$H$63*$H$65)</f>
        <v>215.583666666667</v>
      </c>
      <c r="AF68" s="42" t="n">
        <f aca="false">-($D$63+$J$63)*(AF$5=0)+IF(AND(AF$5-$K$63&gt;=1,AF$5-$K$63&lt;=Inputs!$C$13),INDEX($N$66:$AL$66,1,AF$5-$K$63+1)*INDEX($N$67:$AL$67,1,AF$5-$K$63+1),0)-$I$63*((AF$5=Inputs!$C$12)*$C$65*$D$63+(AF$5=Inputs!$C$13)*$D$65*($D$63+Inputs!$C$14))+$I$63*((AF$5=Inputs!$C$15+$K$63)*$E$65*$I$65+(AF$5=Inputs!$C$16+$K$63)*$F$65*$J$65+(AF$5=Inputs!$C$17)*$G$65*$H$63*$H$65)</f>
        <v>218.077358333333</v>
      </c>
      <c r="AG68" s="42" t="n">
        <f aca="false">-($D$63+$J$63)*(AG$5=0)+IF(AND(AG$5-$K$63&gt;=1,AG$5-$K$63&lt;=Inputs!$C$13),INDEX($N$66:$AL$66,1,AG$5-$K$63+1)*INDEX($N$67:$AL$67,1,AG$5-$K$63+1),0)-$I$63*((AG$5=Inputs!$C$12)*$C$65*$D$63+(AG$5=Inputs!$C$13)*$D$65*($D$63+Inputs!$C$14))+$I$63*((AG$5=Inputs!$C$15+$K$63)*$E$65*$I$65+(AG$5=Inputs!$C$16+$K$63)*$F$65*$J$65+(AG$5=Inputs!$C$17)*$G$65*$H$63*$H$65)</f>
        <v>220.57105</v>
      </c>
      <c r="AH68" s="42" t="n">
        <f aca="false">-($D$63+$J$63)*(AH$5=0)+IF(AND(AH$5-$K$63&gt;=1,AH$5-$K$63&lt;=Inputs!$C$13),INDEX($N$66:$AL$66,1,AH$5-$K$63+1)*INDEX($N$67:$AL$67,1,AH$5-$K$63+1),0)-$I$63*((AH$5=Inputs!$C$12)*$C$65*$D$63+(AH$5=Inputs!$C$13)*$D$65*($D$63+Inputs!$C$14))+$I$63*((AH$5=Inputs!$C$15+$K$63)*$E$65*$I$65+(AH$5=Inputs!$C$16+$K$63)*$F$65*$J$65+(AH$5=Inputs!$C$17)*$G$65*$H$63*$H$65)</f>
        <v>159.331958333334</v>
      </c>
      <c r="AI68" s="42" t="n">
        <f aca="false">-($D$63+$J$63)*(AI$5=0)+IF(AND(AI$5-$K$63&gt;=1,AI$5-$K$63&lt;=Inputs!$C$13),INDEX($N$66:$AL$66,1,AI$5-$K$63+1)*INDEX($N$67:$AL$67,1,AI$5-$K$63+1),0)-$I$63*((AI$5=Inputs!$C$12)*$C$65*$D$63+(AI$5=Inputs!$C$13)*$D$65*($D$63+Inputs!$C$14))+$I$63*((AI$5=Inputs!$C$15+$K$63)*$E$65*$I$65+(AI$5=Inputs!$C$16+$K$63)*$F$65*$J$65+(AI$5=Inputs!$C$17)*$G$65*$H$63*$H$65)</f>
        <v>161.113166666666</v>
      </c>
      <c r="AJ68" s="42" t="n">
        <f aca="false">-($D$63+$J$63)*(AJ$5=0)+IF(AND(AJ$5-$K$63&gt;=1,AJ$5-$K$63&lt;=Inputs!$C$13),INDEX($N$66:$AL$66,1,AJ$5-$K$63+1)*INDEX($N$67:$AL$67,1,AJ$5-$K$63+1),0)-$I$63*((AJ$5=Inputs!$C$12)*$C$65*$D$63+(AJ$5=Inputs!$C$13)*$D$65*($D$63+Inputs!$C$14))+$I$63*((AJ$5=Inputs!$C$15+$K$63)*$E$65*$I$65+(AJ$5=Inputs!$C$16+$K$63)*$F$65*$J$65+(AJ$5=Inputs!$C$17)*$G$65*$H$63*$H$65)</f>
        <v>162.894374999999</v>
      </c>
      <c r="AK68" s="42" t="n">
        <f aca="false">-($D$63+$J$63)*(AK$5=0)+IF(AND(AK$5-$K$63&gt;=1,AK$5-$K$63&lt;=Inputs!$C$13),INDEX($N$66:$AL$66,1,AK$5-$K$63+1)*INDEX($N$67:$AL$67,1,AK$5-$K$63+1),0)-$I$63*((AK$5=Inputs!$C$12)*$C$65*$D$63+(AK$5=Inputs!$C$13)*$D$65*($D$63+Inputs!$C$14))+$I$63*((AK$5=Inputs!$C$15+$K$63)*$E$65*$I$65+(AK$5=Inputs!$C$16+$K$63)*$F$65*$J$65+(AK$5=Inputs!$C$17)*$G$65*$H$63*$H$65)</f>
        <v>164.675583333334</v>
      </c>
      <c r="AL68" s="42" t="n">
        <f aca="false">-($D$63+$J$63)*(AL$5=0)+IF(AND(AL$5-$K$63&gt;=1,AL$5-$K$63&lt;=Inputs!$C$13),INDEX($N$66:$AL$66,1,AL$5-$K$63+1)*INDEX($N$67:$AL$67,1,AL$5-$K$63+1),0)-$I$63*((AL$5=Inputs!$C$12)*$C$65*$D$63+(AL$5=Inputs!$C$13)*$D$65*($D$63+Inputs!$C$14))+$I$63*((AL$5=Inputs!$C$15+$K$63)*$E$65*$I$65+(AL$5=Inputs!$C$16+$K$63)*$F$65*$J$65+(AL$5=Inputs!$C$17)*$G$65*$H$63*$H$65)</f>
        <v>76.4567916666671</v>
      </c>
      <c r="AM68" s="42" t="n">
        <f aca="false">-($D$63+$J$63)*(AM$5=0)+IF(AND(AM$5-$K$63&gt;=1,AM$5-$K$63&lt;=Inputs!$C$13),INDEX($N$66:$AL$66,1,AM$5-$K$63+1)*INDEX($N$67:$AL$67,1,AM$5-$K$63+1),0)-$I$63*((AM$5=Inputs!$C$12)*$C$65*$D$63+(AM$5=Inputs!$C$13)*$D$65*($D$63+Inputs!$C$14))+$I$63*((AM$5=Inputs!$C$15+$K$63)*$E$65*$I$65+(AM$5=Inputs!$C$16+$K$63)*$F$65*$J$65+(AM$5=Inputs!$C$17)*$G$65*$H$63*$H$65)</f>
        <v>168.237999999999</v>
      </c>
      <c r="AN68" s="42" t="n">
        <f aca="false">-($D$63+$J$63)*(AN$5=0)+IF(AND(AN$5-$K$63&gt;=1,AN$5-$K$63&lt;=Inputs!$C$13),INDEX($N$66:$AL$66,1,AN$5-$K$63+1)*INDEX($N$67:$AL$67,1,AN$5-$K$63+1),0)-$I$63*((AN$5=Inputs!$C$12)*$C$65*$D$63+(AN$5=Inputs!$C$13)*$D$65*($D$63+Inputs!$C$14))+$I$63*((AN$5=Inputs!$C$15+$K$63)*$E$65*$I$65+(AN$5=Inputs!$C$16+$K$63)*$F$65*$J$65+(AN$5=Inputs!$C$17)*$G$65*$H$63*$H$65)</f>
        <v>0</v>
      </c>
      <c r="AO68" s="42" t="n">
        <f aca="false">-($D$63+$J$63)*(AO$5=0)+IF(AND(AO$5-$K$63&gt;=1,AO$5-$K$63&lt;=Inputs!$C$13),INDEX($N$66:$AL$66,1,AO$5-$K$63+1)*INDEX($N$67:$AL$67,1,AO$5-$K$63+1),0)-$I$63*((AO$5=Inputs!$C$12)*$C$65*$D$63+(AO$5=Inputs!$C$13)*$D$65*($D$63+Inputs!$C$14))+$I$63*((AO$5=Inputs!$C$15+$K$63)*$E$65*$I$65+(AO$5=Inputs!$C$16+$K$63)*$F$65*$J$65+(AO$5=Inputs!$C$17)*$G$65*$H$63*$H$65)</f>
        <v>0</v>
      </c>
      <c r="AP68" s="42" t="n">
        <f aca="false">-($D$63+$J$63)*(AP$5=0)+IF(AND(AP$5-$K$63&gt;=1,AP$5-$K$63&lt;=Inputs!$C$13),INDEX($N$66:$AL$66,1,AP$5-$K$63+1)*INDEX($N$67:$AL$67,1,AP$5-$K$63+1),0)-$I$63*((AP$5=Inputs!$C$12)*$C$65*$D$63+(AP$5=Inputs!$C$13)*$D$65*($D$63+Inputs!$C$14))+$I$63*((AP$5=Inputs!$C$15+$K$63)*$E$65*$I$65+(AP$5=Inputs!$C$16+$K$63)*$F$65*$J$65+(AP$5=Inputs!$C$17)*$G$65*$H$63*$H$65)</f>
        <v>201.15</v>
      </c>
      <c r="AQ68" s="42" t="n">
        <f aca="false">-($D$63+$J$63)*(AQ$5=0)+IF(AND(AQ$5-$K$63&gt;=1,AQ$5-$K$63&lt;=Inputs!$C$13),INDEX($N$66:$AL$66,1,AQ$5-$K$63+1)*INDEX($N$67:$AL$67,1,AQ$5-$K$63+1),0)-$I$63*((AQ$5=Inputs!$C$12)*$C$65*$D$63+(AQ$5=Inputs!$C$13)*$D$65*($D$63+Inputs!$C$14))+$I$63*((AQ$5=Inputs!$C$15+$K$63)*$E$65*$I$65+(AQ$5=Inputs!$C$16+$K$63)*$F$65*$J$65+(AQ$5=Inputs!$C$17)*$G$65*$H$63*$H$65)</f>
        <v>0</v>
      </c>
      <c r="AR68" s="42" t="n">
        <f aca="false">-($D$63+$J$63)*(AR$5=0)+IF(AND(AR$5-$K$63&gt;=1,AR$5-$K$63&lt;=Inputs!$C$13),INDEX($N$66:$AL$66,1,AR$5-$K$63+1)*INDEX($N$67:$AL$67,1,AR$5-$K$63+1),0)-$I$63*((AR$5=Inputs!$C$12)*$C$65*$D$63+(AR$5=Inputs!$C$13)*$D$65*($D$63+Inputs!$C$14))+$I$63*((AR$5=Inputs!$C$15+$K$63)*$E$65*$I$65+(AR$5=Inputs!$C$16+$K$63)*$F$65*$J$65+(AR$5=Inputs!$C$17)*$G$65*$H$63*$H$65)</f>
        <v>0</v>
      </c>
      <c r="AS68" s="42" t="n">
        <f aca="false">-($D$63+$J$63)*(AS$5=0)+IF(AND(AS$5-$K$63&gt;=1,AS$5-$K$63&lt;=Inputs!$C$13),INDEX($N$66:$AL$66,1,AS$5-$K$63+1)*INDEX($N$67:$AL$67,1,AS$5-$K$63+1),0)-$I$63*((AS$5=Inputs!$C$12)*$C$65*$D$63+(AS$5=Inputs!$C$13)*$D$65*($D$63+Inputs!$C$14))+$I$63*((AS$5=Inputs!$C$15+$K$63)*$E$65*$I$65+(AS$5=Inputs!$C$16+$K$63)*$F$65*$J$65+(AS$5=Inputs!$C$17)*$G$65*$H$63*$H$65)</f>
        <v>49.23945</v>
      </c>
      <c r="AT68" s="42" t="n">
        <f aca="false">-($D$63+$J$63)*(AT$5=0)+IF(AND(AT$5-$K$63&gt;=1,AT$5-$K$63&lt;=Inputs!$C$13),INDEX($N$66:$AL$66,1,AT$5-$K$63+1)*INDEX($N$67:$AL$67,1,AT$5-$K$63+1),0)-$I$63*((AT$5=Inputs!$C$12)*$C$65*$D$63+(AT$5=Inputs!$C$13)*$D$65*($D$63+Inputs!$C$14))+$I$63*((AT$5=Inputs!$C$15+$K$63)*$E$65*$I$65+(AT$5=Inputs!$C$16+$K$63)*$F$65*$J$65+(AT$5=Inputs!$C$17)*$G$65*$H$63*$H$65)</f>
        <v>0</v>
      </c>
      <c r="AU68" s="42" t="n">
        <f aca="false">-($D$63+$J$63)*(AU$5=0)+IF(AND(AU$5-$K$63&gt;=1,AU$5-$K$63&lt;=Inputs!$C$13),INDEX($N$66:$AL$66,1,AU$5-$K$63+1)*INDEX($N$67:$AL$67,1,AU$5-$K$63+1),0)-$I$63*((AU$5=Inputs!$C$12)*$C$65*$D$63+(AU$5=Inputs!$C$13)*$D$65*($D$63+Inputs!$C$14))+$I$63*((AU$5=Inputs!$C$15+$K$63)*$E$65*$I$65+(AU$5=Inputs!$C$16+$K$63)*$F$65*$J$65+(AU$5=Inputs!$C$17)*$G$65*$H$63*$H$65)</f>
        <v>0</v>
      </c>
      <c r="AV68" s="42" t="n">
        <f aca="false">-($D$63+$J$63)*(AV$5=0)+IF(AND(AV$5-$K$63&gt;=1,AV$5-$K$63&lt;=Inputs!$C$13),INDEX($N$66:$AL$66,1,AV$5-$K$63+1)*INDEX($N$67:$AL$67,1,AV$5-$K$63+1),0)-$I$63*((AV$5=Inputs!$C$12)*$C$65*$D$63+(AV$5=Inputs!$C$13)*$D$65*($D$63+Inputs!$C$14))+$I$63*((AV$5=Inputs!$C$15+$K$63)*$E$65*$I$65+(AV$5=Inputs!$C$16+$K$63)*$F$65*$J$65+(AV$5=Inputs!$C$17)*$G$65*$H$63*$H$65)</f>
        <v>0</v>
      </c>
      <c r="AW68" s="42" t="n">
        <f aca="false">-($D$63+$J$63)*(AW$5=0)+IF(AND(AW$5-$K$63&gt;=1,AW$5-$K$63&lt;=Inputs!$C$13),INDEX($N$66:$AL$66,1,AW$5-$K$63+1)*INDEX($N$67:$AL$67,1,AW$5-$K$63+1),0)-$I$63*((AW$5=Inputs!$C$12)*$C$65*$D$63+(AW$5=Inputs!$C$13)*$D$65*($D$63+Inputs!$C$14))+$I$63*((AW$5=Inputs!$C$15+$K$63)*$E$65*$I$65+(AW$5=Inputs!$C$16+$K$63)*$F$65*$J$65+(AW$5=Inputs!$C$17)*$G$65*$H$63*$H$65)</f>
        <v>0</v>
      </c>
      <c r="AX68" s="42" t="n">
        <f aca="false">-($D$63+$J$63)*(AX$5=0)+IF(AND(AX$5-$K$63&gt;=1,AX$5-$K$63&lt;=Inputs!$C$13),INDEX($N$66:$AL$66,1,AX$5-$K$63+1)*INDEX($N$67:$AL$67,1,AX$5-$K$63+1),0)-$I$63*((AX$5=Inputs!$C$12)*$C$65*$D$63+(AX$5=Inputs!$C$13)*$D$65*($D$63+Inputs!$C$14))+$I$63*((AX$5=Inputs!$C$15+$K$63)*$E$65*$I$65+(AX$5=Inputs!$C$16+$K$63)*$F$65*$J$65+(AX$5=Inputs!$C$17)*$G$65*$H$63*$H$65)</f>
        <v>1.94400000000001</v>
      </c>
      <c r="AY68" s="42" t="n">
        <f aca="false">-($D$63+$J$63)*(AY$5=0)+IF(AND(AY$5-$K$63&gt;=1,AY$5-$K$63&lt;=Inputs!$C$13),INDEX($N$66:$AL$66,1,AY$5-$K$63+1)*INDEX($N$67:$AL$67,1,AY$5-$K$63+1),0)-$I$63*((AY$5=Inputs!$C$12)*$C$65*$D$63+(AY$5=Inputs!$C$13)*$D$65*($D$63+Inputs!$C$14))+$I$63*((AY$5=Inputs!$C$15+$K$63)*$E$65*$I$65+(AY$5=Inputs!$C$16+$K$63)*$F$65*$J$65+(AY$5=Inputs!$C$17)*$G$65*$H$63*$H$65)</f>
        <v>0</v>
      </c>
    </row>
    <row r="70" customFormat="false" ht="15" hidden="false" customHeight="false" outlineLevel="0" collapsed="false">
      <c r="B70" s="7" t="s">
        <v>194</v>
      </c>
      <c r="C70" s="8"/>
      <c r="D70" s="8"/>
      <c r="E70" s="8"/>
      <c r="F70" s="8"/>
      <c r="G70" s="8"/>
      <c r="H70" s="8"/>
      <c r="I70" s="8"/>
      <c r="J70" s="8"/>
      <c r="K70" s="8"/>
      <c r="L70" s="8"/>
    </row>
    <row r="71" customFormat="false" ht="30" hidden="false" customHeight="true" outlineLevel="0" collapsed="false">
      <c r="B71" s="37"/>
      <c r="C71" s="38" t="s">
        <v>169</v>
      </c>
      <c r="D71" s="38" t="s">
        <v>170</v>
      </c>
      <c r="E71" s="38" t="s">
        <v>171</v>
      </c>
      <c r="F71" s="38" t="s">
        <v>43</v>
      </c>
      <c r="G71" s="38" t="s">
        <v>44</v>
      </c>
      <c r="H71" s="38" t="s">
        <v>45</v>
      </c>
      <c r="I71" s="38" t="s">
        <v>172</v>
      </c>
      <c r="J71" s="38" t="s">
        <v>90</v>
      </c>
      <c r="K71" s="38" t="s">
        <v>89</v>
      </c>
      <c r="L71" s="38" t="s">
        <v>173</v>
      </c>
    </row>
    <row r="72" customFormat="false" ht="15" hidden="false" customHeight="false" outlineLevel="0" collapsed="false">
      <c r="B72" s="39" t="s">
        <v>174</v>
      </c>
      <c r="C72" s="26" t="n">
        <f aca="false">Class_IRR!$J$5</f>
        <v>0.18</v>
      </c>
      <c r="D72" s="30" t="n">
        <f aca="false">Inputs!$E$23</f>
        <v>4200</v>
      </c>
      <c r="E72" s="26" t="n">
        <f aca="false">Inputs!$F$23</f>
        <v>0.985</v>
      </c>
      <c r="F72" s="25" t="n">
        <f aca="false">Inputs!$G$23</f>
        <v>0.8</v>
      </c>
      <c r="G72" s="25" t="n">
        <f aca="false">Inputs!$H$23</f>
        <v>0.95</v>
      </c>
      <c r="H72" s="25" t="n">
        <f aca="false">Inputs!$I$23</f>
        <v>0.9</v>
      </c>
      <c r="I72" s="22" t="n">
        <f aca="false">Inputs!$J$23</f>
        <v>1</v>
      </c>
      <c r="J72" s="23" t="n">
        <f aca="false">Inputs!$C$9</f>
        <v>10</v>
      </c>
      <c r="K72" s="22" t="n">
        <f aca="false">Inputs!$C$10</f>
        <v>1</v>
      </c>
      <c r="L72" s="22" t="n">
        <f aca="false">1</f>
        <v>1</v>
      </c>
    </row>
    <row r="73" customFormat="false" ht="30" hidden="false" customHeight="true" outlineLevel="0" collapsed="false">
      <c r="B73" s="37"/>
      <c r="C73" s="38" t="s">
        <v>175</v>
      </c>
      <c r="D73" s="38" t="s">
        <v>176</v>
      </c>
      <c r="E73" s="38" t="s">
        <v>177</v>
      </c>
      <c r="F73" s="38" t="s">
        <v>178</v>
      </c>
      <c r="G73" s="38" t="s">
        <v>112</v>
      </c>
      <c r="H73" s="38" t="s">
        <v>179</v>
      </c>
      <c r="I73" s="38" t="s">
        <v>180</v>
      </c>
      <c r="J73" s="38" t="s">
        <v>181</v>
      </c>
      <c r="K73" s="38" t="s">
        <v>182</v>
      </c>
      <c r="L73" s="38" t="s">
        <v>183</v>
      </c>
    </row>
    <row r="74" customFormat="false" ht="15" hidden="false" customHeight="false" outlineLevel="0" collapsed="false">
      <c r="B74" s="39" t="s">
        <v>184</v>
      </c>
      <c r="C74" s="40" t="n">
        <f aca="false">1-$E$72*CHOOSE($L$72,INDEX(Timing!$C$7:$AA$7,1,Inputs!$C$12+1),INDEX(Timing!$C$8:$AA$8,1,Inputs!$C$12+1))</f>
        <v>0.2514</v>
      </c>
      <c r="D74" s="40" t="n">
        <f aca="false">1-$E$72*CHOOSE($L$72,INDEX(Timing!$C$7:$AA$7,1,Inputs!$C$13+1),INDEX(Timing!$C$8:$AA$8,1,Inputs!$C$13+1))</f>
        <v>0.015</v>
      </c>
      <c r="E74" s="40" t="n">
        <f aca="false">$I$72*$D$74*$F$72</f>
        <v>0.012</v>
      </c>
      <c r="F74" s="40" t="n">
        <f aca="false">$I$72*($D$74-$E$74)*$G$72</f>
        <v>0.00285</v>
      </c>
      <c r="G74" s="40" t="n">
        <f aca="false">$I$72*($D$74-$E$74-$F$74)</f>
        <v>0.00015</v>
      </c>
      <c r="H74" s="23" t="n">
        <f aca="false">$I$72*(3*$D$72+Inputs!$C$14)</f>
        <v>14400</v>
      </c>
      <c r="I74" s="23" t="n">
        <f aca="false">$I$72*($D$72*(1+IF($C$72&lt;=0,0,MAX($C$72*Inputs!$C$15/12,Inputs!$C$8)))+$D$72*(1+Inputs!$C$11*(Inputs!$C$15-Inputs!$C$12)/12)+$D$72*(1+Inputs!$C$11*(Inputs!$C$15-Inputs!$C$13)/12)+Inputs!$C$14)</f>
        <v>17235</v>
      </c>
      <c r="J74" s="23" t="n">
        <f aca="false">$I$72*($D$72*(1+IF($C$72&lt;=0,0,MAX($C$72*Inputs!$C$16/12,Inputs!$C$8)))+$D$72*(1+Inputs!$C$11*(Inputs!$C$16-Inputs!$C$12)/12)+$D$72*(1+Inputs!$C$11*(Inputs!$C$16-Inputs!$C$13)/12)+Inputs!$C$14)</f>
        <v>17802</v>
      </c>
      <c r="K74" s="40" t="n">
        <f aca="false">IRR($N$77:$AY$77,0.005)</f>
        <v>0.0126132275055764</v>
      </c>
      <c r="L74" s="41" t="n">
        <f aca="false">(1+$K$74)^12-1</f>
        <v>0.162313157202603</v>
      </c>
    </row>
    <row r="75" customFormat="false" ht="15" hidden="false" customHeight="false" outlineLevel="0" collapsed="false">
      <c r="B75" s="9" t="s">
        <v>185</v>
      </c>
      <c r="N75" s="40" t="n">
        <f aca="false">0</f>
        <v>0</v>
      </c>
      <c r="O75" s="40" t="n">
        <f aca="false">$E$72*(CHOOSE($L$72,Timing!D$7,Timing!D$8)-CHOOSE($L$72,Timing!C$7,Timing!C$8))</f>
        <v>0.1182</v>
      </c>
      <c r="P75" s="40" t="n">
        <f aca="false">$E$72*(CHOOSE($L$72,Timing!E$7,Timing!E$8)-CHOOSE($L$72,Timing!D$7,Timing!D$8))</f>
        <v>0.0985</v>
      </c>
      <c r="Q75" s="40" t="n">
        <f aca="false">$E$72*(CHOOSE($L$72,Timing!F$7,Timing!F$8)-CHOOSE($L$72,Timing!E$7,Timing!E$8))</f>
        <v>0.08865</v>
      </c>
      <c r="R75" s="40" t="n">
        <f aca="false">$E$72*(CHOOSE($L$72,Timing!G$7,Timing!G$8)-CHOOSE($L$72,Timing!F$7,Timing!F$8))</f>
        <v>0.06895</v>
      </c>
      <c r="S75" s="40" t="n">
        <f aca="false">$E$72*(CHOOSE($L$72,Timing!H$7,Timing!H$8)-CHOOSE($L$72,Timing!G$7,Timing!G$8))</f>
        <v>0.06895</v>
      </c>
      <c r="T75" s="40" t="n">
        <f aca="false">$E$72*(CHOOSE($L$72,Timing!I$7,Timing!I$8)-CHOOSE($L$72,Timing!H$7,Timing!H$8))</f>
        <v>0.06895</v>
      </c>
      <c r="U75" s="40" t="n">
        <f aca="false">$E$72*(CHOOSE($L$72,Timing!J$7,Timing!J$8)-CHOOSE($L$72,Timing!I$7,Timing!I$8))</f>
        <v>0.0426833333333333</v>
      </c>
      <c r="V75" s="40" t="n">
        <f aca="false">$E$72*(CHOOSE($L$72,Timing!K$7,Timing!K$8)-CHOOSE($L$72,Timing!J$7,Timing!J$8))</f>
        <v>0.0426833333333333</v>
      </c>
      <c r="W75" s="40" t="n">
        <f aca="false">$E$72*(CHOOSE($L$72,Timing!L$7,Timing!L$8)-CHOOSE($L$72,Timing!K$7,Timing!K$8))</f>
        <v>0.0426833333333333</v>
      </c>
      <c r="X75" s="40" t="n">
        <f aca="false">$E$72*(CHOOSE($L$72,Timing!M$7,Timing!M$8)-CHOOSE($L$72,Timing!L$7,Timing!L$8))</f>
        <v>0.0361166666666666</v>
      </c>
      <c r="Y75" s="40" t="n">
        <f aca="false">$E$72*(CHOOSE($L$72,Timing!N$7,Timing!N$8)-CHOOSE($L$72,Timing!M$7,Timing!M$8))</f>
        <v>0.0361166666666667</v>
      </c>
      <c r="Z75" s="40" t="n">
        <f aca="false">$E$72*(CHOOSE($L$72,Timing!O$7,Timing!O$8)-CHOOSE($L$72,Timing!N$7,Timing!N$8))</f>
        <v>0.0361166666666666</v>
      </c>
      <c r="AA75" s="40" t="n">
        <f aca="false">$E$72*(CHOOSE($L$72,Timing!P$7,Timing!P$8)-CHOOSE($L$72,Timing!O$7,Timing!O$8))</f>
        <v>0.0229833333333333</v>
      </c>
      <c r="AB75" s="40" t="n">
        <f aca="false">$E$72*(CHOOSE($L$72,Timing!Q$7,Timing!Q$8)-CHOOSE($L$72,Timing!P$7,Timing!P$8))</f>
        <v>0.0229833333333333</v>
      </c>
      <c r="AC75" s="40" t="n">
        <f aca="false">$E$72*(CHOOSE($L$72,Timing!R$7,Timing!R$8)-CHOOSE($L$72,Timing!Q$7,Timing!Q$8))</f>
        <v>0.0229833333333334</v>
      </c>
      <c r="AD75" s="40" t="n">
        <f aca="false">$E$72*(CHOOSE($L$72,Timing!S$7,Timing!S$8)-CHOOSE($L$72,Timing!R$7,Timing!R$8))</f>
        <v>0.0229833333333333</v>
      </c>
      <c r="AE75" s="40" t="n">
        <f aca="false">$E$72*(CHOOSE($L$72,Timing!T$7,Timing!T$8)-CHOOSE($L$72,Timing!S$7,Timing!S$8))</f>
        <v>0.0229833333333333</v>
      </c>
      <c r="AF75" s="40" t="n">
        <f aca="false">$E$72*(CHOOSE($L$72,Timing!U$7,Timing!U$8)-CHOOSE($L$72,Timing!T$7,Timing!T$8))</f>
        <v>0.0229833333333333</v>
      </c>
      <c r="AG75" s="40" t="n">
        <f aca="false">$E$72*(CHOOSE($L$72,Timing!V$7,Timing!V$8)-CHOOSE($L$72,Timing!U$7,Timing!U$8))</f>
        <v>0.0164166666666667</v>
      </c>
      <c r="AH75" s="40" t="n">
        <f aca="false">$E$72*(CHOOSE($L$72,Timing!W$7,Timing!W$8)-CHOOSE($L$72,Timing!V$7,Timing!V$8))</f>
        <v>0.0164166666666666</v>
      </c>
      <c r="AI75" s="40" t="n">
        <f aca="false">$E$72*(CHOOSE($L$72,Timing!X$7,Timing!X$8)-CHOOSE($L$72,Timing!W$7,Timing!W$8))</f>
        <v>0.0164166666666666</v>
      </c>
      <c r="AJ75" s="40" t="n">
        <f aca="false">$E$72*(CHOOSE($L$72,Timing!Y$7,Timing!Y$8)-CHOOSE($L$72,Timing!X$7,Timing!X$8))</f>
        <v>0.0164166666666667</v>
      </c>
      <c r="AK75" s="40" t="n">
        <f aca="false">$E$72*(CHOOSE($L$72,Timing!Z$7,Timing!Z$8)-CHOOSE($L$72,Timing!Y$7,Timing!Y$8))</f>
        <v>0.0164166666666667</v>
      </c>
      <c r="AL75" s="40" t="n">
        <f aca="false">$E$72*(CHOOSE($L$72,Timing!AA$7,Timing!AA$8)-CHOOSE($L$72,Timing!Z$7,Timing!Z$8))</f>
        <v>0.0164166666666666</v>
      </c>
    </row>
    <row r="76" customFormat="false" ht="15" hidden="false" customHeight="false" outlineLevel="0" collapsed="false">
      <c r="B76" s="9" t="s">
        <v>186</v>
      </c>
      <c r="N76" s="42" t="n">
        <f aca="false">0</f>
        <v>0</v>
      </c>
      <c r="O76" s="42" t="n">
        <f aca="false">$D$72*(1+IF($C$72&lt;=0,0,MAX($C$72*O$5/12,Inputs!$C$8)))+$I$72*(O$5&gt;Inputs!$C$12)*$D$72*(1+Inputs!$C$11*(O$5-Inputs!$C$12)/12)</f>
        <v>4410</v>
      </c>
      <c r="P76" s="42" t="n">
        <f aca="false">$D$72*(1+IF($C$72&lt;=0,0,MAX($C$72*P$5/12,Inputs!$C$8)))+$I$72*(P$5&gt;Inputs!$C$12)*$D$72*(1+Inputs!$C$11*(P$5-Inputs!$C$12)/12)</f>
        <v>4410</v>
      </c>
      <c r="Q76" s="42" t="n">
        <f aca="false">$D$72*(1+IF($C$72&lt;=0,0,MAX($C$72*Q$5/12,Inputs!$C$8)))+$I$72*(Q$5&gt;Inputs!$C$12)*$D$72*(1+Inputs!$C$11*(Q$5-Inputs!$C$12)/12)</f>
        <v>4410</v>
      </c>
      <c r="R76" s="42" t="n">
        <f aca="false">$D$72*(1+IF($C$72&lt;=0,0,MAX($C$72*R$5/12,Inputs!$C$8)))+$I$72*(R$5&gt;Inputs!$C$12)*$D$72*(1+Inputs!$C$11*(R$5-Inputs!$C$12)/12)</f>
        <v>4452</v>
      </c>
      <c r="S76" s="42" t="n">
        <f aca="false">$D$72*(1+IF($C$72&lt;=0,0,MAX($C$72*S$5/12,Inputs!$C$8)))+$I$72*(S$5&gt;Inputs!$C$12)*$D$72*(1+Inputs!$C$11*(S$5-Inputs!$C$12)/12)</f>
        <v>4515</v>
      </c>
      <c r="T76" s="42" t="n">
        <f aca="false">$D$72*(1+IF($C$72&lt;=0,0,MAX($C$72*T$5/12,Inputs!$C$8)))+$I$72*(T$5&gt;Inputs!$C$12)*$D$72*(1+Inputs!$C$11*(T$5-Inputs!$C$12)/12)</f>
        <v>4578</v>
      </c>
      <c r="U76" s="42" t="n">
        <f aca="false">$D$72*(1+IF($C$72&lt;=0,0,MAX($C$72*U$5/12,Inputs!$C$8)))+$I$72*(U$5&gt;Inputs!$C$12)*$D$72*(1+Inputs!$C$11*(U$5-Inputs!$C$12)/12)</f>
        <v>4641</v>
      </c>
      <c r="V76" s="42" t="n">
        <f aca="false">$D$72*(1+IF($C$72&lt;=0,0,MAX($C$72*V$5/12,Inputs!$C$8)))+$I$72*(V$5&gt;Inputs!$C$12)*$D$72*(1+Inputs!$C$11*(V$5-Inputs!$C$12)/12)</f>
        <v>4704</v>
      </c>
      <c r="W76" s="42" t="n">
        <f aca="false">$D$72*(1+IF($C$72&lt;=0,0,MAX($C$72*W$5/12,Inputs!$C$8)))+$I$72*(W$5&gt;Inputs!$C$12)*$D$72*(1+Inputs!$C$11*(W$5-Inputs!$C$12)/12)</f>
        <v>4767</v>
      </c>
      <c r="X76" s="42" t="n">
        <f aca="false">$D$72*(1+IF($C$72&lt;=0,0,MAX($C$72*X$5/12,Inputs!$C$8)))+$I$72*(X$5&gt;Inputs!$C$12)*$D$72*(1+Inputs!$C$11*(X$5-Inputs!$C$12)/12)</f>
        <v>4830</v>
      </c>
      <c r="Y76" s="42" t="n">
        <f aca="false">$D$72*(1+IF($C$72&lt;=0,0,MAX($C$72*Y$5/12,Inputs!$C$8)))+$I$72*(Y$5&gt;Inputs!$C$12)*$D$72*(1+Inputs!$C$11*(Y$5-Inputs!$C$12)/12)</f>
        <v>4893</v>
      </c>
      <c r="Z76" s="42" t="n">
        <f aca="false">$D$72*(1+IF($C$72&lt;=0,0,MAX($C$72*Z$5/12,Inputs!$C$8)))+$I$72*(Z$5&gt;Inputs!$C$12)*$D$72*(1+Inputs!$C$11*(Z$5-Inputs!$C$12)/12)</f>
        <v>4956</v>
      </c>
      <c r="AA76" s="42" t="n">
        <f aca="false">$D$72*(1+IF($C$72&lt;=0,0,MAX($C$72*AA$5/12,Inputs!$C$8)))+$I$72*(AA$5&gt;Inputs!$C$12)*$D$72*(1+Inputs!$C$11*(AA$5-Inputs!$C$12)/12)</f>
        <v>9282</v>
      </c>
      <c r="AB76" s="42" t="n">
        <f aca="false">$D$72*(1+IF($C$72&lt;=0,0,MAX($C$72*AB$5/12,Inputs!$C$8)))+$I$72*(AB$5&gt;Inputs!$C$12)*$D$72*(1+Inputs!$C$11*(AB$5-Inputs!$C$12)/12)</f>
        <v>9408</v>
      </c>
      <c r="AC76" s="42" t="n">
        <f aca="false">$D$72*(1+IF($C$72&lt;=0,0,MAX($C$72*AC$5/12,Inputs!$C$8)))+$I$72*(AC$5&gt;Inputs!$C$12)*$D$72*(1+Inputs!$C$11*(AC$5-Inputs!$C$12)/12)</f>
        <v>9534</v>
      </c>
      <c r="AD76" s="42" t="n">
        <f aca="false">$D$72*(1+IF($C$72&lt;=0,0,MAX($C$72*AD$5/12,Inputs!$C$8)))+$I$72*(AD$5&gt;Inputs!$C$12)*$D$72*(1+Inputs!$C$11*(AD$5-Inputs!$C$12)/12)</f>
        <v>9660</v>
      </c>
      <c r="AE76" s="42" t="n">
        <f aca="false">$D$72*(1+IF($C$72&lt;=0,0,MAX($C$72*AE$5/12,Inputs!$C$8)))+$I$72*(AE$5&gt;Inputs!$C$12)*$D$72*(1+Inputs!$C$11*(AE$5-Inputs!$C$12)/12)</f>
        <v>9786</v>
      </c>
      <c r="AF76" s="42" t="n">
        <f aca="false">$D$72*(1+IF($C$72&lt;=0,0,MAX($C$72*AF$5/12,Inputs!$C$8)))+$I$72*(AF$5&gt;Inputs!$C$12)*$D$72*(1+Inputs!$C$11*(AF$5-Inputs!$C$12)/12)</f>
        <v>9912</v>
      </c>
      <c r="AG76" s="42" t="n">
        <f aca="false">$D$72*(1+IF($C$72&lt;=0,0,MAX($C$72*AG$5/12,Inputs!$C$8)))+$I$72*(AG$5&gt;Inputs!$C$12)*$D$72*(1+Inputs!$C$11*(AG$5-Inputs!$C$12)/12)</f>
        <v>10038</v>
      </c>
      <c r="AH76" s="42" t="n">
        <f aca="false">$D$72*(1+IF($C$72&lt;=0,0,MAX($C$72*AH$5/12,Inputs!$C$8)))+$I$72*(AH$5&gt;Inputs!$C$12)*$D$72*(1+Inputs!$C$11*(AH$5-Inputs!$C$12)/12)</f>
        <v>10164</v>
      </c>
      <c r="AI76" s="42" t="n">
        <f aca="false">$D$72*(1+IF($C$72&lt;=0,0,MAX($C$72*AI$5/12,Inputs!$C$8)))+$I$72*(AI$5&gt;Inputs!$C$12)*$D$72*(1+Inputs!$C$11*(AI$5-Inputs!$C$12)/12)</f>
        <v>10290</v>
      </c>
      <c r="AJ76" s="42" t="n">
        <f aca="false">$D$72*(1+IF($C$72&lt;=0,0,MAX($C$72*AJ$5/12,Inputs!$C$8)))+$I$72*(AJ$5&gt;Inputs!$C$12)*$D$72*(1+Inputs!$C$11*(AJ$5-Inputs!$C$12)/12)</f>
        <v>10416</v>
      </c>
      <c r="AK76" s="42" t="n">
        <f aca="false">$D$72*(1+IF($C$72&lt;=0,0,MAX($C$72*AK$5/12,Inputs!$C$8)))+$I$72*(AK$5&gt;Inputs!$C$12)*$D$72*(1+Inputs!$C$11*(AK$5-Inputs!$C$12)/12)</f>
        <v>10542</v>
      </c>
      <c r="AL76" s="42" t="n">
        <f aca="false">$D$72*(1+IF($C$72&lt;=0,0,MAX($C$72*AL$5/12,Inputs!$C$8)))+$I$72*(AL$5&gt;Inputs!$C$12)*$D$72*(1+Inputs!$C$11*(AL$5-Inputs!$C$12)/12)</f>
        <v>10668</v>
      </c>
    </row>
    <row r="77" customFormat="false" ht="15" hidden="false" customHeight="false" outlineLevel="0" collapsed="false">
      <c r="B77" s="31" t="s">
        <v>187</v>
      </c>
      <c r="N77" s="42" t="n">
        <f aca="false">-($D$72+$J$72)*(N$5=0)+IF(AND(N$5-$K$72&gt;=1,N$5-$K$72&lt;=Inputs!$C$13),INDEX($N$75:$AL$75,1,N$5-$K$72+1)*INDEX($N$76:$AL$76,1,N$5-$K$72+1),0)-$I$72*((N$5=Inputs!$C$12)*$C$74*$D$72+(N$5=Inputs!$C$13)*$D$74*($D$72+Inputs!$C$14))+$I$72*((N$5=Inputs!$C$15+$K$72)*$E$74*$I$74+(N$5=Inputs!$C$16+$K$72)*$F$74*$J$74+(N$5=Inputs!$C$17)*$G$74*$H$72*$H$74)</f>
        <v>-4210</v>
      </c>
      <c r="O77" s="42" t="n">
        <f aca="false">-($D$72+$J$72)*(O$5=0)+IF(AND(O$5-$K$72&gt;=1,O$5-$K$72&lt;=Inputs!$C$13),INDEX($N$75:$AL$75,1,O$5-$K$72+1)*INDEX($N$76:$AL$76,1,O$5-$K$72+1),0)-$I$72*((O$5=Inputs!$C$12)*$C$74*$D$72+(O$5=Inputs!$C$13)*$D$74*($D$72+Inputs!$C$14))+$I$72*((O$5=Inputs!$C$15+$K$72)*$E$74*$I$74+(O$5=Inputs!$C$16+$K$72)*$F$74*$J$74+(O$5=Inputs!$C$17)*$G$74*$H$72*$H$74)</f>
        <v>0</v>
      </c>
      <c r="P77" s="42" t="n">
        <f aca="false">-($D$72+$J$72)*(P$5=0)+IF(AND(P$5-$K$72&gt;=1,P$5-$K$72&lt;=Inputs!$C$13),INDEX($N$75:$AL$75,1,P$5-$K$72+1)*INDEX($N$76:$AL$76,1,P$5-$K$72+1),0)-$I$72*((P$5=Inputs!$C$12)*$C$74*$D$72+(P$5=Inputs!$C$13)*$D$74*($D$72+Inputs!$C$14))+$I$72*((P$5=Inputs!$C$15+$K$72)*$E$74*$I$74+(P$5=Inputs!$C$16+$K$72)*$F$74*$J$74+(P$5=Inputs!$C$17)*$G$74*$H$72*$H$74)</f>
        <v>521.262</v>
      </c>
      <c r="Q77" s="42" t="n">
        <f aca="false">-($D$72+$J$72)*(Q$5=0)+IF(AND(Q$5-$K$72&gt;=1,Q$5-$K$72&lt;=Inputs!$C$13),INDEX($N$75:$AL$75,1,Q$5-$K$72+1)*INDEX($N$76:$AL$76,1,Q$5-$K$72+1),0)-$I$72*((Q$5=Inputs!$C$12)*$C$74*$D$72+(Q$5=Inputs!$C$13)*$D$74*($D$72+Inputs!$C$14))+$I$72*((Q$5=Inputs!$C$15+$K$72)*$E$74*$I$74+(Q$5=Inputs!$C$16+$K$72)*$F$74*$J$74+(Q$5=Inputs!$C$17)*$G$74*$H$72*$H$74)</f>
        <v>434.385</v>
      </c>
      <c r="R77" s="42" t="n">
        <f aca="false">-($D$72+$J$72)*(R$5=0)+IF(AND(R$5-$K$72&gt;=1,R$5-$K$72&lt;=Inputs!$C$13),INDEX($N$75:$AL$75,1,R$5-$K$72+1)*INDEX($N$76:$AL$76,1,R$5-$K$72+1),0)-$I$72*((R$5=Inputs!$C$12)*$C$74*$D$72+(R$5=Inputs!$C$13)*$D$74*($D$72+Inputs!$C$14))+$I$72*((R$5=Inputs!$C$15+$K$72)*$E$74*$I$74+(R$5=Inputs!$C$16+$K$72)*$F$74*$J$74+(R$5=Inputs!$C$17)*$G$74*$H$72*$H$74)</f>
        <v>390.9465</v>
      </c>
      <c r="S77" s="42" t="n">
        <f aca="false">-($D$72+$J$72)*(S$5=0)+IF(AND(S$5-$K$72&gt;=1,S$5-$K$72&lt;=Inputs!$C$13),INDEX($N$75:$AL$75,1,S$5-$K$72+1)*INDEX($N$76:$AL$76,1,S$5-$K$72+1),0)-$I$72*((S$5=Inputs!$C$12)*$C$74*$D$72+(S$5=Inputs!$C$13)*$D$74*($D$72+Inputs!$C$14))+$I$72*((S$5=Inputs!$C$15+$K$72)*$E$74*$I$74+(S$5=Inputs!$C$16+$K$72)*$F$74*$J$74+(S$5=Inputs!$C$17)*$G$74*$H$72*$H$74)</f>
        <v>306.9654</v>
      </c>
      <c r="T77" s="42" t="n">
        <f aca="false">-($D$72+$J$72)*(T$5=0)+IF(AND(T$5-$K$72&gt;=1,T$5-$K$72&lt;=Inputs!$C$13),INDEX($N$75:$AL$75,1,T$5-$K$72+1)*INDEX($N$76:$AL$76,1,T$5-$K$72+1),0)-$I$72*((T$5=Inputs!$C$12)*$C$74*$D$72+(T$5=Inputs!$C$13)*$D$74*($D$72+Inputs!$C$14))+$I$72*((T$5=Inputs!$C$15+$K$72)*$E$74*$I$74+(T$5=Inputs!$C$16+$K$72)*$F$74*$J$74+(T$5=Inputs!$C$17)*$G$74*$H$72*$H$74)</f>
        <v>311.30925</v>
      </c>
      <c r="U77" s="42" t="n">
        <f aca="false">-($D$72+$J$72)*(U$5=0)+IF(AND(U$5-$K$72&gt;=1,U$5-$K$72&lt;=Inputs!$C$13),INDEX($N$75:$AL$75,1,U$5-$K$72+1)*INDEX($N$76:$AL$76,1,U$5-$K$72+1),0)-$I$72*((U$5=Inputs!$C$12)*$C$74*$D$72+(U$5=Inputs!$C$13)*$D$74*($D$72+Inputs!$C$14))+$I$72*((U$5=Inputs!$C$15+$K$72)*$E$74*$I$74+(U$5=Inputs!$C$16+$K$72)*$F$74*$J$74+(U$5=Inputs!$C$17)*$G$74*$H$72*$H$74)</f>
        <v>315.6531</v>
      </c>
      <c r="V77" s="42" t="n">
        <f aca="false">-($D$72+$J$72)*(V$5=0)+IF(AND(V$5-$K$72&gt;=1,V$5-$K$72&lt;=Inputs!$C$13),INDEX($N$75:$AL$75,1,V$5-$K$72+1)*INDEX($N$76:$AL$76,1,V$5-$K$72+1),0)-$I$72*((V$5=Inputs!$C$12)*$C$74*$D$72+(V$5=Inputs!$C$13)*$D$74*($D$72+Inputs!$C$14))+$I$72*((V$5=Inputs!$C$15+$K$72)*$E$74*$I$74+(V$5=Inputs!$C$16+$K$72)*$F$74*$J$74+(V$5=Inputs!$C$17)*$G$74*$H$72*$H$74)</f>
        <v>198.09335</v>
      </c>
      <c r="W77" s="42" t="n">
        <f aca="false">-($D$72+$J$72)*(W$5=0)+IF(AND(W$5-$K$72&gt;=1,W$5-$K$72&lt;=Inputs!$C$13),INDEX($N$75:$AL$75,1,W$5-$K$72+1)*INDEX($N$76:$AL$76,1,W$5-$K$72+1),0)-$I$72*((W$5=Inputs!$C$12)*$C$74*$D$72+(W$5=Inputs!$C$13)*$D$74*($D$72+Inputs!$C$14))+$I$72*((W$5=Inputs!$C$15+$K$72)*$E$74*$I$74+(W$5=Inputs!$C$16+$K$72)*$F$74*$J$74+(W$5=Inputs!$C$17)*$G$74*$H$72*$H$74)</f>
        <v>200.7824</v>
      </c>
      <c r="X77" s="42" t="n">
        <f aca="false">-($D$72+$J$72)*(X$5=0)+IF(AND(X$5-$K$72&gt;=1,X$5-$K$72&lt;=Inputs!$C$13),INDEX($N$75:$AL$75,1,X$5-$K$72+1)*INDEX($N$76:$AL$76,1,X$5-$K$72+1),0)-$I$72*((X$5=Inputs!$C$12)*$C$74*$D$72+(X$5=Inputs!$C$13)*$D$74*($D$72+Inputs!$C$14))+$I$72*((X$5=Inputs!$C$15+$K$72)*$E$74*$I$74+(X$5=Inputs!$C$16+$K$72)*$F$74*$J$74+(X$5=Inputs!$C$17)*$G$74*$H$72*$H$74)</f>
        <v>203.47145</v>
      </c>
      <c r="Y77" s="42" t="n">
        <f aca="false">-($D$72+$J$72)*(Y$5=0)+IF(AND(Y$5-$K$72&gt;=1,Y$5-$K$72&lt;=Inputs!$C$13),INDEX($N$75:$AL$75,1,Y$5-$K$72+1)*INDEX($N$76:$AL$76,1,Y$5-$K$72+1),0)-$I$72*((Y$5=Inputs!$C$12)*$C$74*$D$72+(Y$5=Inputs!$C$13)*$D$74*($D$72+Inputs!$C$14))+$I$72*((Y$5=Inputs!$C$15+$K$72)*$E$74*$I$74+(Y$5=Inputs!$C$16+$K$72)*$F$74*$J$74+(Y$5=Inputs!$C$17)*$G$74*$H$72*$H$74)</f>
        <v>174.4435</v>
      </c>
      <c r="Z77" s="42" t="n">
        <f aca="false">-($D$72+$J$72)*(Z$5=0)+IF(AND(Z$5-$K$72&gt;=1,Z$5-$K$72&lt;=Inputs!$C$13),INDEX($N$75:$AL$75,1,Z$5-$K$72+1)*INDEX($N$76:$AL$76,1,Z$5-$K$72+1),0)-$I$72*((Z$5=Inputs!$C$12)*$C$74*$D$72+(Z$5=Inputs!$C$13)*$D$74*($D$72+Inputs!$C$14))+$I$72*((Z$5=Inputs!$C$15+$K$72)*$E$74*$I$74+(Z$5=Inputs!$C$16+$K$72)*$F$74*$J$74+(Z$5=Inputs!$C$17)*$G$74*$H$72*$H$74)</f>
        <v>-879.16115</v>
      </c>
      <c r="AA77" s="42" t="n">
        <f aca="false">-($D$72+$J$72)*(AA$5=0)+IF(AND(AA$5-$K$72&gt;=1,AA$5-$K$72&lt;=Inputs!$C$13),INDEX($N$75:$AL$75,1,AA$5-$K$72+1)*INDEX($N$76:$AL$76,1,AA$5-$K$72+1),0)-$I$72*((AA$5=Inputs!$C$12)*$C$74*$D$72+(AA$5=Inputs!$C$13)*$D$74*($D$72+Inputs!$C$14))+$I$72*((AA$5=Inputs!$C$15+$K$72)*$E$74*$I$74+(AA$5=Inputs!$C$16+$K$72)*$F$74*$J$74+(AA$5=Inputs!$C$17)*$G$74*$H$72*$H$74)</f>
        <v>178.9942</v>
      </c>
      <c r="AB77" s="42" t="n">
        <f aca="false">-($D$72+$J$72)*(AB$5=0)+IF(AND(AB$5-$K$72&gt;=1,AB$5-$K$72&lt;=Inputs!$C$13),INDEX($N$75:$AL$75,1,AB$5-$K$72+1)*INDEX($N$76:$AL$76,1,AB$5-$K$72+1),0)-$I$72*((AB$5=Inputs!$C$12)*$C$74*$D$72+(AB$5=Inputs!$C$13)*$D$74*($D$72+Inputs!$C$14))+$I$72*((AB$5=Inputs!$C$15+$K$72)*$E$74*$I$74+(AB$5=Inputs!$C$16+$K$72)*$F$74*$J$74+(AB$5=Inputs!$C$17)*$G$74*$H$72*$H$74)</f>
        <v>213.3313</v>
      </c>
      <c r="AC77" s="42" t="n">
        <f aca="false">-($D$72+$J$72)*(AC$5=0)+IF(AND(AC$5-$K$72&gt;=1,AC$5-$K$72&lt;=Inputs!$C$13),INDEX($N$75:$AL$75,1,AC$5-$K$72+1)*INDEX($N$76:$AL$76,1,AC$5-$K$72+1),0)-$I$72*((AC$5=Inputs!$C$12)*$C$74*$D$72+(AC$5=Inputs!$C$13)*$D$74*($D$72+Inputs!$C$14))+$I$72*((AC$5=Inputs!$C$15+$K$72)*$E$74*$I$74+(AC$5=Inputs!$C$16+$K$72)*$F$74*$J$74+(AC$5=Inputs!$C$17)*$G$74*$H$72*$H$74)</f>
        <v>216.2272</v>
      </c>
      <c r="AD77" s="42" t="n">
        <f aca="false">-($D$72+$J$72)*(AD$5=0)+IF(AND(AD$5-$K$72&gt;=1,AD$5-$K$72&lt;=Inputs!$C$13),INDEX($N$75:$AL$75,1,AD$5-$K$72+1)*INDEX($N$76:$AL$76,1,AD$5-$K$72+1),0)-$I$72*((AD$5=Inputs!$C$12)*$C$74*$D$72+(AD$5=Inputs!$C$13)*$D$74*($D$72+Inputs!$C$14))+$I$72*((AD$5=Inputs!$C$15+$K$72)*$E$74*$I$74+(AD$5=Inputs!$C$16+$K$72)*$F$74*$J$74+(AD$5=Inputs!$C$17)*$G$74*$H$72*$H$74)</f>
        <v>219.123100000001</v>
      </c>
      <c r="AE77" s="42" t="n">
        <f aca="false">-($D$72+$J$72)*(AE$5=0)+IF(AND(AE$5-$K$72&gt;=1,AE$5-$K$72&lt;=Inputs!$C$13),INDEX($N$75:$AL$75,1,AE$5-$K$72+1)*INDEX($N$76:$AL$76,1,AE$5-$K$72+1),0)-$I$72*((AE$5=Inputs!$C$12)*$C$74*$D$72+(AE$5=Inputs!$C$13)*$D$74*($D$72+Inputs!$C$14))+$I$72*((AE$5=Inputs!$C$15+$K$72)*$E$74*$I$74+(AE$5=Inputs!$C$16+$K$72)*$F$74*$J$74+(AE$5=Inputs!$C$17)*$G$74*$H$72*$H$74)</f>
        <v>222.019</v>
      </c>
      <c r="AF77" s="42" t="n">
        <f aca="false">-($D$72+$J$72)*(AF$5=0)+IF(AND(AF$5-$K$72&gt;=1,AF$5-$K$72&lt;=Inputs!$C$13),INDEX($N$75:$AL$75,1,AF$5-$K$72+1)*INDEX($N$76:$AL$76,1,AF$5-$K$72+1),0)-$I$72*((AF$5=Inputs!$C$12)*$C$74*$D$72+(AF$5=Inputs!$C$13)*$D$74*($D$72+Inputs!$C$14))+$I$72*((AF$5=Inputs!$C$15+$K$72)*$E$74*$I$74+(AF$5=Inputs!$C$16+$K$72)*$F$74*$J$74+(AF$5=Inputs!$C$17)*$G$74*$H$72*$H$74)</f>
        <v>224.9149</v>
      </c>
      <c r="AG77" s="42" t="n">
        <f aca="false">-($D$72+$J$72)*(AG$5=0)+IF(AND(AG$5-$K$72&gt;=1,AG$5-$K$72&lt;=Inputs!$C$13),INDEX($N$75:$AL$75,1,AG$5-$K$72+1)*INDEX($N$76:$AL$76,1,AG$5-$K$72+1),0)-$I$72*((AG$5=Inputs!$C$12)*$C$74*$D$72+(AG$5=Inputs!$C$13)*$D$74*($D$72+Inputs!$C$14))+$I$72*((AG$5=Inputs!$C$15+$K$72)*$E$74*$I$74+(AG$5=Inputs!$C$16+$K$72)*$F$74*$J$74+(AG$5=Inputs!$C$17)*$G$74*$H$72*$H$74)</f>
        <v>227.8108</v>
      </c>
      <c r="AH77" s="42" t="n">
        <f aca="false">-($D$72+$J$72)*(AH$5=0)+IF(AND(AH$5-$K$72&gt;=1,AH$5-$K$72&lt;=Inputs!$C$13),INDEX($N$75:$AL$75,1,AH$5-$K$72+1)*INDEX($N$76:$AL$76,1,AH$5-$K$72+1),0)-$I$72*((AH$5=Inputs!$C$12)*$C$74*$D$72+(AH$5=Inputs!$C$13)*$D$74*($D$72+Inputs!$C$14))+$I$72*((AH$5=Inputs!$C$15+$K$72)*$E$74*$I$74+(AH$5=Inputs!$C$16+$K$72)*$F$74*$J$74+(AH$5=Inputs!$C$17)*$G$74*$H$72*$H$74)</f>
        <v>164.790500000001</v>
      </c>
      <c r="AI77" s="42" t="n">
        <f aca="false">-($D$72+$J$72)*(AI$5=0)+IF(AND(AI$5-$K$72&gt;=1,AI$5-$K$72&lt;=Inputs!$C$13),INDEX($N$75:$AL$75,1,AI$5-$K$72+1)*INDEX($N$76:$AL$76,1,AI$5-$K$72+1),0)-$I$72*((AI$5=Inputs!$C$12)*$C$74*$D$72+(AI$5=Inputs!$C$13)*$D$74*($D$72+Inputs!$C$14))+$I$72*((AI$5=Inputs!$C$15+$K$72)*$E$74*$I$74+(AI$5=Inputs!$C$16+$K$72)*$F$74*$J$74+(AI$5=Inputs!$C$17)*$G$74*$H$72*$H$74)</f>
        <v>166.858999999999</v>
      </c>
      <c r="AJ77" s="42" t="n">
        <f aca="false">-($D$72+$J$72)*(AJ$5=0)+IF(AND(AJ$5-$K$72&gt;=1,AJ$5-$K$72&lt;=Inputs!$C$13),INDEX($N$75:$AL$75,1,AJ$5-$K$72+1)*INDEX($N$76:$AL$76,1,AJ$5-$K$72+1),0)-$I$72*((AJ$5=Inputs!$C$12)*$C$74*$D$72+(AJ$5=Inputs!$C$13)*$D$74*($D$72+Inputs!$C$14))+$I$72*((AJ$5=Inputs!$C$15+$K$72)*$E$74*$I$74+(AJ$5=Inputs!$C$16+$K$72)*$F$74*$J$74+(AJ$5=Inputs!$C$17)*$G$74*$H$72*$H$74)</f>
        <v>168.927499999999</v>
      </c>
      <c r="AK77" s="42" t="n">
        <f aca="false">-($D$72+$J$72)*(AK$5=0)+IF(AND(AK$5-$K$72&gt;=1,AK$5-$K$72&lt;=Inputs!$C$13),INDEX($N$75:$AL$75,1,AK$5-$K$72+1)*INDEX($N$76:$AL$76,1,AK$5-$K$72+1),0)-$I$72*((AK$5=Inputs!$C$12)*$C$74*$D$72+(AK$5=Inputs!$C$13)*$D$74*($D$72+Inputs!$C$14))+$I$72*((AK$5=Inputs!$C$15+$K$72)*$E$74*$I$74+(AK$5=Inputs!$C$16+$K$72)*$F$74*$J$74+(AK$5=Inputs!$C$17)*$G$74*$H$72*$H$74)</f>
        <v>170.996000000001</v>
      </c>
      <c r="AL77" s="42" t="n">
        <f aca="false">-($D$72+$J$72)*(AL$5=0)+IF(AND(AL$5-$K$72&gt;=1,AL$5-$K$72&lt;=Inputs!$C$13),INDEX($N$75:$AL$75,1,AL$5-$K$72+1)*INDEX($N$76:$AL$76,1,AL$5-$K$72+1),0)-$I$72*((AL$5=Inputs!$C$12)*$C$74*$D$72+(AL$5=Inputs!$C$13)*$D$74*($D$72+Inputs!$C$14))+$I$72*((AL$5=Inputs!$C$15+$K$72)*$E$74*$I$74+(AL$5=Inputs!$C$16+$K$72)*$F$74*$J$74+(AL$5=Inputs!$C$17)*$G$74*$H$72*$H$74)</f>
        <v>83.0645000000005</v>
      </c>
      <c r="AM77" s="42" t="n">
        <f aca="false">-($D$72+$J$72)*(AM$5=0)+IF(AND(AM$5-$K$72&gt;=1,AM$5-$K$72&lt;=Inputs!$C$13),INDEX($N$75:$AL$75,1,AM$5-$K$72+1)*INDEX($N$76:$AL$76,1,AM$5-$K$72+1),0)-$I$72*((AM$5=Inputs!$C$12)*$C$74*$D$72+(AM$5=Inputs!$C$13)*$D$74*($D$72+Inputs!$C$14))+$I$72*((AM$5=Inputs!$C$15+$K$72)*$E$74*$I$74+(AM$5=Inputs!$C$16+$K$72)*$F$74*$J$74+(AM$5=Inputs!$C$17)*$G$74*$H$72*$H$74)</f>
        <v>175.132999999999</v>
      </c>
      <c r="AN77" s="42" t="n">
        <f aca="false">-($D$72+$J$72)*(AN$5=0)+IF(AND(AN$5-$K$72&gt;=1,AN$5-$K$72&lt;=Inputs!$C$13),INDEX($N$75:$AL$75,1,AN$5-$K$72+1)*INDEX($N$76:$AL$76,1,AN$5-$K$72+1),0)-$I$72*((AN$5=Inputs!$C$12)*$C$74*$D$72+(AN$5=Inputs!$C$13)*$D$74*($D$72+Inputs!$C$14))+$I$72*((AN$5=Inputs!$C$15+$K$72)*$E$74*$I$74+(AN$5=Inputs!$C$16+$K$72)*$F$74*$J$74+(AN$5=Inputs!$C$17)*$G$74*$H$72*$H$74)</f>
        <v>0</v>
      </c>
      <c r="AO77" s="42" t="n">
        <f aca="false">-($D$72+$J$72)*(AO$5=0)+IF(AND(AO$5-$K$72&gt;=1,AO$5-$K$72&lt;=Inputs!$C$13),INDEX($N$75:$AL$75,1,AO$5-$K$72+1)*INDEX($N$76:$AL$76,1,AO$5-$K$72+1),0)-$I$72*((AO$5=Inputs!$C$12)*$C$74*$D$72+(AO$5=Inputs!$C$13)*$D$74*($D$72+Inputs!$C$14))+$I$72*((AO$5=Inputs!$C$15+$K$72)*$E$74*$I$74+(AO$5=Inputs!$C$16+$K$72)*$F$74*$J$74+(AO$5=Inputs!$C$17)*$G$74*$H$72*$H$74)</f>
        <v>0</v>
      </c>
      <c r="AP77" s="42" t="n">
        <f aca="false">-($D$72+$J$72)*(AP$5=0)+IF(AND(AP$5-$K$72&gt;=1,AP$5-$K$72&lt;=Inputs!$C$13),INDEX($N$75:$AL$75,1,AP$5-$K$72+1)*INDEX($N$76:$AL$76,1,AP$5-$K$72+1),0)-$I$72*((AP$5=Inputs!$C$12)*$C$74*$D$72+(AP$5=Inputs!$C$13)*$D$74*($D$72+Inputs!$C$14))+$I$72*((AP$5=Inputs!$C$15+$K$72)*$E$74*$I$74+(AP$5=Inputs!$C$16+$K$72)*$F$74*$J$74+(AP$5=Inputs!$C$17)*$G$74*$H$72*$H$74)</f>
        <v>206.82</v>
      </c>
      <c r="AQ77" s="42" t="n">
        <f aca="false">-($D$72+$J$72)*(AQ$5=0)+IF(AND(AQ$5-$K$72&gt;=1,AQ$5-$K$72&lt;=Inputs!$C$13),INDEX($N$75:$AL$75,1,AQ$5-$K$72+1)*INDEX($N$76:$AL$76,1,AQ$5-$K$72+1),0)-$I$72*((AQ$5=Inputs!$C$12)*$C$74*$D$72+(AQ$5=Inputs!$C$13)*$D$74*($D$72+Inputs!$C$14))+$I$72*((AQ$5=Inputs!$C$15+$K$72)*$E$74*$I$74+(AQ$5=Inputs!$C$16+$K$72)*$F$74*$J$74+(AQ$5=Inputs!$C$17)*$G$74*$H$72*$H$74)</f>
        <v>0</v>
      </c>
      <c r="AR77" s="42" t="n">
        <f aca="false">-($D$72+$J$72)*(AR$5=0)+IF(AND(AR$5-$K$72&gt;=1,AR$5-$K$72&lt;=Inputs!$C$13),INDEX($N$75:$AL$75,1,AR$5-$K$72+1)*INDEX($N$76:$AL$76,1,AR$5-$K$72+1),0)-$I$72*((AR$5=Inputs!$C$12)*$C$74*$D$72+(AR$5=Inputs!$C$13)*$D$74*($D$72+Inputs!$C$14))+$I$72*((AR$5=Inputs!$C$15+$K$72)*$E$74*$I$74+(AR$5=Inputs!$C$16+$K$72)*$F$74*$J$74+(AR$5=Inputs!$C$17)*$G$74*$H$72*$H$74)</f>
        <v>0</v>
      </c>
      <c r="AS77" s="42" t="n">
        <f aca="false">-($D$72+$J$72)*(AS$5=0)+IF(AND(AS$5-$K$72&gt;=1,AS$5-$K$72&lt;=Inputs!$C$13),INDEX($N$75:$AL$75,1,AS$5-$K$72+1)*INDEX($N$76:$AL$76,1,AS$5-$K$72+1),0)-$I$72*((AS$5=Inputs!$C$12)*$C$74*$D$72+(AS$5=Inputs!$C$13)*$D$74*($D$72+Inputs!$C$14))+$I$72*((AS$5=Inputs!$C$15+$K$72)*$E$74*$I$74+(AS$5=Inputs!$C$16+$K$72)*$F$74*$J$74+(AS$5=Inputs!$C$17)*$G$74*$H$72*$H$74)</f>
        <v>50.7357</v>
      </c>
      <c r="AT77" s="42" t="n">
        <f aca="false">-($D$72+$J$72)*(AT$5=0)+IF(AND(AT$5-$K$72&gt;=1,AT$5-$K$72&lt;=Inputs!$C$13),INDEX($N$75:$AL$75,1,AT$5-$K$72+1)*INDEX($N$76:$AL$76,1,AT$5-$K$72+1),0)-$I$72*((AT$5=Inputs!$C$12)*$C$74*$D$72+(AT$5=Inputs!$C$13)*$D$74*($D$72+Inputs!$C$14))+$I$72*((AT$5=Inputs!$C$15+$K$72)*$E$74*$I$74+(AT$5=Inputs!$C$16+$K$72)*$F$74*$J$74+(AT$5=Inputs!$C$17)*$G$74*$H$72*$H$74)</f>
        <v>0</v>
      </c>
      <c r="AU77" s="42" t="n">
        <f aca="false">-($D$72+$J$72)*(AU$5=0)+IF(AND(AU$5-$K$72&gt;=1,AU$5-$K$72&lt;=Inputs!$C$13),INDEX($N$75:$AL$75,1,AU$5-$K$72+1)*INDEX($N$76:$AL$76,1,AU$5-$K$72+1),0)-$I$72*((AU$5=Inputs!$C$12)*$C$74*$D$72+(AU$5=Inputs!$C$13)*$D$74*($D$72+Inputs!$C$14))+$I$72*((AU$5=Inputs!$C$15+$K$72)*$E$74*$I$74+(AU$5=Inputs!$C$16+$K$72)*$F$74*$J$74+(AU$5=Inputs!$C$17)*$G$74*$H$72*$H$74)</f>
        <v>0</v>
      </c>
      <c r="AV77" s="42" t="n">
        <f aca="false">-($D$72+$J$72)*(AV$5=0)+IF(AND(AV$5-$K$72&gt;=1,AV$5-$K$72&lt;=Inputs!$C$13),INDEX($N$75:$AL$75,1,AV$5-$K$72+1)*INDEX($N$76:$AL$76,1,AV$5-$K$72+1),0)-$I$72*((AV$5=Inputs!$C$12)*$C$74*$D$72+(AV$5=Inputs!$C$13)*$D$74*($D$72+Inputs!$C$14))+$I$72*((AV$5=Inputs!$C$15+$K$72)*$E$74*$I$74+(AV$5=Inputs!$C$16+$K$72)*$F$74*$J$74+(AV$5=Inputs!$C$17)*$G$74*$H$72*$H$74)</f>
        <v>0</v>
      </c>
      <c r="AW77" s="42" t="n">
        <f aca="false">-($D$72+$J$72)*(AW$5=0)+IF(AND(AW$5-$K$72&gt;=1,AW$5-$K$72&lt;=Inputs!$C$13),INDEX($N$75:$AL$75,1,AW$5-$K$72+1)*INDEX($N$76:$AL$76,1,AW$5-$K$72+1),0)-$I$72*((AW$5=Inputs!$C$12)*$C$74*$D$72+(AW$5=Inputs!$C$13)*$D$74*($D$72+Inputs!$C$14))+$I$72*((AW$5=Inputs!$C$15+$K$72)*$E$74*$I$74+(AW$5=Inputs!$C$16+$K$72)*$F$74*$J$74+(AW$5=Inputs!$C$17)*$G$74*$H$72*$H$74)</f>
        <v>0</v>
      </c>
      <c r="AX77" s="42" t="n">
        <f aca="false">-($D$72+$J$72)*(AX$5=0)+IF(AND(AX$5-$K$72&gt;=1,AX$5-$K$72&lt;=Inputs!$C$13),INDEX($N$75:$AL$75,1,AX$5-$K$72+1)*INDEX($N$76:$AL$76,1,AX$5-$K$72+1),0)-$I$72*((AX$5=Inputs!$C$12)*$C$74*$D$72+(AX$5=Inputs!$C$13)*$D$74*($D$72+Inputs!$C$14))+$I$72*((AX$5=Inputs!$C$15+$K$72)*$E$74*$I$74+(AX$5=Inputs!$C$16+$K$72)*$F$74*$J$74+(AX$5=Inputs!$C$17)*$G$74*$H$72*$H$74)</f>
        <v>1.94400000000001</v>
      </c>
      <c r="AY77" s="42" t="n">
        <f aca="false">-($D$72+$J$72)*(AY$5=0)+IF(AND(AY$5-$K$72&gt;=1,AY$5-$K$72&lt;=Inputs!$C$13),INDEX($N$75:$AL$75,1,AY$5-$K$72+1)*INDEX($N$76:$AL$76,1,AY$5-$K$72+1),0)-$I$72*((AY$5=Inputs!$C$12)*$C$74*$D$72+(AY$5=Inputs!$C$13)*$D$74*($D$72+Inputs!$C$14))+$I$72*((AY$5=Inputs!$C$15+$K$72)*$E$74*$I$74+(AY$5=Inputs!$C$16+$K$72)*$F$74*$J$74+(AY$5=Inputs!$C$17)*$G$74*$H$72*$H$74)</f>
        <v>0</v>
      </c>
    </row>
    <row r="79" customFormat="false" ht="15" hidden="false" customHeight="false" outlineLevel="0" collapsed="false">
      <c r="B79" s="7" t="s">
        <v>195</v>
      </c>
      <c r="C79" s="8"/>
      <c r="D79" s="8"/>
      <c r="E79" s="8"/>
      <c r="F79" s="8"/>
      <c r="G79" s="8"/>
      <c r="H79" s="8"/>
      <c r="I79" s="8"/>
      <c r="J79" s="8"/>
      <c r="K79" s="8"/>
      <c r="L79" s="8"/>
    </row>
    <row r="80" customFormat="false" ht="30" hidden="false" customHeight="true" outlineLevel="0" collapsed="false">
      <c r="B80" s="37"/>
      <c r="C80" s="38" t="s">
        <v>169</v>
      </c>
      <c r="D80" s="38" t="s">
        <v>170</v>
      </c>
      <c r="E80" s="38" t="s">
        <v>171</v>
      </c>
      <c r="F80" s="38" t="s">
        <v>43</v>
      </c>
      <c r="G80" s="38" t="s">
        <v>44</v>
      </c>
      <c r="H80" s="38" t="s">
        <v>45</v>
      </c>
      <c r="I80" s="38" t="s">
        <v>172</v>
      </c>
      <c r="J80" s="38" t="s">
        <v>90</v>
      </c>
      <c r="K80" s="38" t="s">
        <v>89</v>
      </c>
      <c r="L80" s="38" t="s">
        <v>173</v>
      </c>
    </row>
    <row r="81" customFormat="false" ht="15" hidden="false" customHeight="false" outlineLevel="0" collapsed="false">
      <c r="B81" s="39" t="s">
        <v>174</v>
      </c>
      <c r="C81" s="26" t="n">
        <f aca="false">Class_IRR!$C$5</f>
        <v>0.0025</v>
      </c>
      <c r="D81" s="30" t="n">
        <f aca="false">Inputs!$E$24</f>
        <v>3600</v>
      </c>
      <c r="E81" s="26" t="n">
        <f aca="false">Inputs!$F$24</f>
        <v>0.93</v>
      </c>
      <c r="F81" s="25" t="n">
        <f aca="false">Inputs!$G$24</f>
        <v>0.6</v>
      </c>
      <c r="G81" s="25" t="n">
        <f aca="false">Inputs!$H$24</f>
        <v>0.85</v>
      </c>
      <c r="H81" s="25" t="n">
        <f aca="false">Inputs!$I$24</f>
        <v>0.9</v>
      </c>
      <c r="I81" s="22" t="n">
        <f aca="false">Inputs!$J$24</f>
        <v>1</v>
      </c>
      <c r="J81" s="23" t="n">
        <f aca="false">Inputs!$C$9</f>
        <v>10</v>
      </c>
      <c r="K81" s="22" t="n">
        <f aca="false">Inputs!$C$10</f>
        <v>1</v>
      </c>
      <c r="L81" s="22" t="n">
        <f aca="false">1</f>
        <v>1</v>
      </c>
    </row>
    <row r="82" customFormat="false" ht="30" hidden="false" customHeight="true" outlineLevel="0" collapsed="false">
      <c r="B82" s="37"/>
      <c r="C82" s="38" t="s">
        <v>175</v>
      </c>
      <c r="D82" s="38" t="s">
        <v>176</v>
      </c>
      <c r="E82" s="38" t="s">
        <v>177</v>
      </c>
      <c r="F82" s="38" t="s">
        <v>178</v>
      </c>
      <c r="G82" s="38" t="s">
        <v>112</v>
      </c>
      <c r="H82" s="38" t="s">
        <v>179</v>
      </c>
      <c r="I82" s="38" t="s">
        <v>180</v>
      </c>
      <c r="J82" s="38" t="s">
        <v>181</v>
      </c>
      <c r="K82" s="38" t="s">
        <v>182</v>
      </c>
      <c r="L82" s="38" t="s">
        <v>183</v>
      </c>
    </row>
    <row r="83" customFormat="false" ht="15" hidden="false" customHeight="false" outlineLevel="0" collapsed="false">
      <c r="B83" s="39" t="s">
        <v>184</v>
      </c>
      <c r="C83" s="40" t="n">
        <f aca="false">1-$E$81*CHOOSE($L$81,INDEX(Timing!$C$7:$AA$7,1,Inputs!$C$12+1),INDEX(Timing!$C$8:$AA$8,1,Inputs!$C$12+1))</f>
        <v>0.2932</v>
      </c>
      <c r="D83" s="40" t="n">
        <f aca="false">1-$E$81*CHOOSE($L$81,INDEX(Timing!$C$7:$AA$7,1,Inputs!$C$13+1),INDEX(Timing!$C$8:$AA$8,1,Inputs!$C$13+1))</f>
        <v>0.07</v>
      </c>
      <c r="E83" s="40" t="n">
        <f aca="false">$I$81*$D$83*$F$81</f>
        <v>0.042</v>
      </c>
      <c r="F83" s="40" t="n">
        <f aca="false">$I$81*($D$83-$E$83)*$G$81</f>
        <v>0.0238</v>
      </c>
      <c r="G83" s="40" t="n">
        <f aca="false">$I$81*($D$83-$E$83-$F$83)</f>
        <v>0.0042</v>
      </c>
      <c r="H83" s="23" t="n">
        <f aca="false">$I$81*(3*$D$81+Inputs!$C$14)</f>
        <v>12600</v>
      </c>
      <c r="I83" s="23" t="n">
        <f aca="false">$I$81*($D$81*(1+IF($C$81&lt;=0,0,MAX($C$81*Inputs!$C$15/12,Inputs!$C$8)))+$D$81*(1+Inputs!$C$11*(Inputs!$C$15-Inputs!$C$12)/12)+$D$81*(1+Inputs!$C$11*(Inputs!$C$15-Inputs!$C$13)/12)+Inputs!$C$14)</f>
        <v>13752</v>
      </c>
      <c r="J83" s="23" t="n">
        <f aca="false">$I$81*($D$81*(1+IF($C$81&lt;=0,0,MAX($C$81*Inputs!$C$16/12,Inputs!$C$8)))+$D$81*(1+Inputs!$C$11*(Inputs!$C$16-Inputs!$C$12)/12)+$D$81*(1+Inputs!$C$11*(Inputs!$C$16-Inputs!$C$13)/12)+Inputs!$C$14)</f>
        <v>14076</v>
      </c>
      <c r="K83" s="40" t="n">
        <f aca="false">IRR($N$86:$AY$86,0.005)</f>
        <v>0.00591608408356769</v>
      </c>
      <c r="L83" s="41" t="n">
        <f aca="false">(1+$K$83)^12-1</f>
        <v>0.0733491784311997</v>
      </c>
    </row>
    <row r="84" customFormat="false" ht="15" hidden="false" customHeight="false" outlineLevel="0" collapsed="false">
      <c r="B84" s="9" t="s">
        <v>185</v>
      </c>
      <c r="N84" s="40" t="n">
        <f aca="false">0</f>
        <v>0</v>
      </c>
      <c r="O84" s="40" t="n">
        <f aca="false">$E$81*(CHOOSE($L$81,Timing!D$7,Timing!D$8)-CHOOSE($L$81,Timing!C$7,Timing!C$8))</f>
        <v>0.1116</v>
      </c>
      <c r="P84" s="40" t="n">
        <f aca="false">$E$81*(CHOOSE($L$81,Timing!E$7,Timing!E$8)-CHOOSE($L$81,Timing!D$7,Timing!D$8))</f>
        <v>0.093</v>
      </c>
      <c r="Q84" s="40" t="n">
        <f aca="false">$E$81*(CHOOSE($L$81,Timing!F$7,Timing!F$8)-CHOOSE($L$81,Timing!E$7,Timing!E$8))</f>
        <v>0.0837</v>
      </c>
      <c r="R84" s="40" t="n">
        <f aca="false">$E$81*(CHOOSE($L$81,Timing!G$7,Timing!G$8)-CHOOSE($L$81,Timing!F$7,Timing!F$8))</f>
        <v>0.0651</v>
      </c>
      <c r="S84" s="40" t="n">
        <f aca="false">$E$81*(CHOOSE($L$81,Timing!H$7,Timing!H$8)-CHOOSE($L$81,Timing!G$7,Timing!G$8))</f>
        <v>0.0651</v>
      </c>
      <c r="T84" s="40" t="n">
        <f aca="false">$E$81*(CHOOSE($L$81,Timing!I$7,Timing!I$8)-CHOOSE($L$81,Timing!H$7,Timing!H$8))</f>
        <v>0.0651</v>
      </c>
      <c r="U84" s="40" t="n">
        <f aca="false">$E$81*(CHOOSE($L$81,Timing!J$7,Timing!J$8)-CHOOSE($L$81,Timing!I$7,Timing!I$8))</f>
        <v>0.0403</v>
      </c>
      <c r="V84" s="40" t="n">
        <f aca="false">$E$81*(CHOOSE($L$81,Timing!K$7,Timing!K$8)-CHOOSE($L$81,Timing!J$7,Timing!J$8))</f>
        <v>0.0403</v>
      </c>
      <c r="W84" s="40" t="n">
        <f aca="false">$E$81*(CHOOSE($L$81,Timing!L$7,Timing!L$8)-CHOOSE($L$81,Timing!K$7,Timing!K$8))</f>
        <v>0.0403</v>
      </c>
      <c r="X84" s="40" t="n">
        <f aca="false">$E$81*(CHOOSE($L$81,Timing!M$7,Timing!M$8)-CHOOSE($L$81,Timing!L$7,Timing!L$8))</f>
        <v>0.0341</v>
      </c>
      <c r="Y84" s="40" t="n">
        <f aca="false">$E$81*(CHOOSE($L$81,Timing!N$7,Timing!N$8)-CHOOSE($L$81,Timing!M$7,Timing!M$8))</f>
        <v>0.0341000000000001</v>
      </c>
      <c r="Z84" s="40" t="n">
        <f aca="false">$E$81*(CHOOSE($L$81,Timing!O$7,Timing!O$8)-CHOOSE($L$81,Timing!N$7,Timing!N$8))</f>
        <v>0.0341</v>
      </c>
      <c r="AA84" s="40" t="n">
        <f aca="false">$E$81*(CHOOSE($L$81,Timing!P$7,Timing!P$8)-CHOOSE($L$81,Timing!O$7,Timing!O$8))</f>
        <v>0.0217</v>
      </c>
      <c r="AB84" s="40" t="n">
        <f aca="false">$E$81*(CHOOSE($L$81,Timing!Q$7,Timing!Q$8)-CHOOSE($L$81,Timing!P$7,Timing!P$8))</f>
        <v>0.0217</v>
      </c>
      <c r="AC84" s="40" t="n">
        <f aca="false">$E$81*(CHOOSE($L$81,Timing!R$7,Timing!R$8)-CHOOSE($L$81,Timing!Q$7,Timing!Q$8))</f>
        <v>0.0217000000000001</v>
      </c>
      <c r="AD84" s="40" t="n">
        <f aca="false">$E$81*(CHOOSE($L$81,Timing!S$7,Timing!S$8)-CHOOSE($L$81,Timing!R$7,Timing!R$8))</f>
        <v>0.0217</v>
      </c>
      <c r="AE84" s="40" t="n">
        <f aca="false">$E$81*(CHOOSE($L$81,Timing!T$7,Timing!T$8)-CHOOSE($L$81,Timing!S$7,Timing!S$8))</f>
        <v>0.0217</v>
      </c>
      <c r="AF84" s="40" t="n">
        <f aca="false">$E$81*(CHOOSE($L$81,Timing!U$7,Timing!U$8)-CHOOSE($L$81,Timing!T$7,Timing!T$8))</f>
        <v>0.0217</v>
      </c>
      <c r="AG84" s="40" t="n">
        <f aca="false">$E$81*(CHOOSE($L$81,Timing!V$7,Timing!V$8)-CHOOSE($L$81,Timing!U$7,Timing!U$8))</f>
        <v>0.0155</v>
      </c>
      <c r="AH84" s="40" t="n">
        <f aca="false">$E$81*(CHOOSE($L$81,Timing!W$7,Timing!W$8)-CHOOSE($L$81,Timing!V$7,Timing!V$8))</f>
        <v>0.0154999999999999</v>
      </c>
      <c r="AI84" s="40" t="n">
        <f aca="false">$E$81*(CHOOSE($L$81,Timing!X$7,Timing!X$8)-CHOOSE($L$81,Timing!W$7,Timing!W$8))</f>
        <v>0.0154999999999999</v>
      </c>
      <c r="AJ84" s="40" t="n">
        <f aca="false">$E$81*(CHOOSE($L$81,Timing!Y$7,Timing!Y$8)-CHOOSE($L$81,Timing!X$7,Timing!X$8))</f>
        <v>0.0155</v>
      </c>
      <c r="AK84" s="40" t="n">
        <f aca="false">$E$81*(CHOOSE($L$81,Timing!Z$7,Timing!Z$8)-CHOOSE($L$81,Timing!Y$7,Timing!Y$8))</f>
        <v>0.0155</v>
      </c>
      <c r="AL84" s="40" t="n">
        <f aca="false">$E$81*(CHOOSE($L$81,Timing!AA$7,Timing!AA$8)-CHOOSE($L$81,Timing!Z$7,Timing!Z$8))</f>
        <v>0.0154999999999999</v>
      </c>
    </row>
    <row r="85" customFormat="false" ht="15" hidden="false" customHeight="false" outlineLevel="0" collapsed="false">
      <c r="B85" s="9" t="s">
        <v>186</v>
      </c>
      <c r="N85" s="42" t="n">
        <f aca="false">0</f>
        <v>0</v>
      </c>
      <c r="O85" s="42" t="n">
        <f aca="false">$D$81*(1+IF($C$81&lt;=0,0,MAX($C$81*O$5/12,Inputs!$C$8)))+$I$81*(O$5&gt;Inputs!$C$12)*$D$81*(1+Inputs!$C$11*(O$5-Inputs!$C$12)/12)</f>
        <v>3780</v>
      </c>
      <c r="P85" s="42" t="n">
        <f aca="false">$D$81*(1+IF($C$81&lt;=0,0,MAX($C$81*P$5/12,Inputs!$C$8)))+$I$81*(P$5&gt;Inputs!$C$12)*$D$81*(1+Inputs!$C$11*(P$5-Inputs!$C$12)/12)</f>
        <v>3780</v>
      </c>
      <c r="Q85" s="42" t="n">
        <f aca="false">$D$81*(1+IF($C$81&lt;=0,0,MAX($C$81*Q$5/12,Inputs!$C$8)))+$I$81*(Q$5&gt;Inputs!$C$12)*$D$81*(1+Inputs!$C$11*(Q$5-Inputs!$C$12)/12)</f>
        <v>3780</v>
      </c>
      <c r="R85" s="42" t="n">
        <f aca="false">$D$81*(1+IF($C$81&lt;=0,0,MAX($C$81*R$5/12,Inputs!$C$8)))+$I$81*(R$5&gt;Inputs!$C$12)*$D$81*(1+Inputs!$C$11*(R$5-Inputs!$C$12)/12)</f>
        <v>3780</v>
      </c>
      <c r="S85" s="42" t="n">
        <f aca="false">$D$81*(1+IF($C$81&lt;=0,0,MAX($C$81*S$5/12,Inputs!$C$8)))+$I$81*(S$5&gt;Inputs!$C$12)*$D$81*(1+Inputs!$C$11*(S$5-Inputs!$C$12)/12)</f>
        <v>3780</v>
      </c>
      <c r="T85" s="42" t="n">
        <f aca="false">$D$81*(1+IF($C$81&lt;=0,0,MAX($C$81*T$5/12,Inputs!$C$8)))+$I$81*(T$5&gt;Inputs!$C$12)*$D$81*(1+Inputs!$C$11*(T$5-Inputs!$C$12)/12)</f>
        <v>3780</v>
      </c>
      <c r="U85" s="42" t="n">
        <f aca="false">$D$81*(1+IF($C$81&lt;=0,0,MAX($C$81*U$5/12,Inputs!$C$8)))+$I$81*(U$5&gt;Inputs!$C$12)*$D$81*(1+Inputs!$C$11*(U$5-Inputs!$C$12)/12)</f>
        <v>3780</v>
      </c>
      <c r="V85" s="42" t="n">
        <f aca="false">$D$81*(1+IF($C$81&lt;=0,0,MAX($C$81*V$5/12,Inputs!$C$8)))+$I$81*(V$5&gt;Inputs!$C$12)*$D$81*(1+Inputs!$C$11*(V$5-Inputs!$C$12)/12)</f>
        <v>3780</v>
      </c>
      <c r="W85" s="42" t="n">
        <f aca="false">$D$81*(1+IF($C$81&lt;=0,0,MAX($C$81*W$5/12,Inputs!$C$8)))+$I$81*(W$5&gt;Inputs!$C$12)*$D$81*(1+Inputs!$C$11*(W$5-Inputs!$C$12)/12)</f>
        <v>3780</v>
      </c>
      <c r="X85" s="42" t="n">
        <f aca="false">$D$81*(1+IF($C$81&lt;=0,0,MAX($C$81*X$5/12,Inputs!$C$8)))+$I$81*(X$5&gt;Inputs!$C$12)*$D$81*(1+Inputs!$C$11*(X$5-Inputs!$C$12)/12)</f>
        <v>3780</v>
      </c>
      <c r="Y85" s="42" t="n">
        <f aca="false">$D$81*(1+IF($C$81&lt;=0,0,MAX($C$81*Y$5/12,Inputs!$C$8)))+$I$81*(Y$5&gt;Inputs!$C$12)*$D$81*(1+Inputs!$C$11*(Y$5-Inputs!$C$12)/12)</f>
        <v>3780</v>
      </c>
      <c r="Z85" s="42" t="n">
        <f aca="false">$D$81*(1+IF($C$81&lt;=0,0,MAX($C$81*Z$5/12,Inputs!$C$8)))+$I$81*(Z$5&gt;Inputs!$C$12)*$D$81*(1+Inputs!$C$11*(Z$5-Inputs!$C$12)/12)</f>
        <v>3780</v>
      </c>
      <c r="AA85" s="42" t="n">
        <f aca="false">$D$81*(1+IF($C$81&lt;=0,0,MAX($C$81*AA$5/12,Inputs!$C$8)))+$I$81*(AA$5&gt;Inputs!$C$12)*$D$81*(1+Inputs!$C$11*(AA$5-Inputs!$C$12)/12)</f>
        <v>7434</v>
      </c>
      <c r="AB85" s="42" t="n">
        <f aca="false">$D$81*(1+IF($C$81&lt;=0,0,MAX($C$81*AB$5/12,Inputs!$C$8)))+$I$81*(AB$5&gt;Inputs!$C$12)*$D$81*(1+Inputs!$C$11*(AB$5-Inputs!$C$12)/12)</f>
        <v>7488</v>
      </c>
      <c r="AC85" s="42" t="n">
        <f aca="false">$D$81*(1+IF($C$81&lt;=0,0,MAX($C$81*AC$5/12,Inputs!$C$8)))+$I$81*(AC$5&gt;Inputs!$C$12)*$D$81*(1+Inputs!$C$11*(AC$5-Inputs!$C$12)/12)</f>
        <v>7542</v>
      </c>
      <c r="AD85" s="42" t="n">
        <f aca="false">$D$81*(1+IF($C$81&lt;=0,0,MAX($C$81*AD$5/12,Inputs!$C$8)))+$I$81*(AD$5&gt;Inputs!$C$12)*$D$81*(1+Inputs!$C$11*(AD$5-Inputs!$C$12)/12)</f>
        <v>7596</v>
      </c>
      <c r="AE85" s="42" t="n">
        <f aca="false">$D$81*(1+IF($C$81&lt;=0,0,MAX($C$81*AE$5/12,Inputs!$C$8)))+$I$81*(AE$5&gt;Inputs!$C$12)*$D$81*(1+Inputs!$C$11*(AE$5-Inputs!$C$12)/12)</f>
        <v>7650</v>
      </c>
      <c r="AF85" s="42" t="n">
        <f aca="false">$D$81*(1+IF($C$81&lt;=0,0,MAX($C$81*AF$5/12,Inputs!$C$8)))+$I$81*(AF$5&gt;Inputs!$C$12)*$D$81*(1+Inputs!$C$11*(AF$5-Inputs!$C$12)/12)</f>
        <v>7704</v>
      </c>
      <c r="AG85" s="42" t="n">
        <f aca="false">$D$81*(1+IF($C$81&lt;=0,0,MAX($C$81*AG$5/12,Inputs!$C$8)))+$I$81*(AG$5&gt;Inputs!$C$12)*$D$81*(1+Inputs!$C$11*(AG$5-Inputs!$C$12)/12)</f>
        <v>7758</v>
      </c>
      <c r="AH85" s="42" t="n">
        <f aca="false">$D$81*(1+IF($C$81&lt;=0,0,MAX($C$81*AH$5/12,Inputs!$C$8)))+$I$81*(AH$5&gt;Inputs!$C$12)*$D$81*(1+Inputs!$C$11*(AH$5-Inputs!$C$12)/12)</f>
        <v>7812</v>
      </c>
      <c r="AI85" s="42" t="n">
        <f aca="false">$D$81*(1+IF($C$81&lt;=0,0,MAX($C$81*AI$5/12,Inputs!$C$8)))+$I$81*(AI$5&gt;Inputs!$C$12)*$D$81*(1+Inputs!$C$11*(AI$5-Inputs!$C$12)/12)</f>
        <v>7866</v>
      </c>
      <c r="AJ85" s="42" t="n">
        <f aca="false">$D$81*(1+IF($C$81&lt;=0,0,MAX($C$81*AJ$5/12,Inputs!$C$8)))+$I$81*(AJ$5&gt;Inputs!$C$12)*$D$81*(1+Inputs!$C$11*(AJ$5-Inputs!$C$12)/12)</f>
        <v>7920</v>
      </c>
      <c r="AK85" s="42" t="n">
        <f aca="false">$D$81*(1+IF($C$81&lt;=0,0,MAX($C$81*AK$5/12,Inputs!$C$8)))+$I$81*(AK$5&gt;Inputs!$C$12)*$D$81*(1+Inputs!$C$11*(AK$5-Inputs!$C$12)/12)</f>
        <v>7974</v>
      </c>
      <c r="AL85" s="42" t="n">
        <f aca="false">$D$81*(1+IF($C$81&lt;=0,0,MAX($C$81*AL$5/12,Inputs!$C$8)))+$I$81*(AL$5&gt;Inputs!$C$12)*$D$81*(1+Inputs!$C$11*(AL$5-Inputs!$C$12)/12)</f>
        <v>8028</v>
      </c>
    </row>
    <row r="86" customFormat="false" ht="15" hidden="false" customHeight="false" outlineLevel="0" collapsed="false">
      <c r="B86" s="31" t="s">
        <v>187</v>
      </c>
      <c r="N86" s="42" t="n">
        <f aca="false">-($D$81+$J$81)*(N$5=0)+IF(AND(N$5-$K$81&gt;=1,N$5-$K$81&lt;=Inputs!$C$13),INDEX($N$84:$AL$84,1,N$5-$K$81+1)*INDEX($N$85:$AL$85,1,N$5-$K$81+1),0)-$I$81*((N$5=Inputs!$C$12)*$C$83*$D$81+(N$5=Inputs!$C$13)*$D$83*($D$81+Inputs!$C$14))+$I$81*((N$5=Inputs!$C$15+$K$81)*$E$83*$I$83+(N$5=Inputs!$C$16+$K$81)*$F$83*$J$83+(N$5=Inputs!$C$17)*$G$83*$H$81*$H$83)</f>
        <v>-3610</v>
      </c>
      <c r="O86" s="42" t="n">
        <f aca="false">-($D$81+$J$81)*(O$5=0)+IF(AND(O$5-$K$81&gt;=1,O$5-$K$81&lt;=Inputs!$C$13),INDEX($N$84:$AL$84,1,O$5-$K$81+1)*INDEX($N$85:$AL$85,1,O$5-$K$81+1),0)-$I$81*((O$5=Inputs!$C$12)*$C$83*$D$81+(O$5=Inputs!$C$13)*$D$83*($D$81+Inputs!$C$14))+$I$81*((O$5=Inputs!$C$15+$K$81)*$E$83*$I$83+(O$5=Inputs!$C$16+$K$81)*$F$83*$J$83+(O$5=Inputs!$C$17)*$G$83*$H$81*$H$83)</f>
        <v>0</v>
      </c>
      <c r="P86" s="42" t="n">
        <f aca="false">-($D$81+$J$81)*(P$5=0)+IF(AND(P$5-$K$81&gt;=1,P$5-$K$81&lt;=Inputs!$C$13),INDEX($N$84:$AL$84,1,P$5-$K$81+1)*INDEX($N$85:$AL$85,1,P$5-$K$81+1),0)-$I$81*((P$5=Inputs!$C$12)*$C$83*$D$81+(P$5=Inputs!$C$13)*$D$83*($D$81+Inputs!$C$14))+$I$81*((P$5=Inputs!$C$15+$K$81)*$E$83*$I$83+(P$5=Inputs!$C$16+$K$81)*$F$83*$J$83+(P$5=Inputs!$C$17)*$G$83*$H$81*$H$83)</f>
        <v>421.848</v>
      </c>
      <c r="Q86" s="42" t="n">
        <f aca="false">-($D$81+$J$81)*(Q$5=0)+IF(AND(Q$5-$K$81&gt;=1,Q$5-$K$81&lt;=Inputs!$C$13),INDEX($N$84:$AL$84,1,Q$5-$K$81+1)*INDEX($N$85:$AL$85,1,Q$5-$K$81+1),0)-$I$81*((Q$5=Inputs!$C$12)*$C$83*$D$81+(Q$5=Inputs!$C$13)*$D$83*($D$81+Inputs!$C$14))+$I$81*((Q$5=Inputs!$C$15+$K$81)*$E$83*$I$83+(Q$5=Inputs!$C$16+$K$81)*$F$83*$J$83+(Q$5=Inputs!$C$17)*$G$83*$H$81*$H$83)</f>
        <v>351.54</v>
      </c>
      <c r="R86" s="42" t="n">
        <f aca="false">-($D$81+$J$81)*(R$5=0)+IF(AND(R$5-$K$81&gt;=1,R$5-$K$81&lt;=Inputs!$C$13),INDEX($N$84:$AL$84,1,R$5-$K$81+1)*INDEX($N$85:$AL$85,1,R$5-$K$81+1),0)-$I$81*((R$5=Inputs!$C$12)*$C$83*$D$81+(R$5=Inputs!$C$13)*$D$83*($D$81+Inputs!$C$14))+$I$81*((R$5=Inputs!$C$15+$K$81)*$E$83*$I$83+(R$5=Inputs!$C$16+$K$81)*$F$83*$J$83+(R$5=Inputs!$C$17)*$G$83*$H$81*$H$83)</f>
        <v>316.386</v>
      </c>
      <c r="S86" s="42" t="n">
        <f aca="false">-($D$81+$J$81)*(S$5=0)+IF(AND(S$5-$K$81&gt;=1,S$5-$K$81&lt;=Inputs!$C$13),INDEX($N$84:$AL$84,1,S$5-$K$81+1)*INDEX($N$85:$AL$85,1,S$5-$K$81+1),0)-$I$81*((S$5=Inputs!$C$12)*$C$83*$D$81+(S$5=Inputs!$C$13)*$D$83*($D$81+Inputs!$C$14))+$I$81*((S$5=Inputs!$C$15+$K$81)*$E$83*$I$83+(S$5=Inputs!$C$16+$K$81)*$F$83*$J$83+(S$5=Inputs!$C$17)*$G$83*$H$81*$H$83)</f>
        <v>246.078</v>
      </c>
      <c r="T86" s="42" t="n">
        <f aca="false">-($D$81+$J$81)*(T$5=0)+IF(AND(T$5-$K$81&gt;=1,T$5-$K$81&lt;=Inputs!$C$13),INDEX($N$84:$AL$84,1,T$5-$K$81+1)*INDEX($N$85:$AL$85,1,T$5-$K$81+1),0)-$I$81*((T$5=Inputs!$C$12)*$C$83*$D$81+(T$5=Inputs!$C$13)*$D$83*($D$81+Inputs!$C$14))+$I$81*((T$5=Inputs!$C$15+$K$81)*$E$83*$I$83+(T$5=Inputs!$C$16+$K$81)*$F$83*$J$83+(T$5=Inputs!$C$17)*$G$83*$H$81*$H$83)</f>
        <v>246.078</v>
      </c>
      <c r="U86" s="42" t="n">
        <f aca="false">-($D$81+$J$81)*(U$5=0)+IF(AND(U$5-$K$81&gt;=1,U$5-$K$81&lt;=Inputs!$C$13),INDEX($N$84:$AL$84,1,U$5-$K$81+1)*INDEX($N$85:$AL$85,1,U$5-$K$81+1),0)-$I$81*((U$5=Inputs!$C$12)*$C$83*$D$81+(U$5=Inputs!$C$13)*$D$83*($D$81+Inputs!$C$14))+$I$81*((U$5=Inputs!$C$15+$K$81)*$E$83*$I$83+(U$5=Inputs!$C$16+$K$81)*$F$83*$J$83+(U$5=Inputs!$C$17)*$G$83*$H$81*$H$83)</f>
        <v>246.078</v>
      </c>
      <c r="V86" s="42" t="n">
        <f aca="false">-($D$81+$J$81)*(V$5=0)+IF(AND(V$5-$K$81&gt;=1,V$5-$K$81&lt;=Inputs!$C$13),INDEX($N$84:$AL$84,1,V$5-$K$81+1)*INDEX($N$85:$AL$85,1,V$5-$K$81+1),0)-$I$81*((V$5=Inputs!$C$12)*$C$83*$D$81+(V$5=Inputs!$C$13)*$D$83*($D$81+Inputs!$C$14))+$I$81*((V$5=Inputs!$C$15+$K$81)*$E$83*$I$83+(V$5=Inputs!$C$16+$K$81)*$F$83*$J$83+(V$5=Inputs!$C$17)*$G$83*$H$81*$H$83)</f>
        <v>152.334</v>
      </c>
      <c r="W86" s="42" t="n">
        <f aca="false">-($D$81+$J$81)*(W$5=0)+IF(AND(W$5-$K$81&gt;=1,W$5-$K$81&lt;=Inputs!$C$13),INDEX($N$84:$AL$84,1,W$5-$K$81+1)*INDEX($N$85:$AL$85,1,W$5-$K$81+1),0)-$I$81*((W$5=Inputs!$C$12)*$C$83*$D$81+(W$5=Inputs!$C$13)*$D$83*($D$81+Inputs!$C$14))+$I$81*((W$5=Inputs!$C$15+$K$81)*$E$83*$I$83+(W$5=Inputs!$C$16+$K$81)*$F$83*$J$83+(W$5=Inputs!$C$17)*$G$83*$H$81*$H$83)</f>
        <v>152.334</v>
      </c>
      <c r="X86" s="42" t="n">
        <f aca="false">-($D$81+$J$81)*(X$5=0)+IF(AND(X$5-$K$81&gt;=1,X$5-$K$81&lt;=Inputs!$C$13),INDEX($N$84:$AL$84,1,X$5-$K$81+1)*INDEX($N$85:$AL$85,1,X$5-$K$81+1),0)-$I$81*((X$5=Inputs!$C$12)*$C$83*$D$81+(X$5=Inputs!$C$13)*$D$83*($D$81+Inputs!$C$14))+$I$81*((X$5=Inputs!$C$15+$K$81)*$E$83*$I$83+(X$5=Inputs!$C$16+$K$81)*$F$83*$J$83+(X$5=Inputs!$C$17)*$G$83*$H$81*$H$83)</f>
        <v>152.334</v>
      </c>
      <c r="Y86" s="42" t="n">
        <f aca="false">-($D$81+$J$81)*(Y$5=0)+IF(AND(Y$5-$K$81&gt;=1,Y$5-$K$81&lt;=Inputs!$C$13),INDEX($N$84:$AL$84,1,Y$5-$K$81+1)*INDEX($N$85:$AL$85,1,Y$5-$K$81+1),0)-$I$81*((Y$5=Inputs!$C$12)*$C$83*$D$81+(Y$5=Inputs!$C$13)*$D$83*($D$81+Inputs!$C$14))+$I$81*((Y$5=Inputs!$C$15+$K$81)*$E$83*$I$83+(Y$5=Inputs!$C$16+$K$81)*$F$83*$J$83+(Y$5=Inputs!$C$17)*$G$83*$H$81*$H$83)</f>
        <v>128.898</v>
      </c>
      <c r="Z86" s="42" t="n">
        <f aca="false">-($D$81+$J$81)*(Z$5=0)+IF(AND(Z$5-$K$81&gt;=1,Z$5-$K$81&lt;=Inputs!$C$13),INDEX($N$84:$AL$84,1,Z$5-$K$81+1)*INDEX($N$85:$AL$85,1,Z$5-$K$81+1),0)-$I$81*((Z$5=Inputs!$C$12)*$C$83*$D$81+(Z$5=Inputs!$C$13)*$D$83*($D$81+Inputs!$C$14))+$I$81*((Z$5=Inputs!$C$15+$K$81)*$E$83*$I$83+(Z$5=Inputs!$C$16+$K$81)*$F$83*$J$83+(Z$5=Inputs!$C$17)*$G$83*$H$81*$H$83)</f>
        <v>-926.622</v>
      </c>
      <c r="AA86" s="42" t="n">
        <f aca="false">-($D$81+$J$81)*(AA$5=0)+IF(AND(AA$5-$K$81&gt;=1,AA$5-$K$81&lt;=Inputs!$C$13),INDEX($N$84:$AL$84,1,AA$5-$K$81+1)*INDEX($N$85:$AL$85,1,AA$5-$K$81+1),0)-$I$81*((AA$5=Inputs!$C$12)*$C$83*$D$81+(AA$5=Inputs!$C$13)*$D$83*($D$81+Inputs!$C$14))+$I$81*((AA$5=Inputs!$C$15+$K$81)*$E$83*$I$83+(AA$5=Inputs!$C$16+$K$81)*$F$83*$J$83+(AA$5=Inputs!$C$17)*$G$83*$H$81*$H$83)</f>
        <v>128.898</v>
      </c>
      <c r="AB86" s="42" t="n">
        <f aca="false">-($D$81+$J$81)*(AB$5=0)+IF(AND(AB$5-$K$81&gt;=1,AB$5-$K$81&lt;=Inputs!$C$13),INDEX($N$84:$AL$84,1,AB$5-$K$81+1)*INDEX($N$85:$AL$85,1,AB$5-$K$81+1),0)-$I$81*((AB$5=Inputs!$C$12)*$C$83*$D$81+(AB$5=Inputs!$C$13)*$D$83*($D$81+Inputs!$C$14))+$I$81*((AB$5=Inputs!$C$15+$K$81)*$E$83*$I$83+(AB$5=Inputs!$C$16+$K$81)*$F$83*$J$83+(AB$5=Inputs!$C$17)*$G$83*$H$81*$H$83)</f>
        <v>161.3178</v>
      </c>
      <c r="AC86" s="42" t="n">
        <f aca="false">-($D$81+$J$81)*(AC$5=0)+IF(AND(AC$5-$K$81&gt;=1,AC$5-$K$81&lt;=Inputs!$C$13),INDEX($N$84:$AL$84,1,AC$5-$K$81+1)*INDEX($N$85:$AL$85,1,AC$5-$K$81+1),0)-$I$81*((AC$5=Inputs!$C$12)*$C$83*$D$81+(AC$5=Inputs!$C$13)*$D$83*($D$81+Inputs!$C$14))+$I$81*((AC$5=Inputs!$C$15+$K$81)*$E$83*$I$83+(AC$5=Inputs!$C$16+$K$81)*$F$83*$J$83+(AC$5=Inputs!$C$17)*$G$83*$H$81*$H$83)</f>
        <v>162.4896</v>
      </c>
      <c r="AD86" s="42" t="n">
        <f aca="false">-($D$81+$J$81)*(AD$5=0)+IF(AND(AD$5-$K$81&gt;=1,AD$5-$K$81&lt;=Inputs!$C$13),INDEX($N$84:$AL$84,1,AD$5-$K$81+1)*INDEX($N$85:$AL$85,1,AD$5-$K$81+1),0)-$I$81*((AD$5=Inputs!$C$12)*$C$83*$D$81+(AD$5=Inputs!$C$13)*$D$83*($D$81+Inputs!$C$14))+$I$81*((AD$5=Inputs!$C$15+$K$81)*$E$83*$I$83+(AD$5=Inputs!$C$16+$K$81)*$F$83*$J$83+(AD$5=Inputs!$C$17)*$G$83*$H$81*$H$83)</f>
        <v>163.661400000001</v>
      </c>
      <c r="AE86" s="42" t="n">
        <f aca="false">-($D$81+$J$81)*(AE$5=0)+IF(AND(AE$5-$K$81&gt;=1,AE$5-$K$81&lt;=Inputs!$C$13),INDEX($N$84:$AL$84,1,AE$5-$K$81+1)*INDEX($N$85:$AL$85,1,AE$5-$K$81+1),0)-$I$81*((AE$5=Inputs!$C$12)*$C$83*$D$81+(AE$5=Inputs!$C$13)*$D$83*($D$81+Inputs!$C$14))+$I$81*((AE$5=Inputs!$C$15+$K$81)*$E$83*$I$83+(AE$5=Inputs!$C$16+$K$81)*$F$83*$J$83+(AE$5=Inputs!$C$17)*$G$83*$H$81*$H$83)</f>
        <v>164.8332</v>
      </c>
      <c r="AF86" s="42" t="n">
        <f aca="false">-($D$81+$J$81)*(AF$5=0)+IF(AND(AF$5-$K$81&gt;=1,AF$5-$K$81&lt;=Inputs!$C$13),INDEX($N$84:$AL$84,1,AF$5-$K$81+1)*INDEX($N$85:$AL$85,1,AF$5-$K$81+1),0)-$I$81*((AF$5=Inputs!$C$12)*$C$83*$D$81+(AF$5=Inputs!$C$13)*$D$83*($D$81+Inputs!$C$14))+$I$81*((AF$5=Inputs!$C$15+$K$81)*$E$83*$I$83+(AF$5=Inputs!$C$16+$K$81)*$F$83*$J$83+(AF$5=Inputs!$C$17)*$G$83*$H$81*$H$83)</f>
        <v>166.005</v>
      </c>
      <c r="AG86" s="42" t="n">
        <f aca="false">-($D$81+$J$81)*(AG$5=0)+IF(AND(AG$5-$K$81&gt;=1,AG$5-$K$81&lt;=Inputs!$C$13),INDEX($N$84:$AL$84,1,AG$5-$K$81+1)*INDEX($N$85:$AL$85,1,AG$5-$K$81+1),0)-$I$81*((AG$5=Inputs!$C$12)*$C$83*$D$81+(AG$5=Inputs!$C$13)*$D$83*($D$81+Inputs!$C$14))+$I$81*((AG$5=Inputs!$C$15+$K$81)*$E$83*$I$83+(AG$5=Inputs!$C$16+$K$81)*$F$83*$J$83+(AG$5=Inputs!$C$17)*$G$83*$H$81*$H$83)</f>
        <v>167.1768</v>
      </c>
      <c r="AH86" s="42" t="n">
        <f aca="false">-($D$81+$J$81)*(AH$5=0)+IF(AND(AH$5-$K$81&gt;=1,AH$5-$K$81&lt;=Inputs!$C$13),INDEX($N$84:$AL$84,1,AH$5-$K$81+1)*INDEX($N$85:$AL$85,1,AH$5-$K$81+1),0)-$I$81*((AH$5=Inputs!$C$12)*$C$83*$D$81+(AH$5=Inputs!$C$13)*$D$83*($D$81+Inputs!$C$14))+$I$81*((AH$5=Inputs!$C$15+$K$81)*$E$83*$I$83+(AH$5=Inputs!$C$16+$K$81)*$F$83*$J$83+(AH$5=Inputs!$C$17)*$G$83*$H$81*$H$83)</f>
        <v>120.249</v>
      </c>
      <c r="AI86" s="42" t="n">
        <f aca="false">-($D$81+$J$81)*(AI$5=0)+IF(AND(AI$5-$K$81&gt;=1,AI$5-$K$81&lt;=Inputs!$C$13),INDEX($N$84:$AL$84,1,AI$5-$K$81+1)*INDEX($N$85:$AL$85,1,AI$5-$K$81+1),0)-$I$81*((AI$5=Inputs!$C$12)*$C$83*$D$81+(AI$5=Inputs!$C$13)*$D$83*($D$81+Inputs!$C$14))+$I$81*((AI$5=Inputs!$C$15+$K$81)*$E$83*$I$83+(AI$5=Inputs!$C$16+$K$81)*$F$83*$J$83+(AI$5=Inputs!$C$17)*$G$83*$H$81*$H$83)</f>
        <v>121.086</v>
      </c>
      <c r="AJ86" s="42" t="n">
        <f aca="false">-($D$81+$J$81)*(AJ$5=0)+IF(AND(AJ$5-$K$81&gt;=1,AJ$5-$K$81&lt;=Inputs!$C$13),INDEX($N$84:$AL$84,1,AJ$5-$K$81+1)*INDEX($N$85:$AL$85,1,AJ$5-$K$81+1),0)-$I$81*((AJ$5=Inputs!$C$12)*$C$83*$D$81+(AJ$5=Inputs!$C$13)*$D$83*($D$81+Inputs!$C$14))+$I$81*((AJ$5=Inputs!$C$15+$K$81)*$E$83*$I$83+(AJ$5=Inputs!$C$16+$K$81)*$F$83*$J$83+(AJ$5=Inputs!$C$17)*$G$83*$H$81*$H$83)</f>
        <v>121.923</v>
      </c>
      <c r="AK86" s="42" t="n">
        <f aca="false">-($D$81+$J$81)*(AK$5=0)+IF(AND(AK$5-$K$81&gt;=1,AK$5-$K$81&lt;=Inputs!$C$13),INDEX($N$84:$AL$84,1,AK$5-$K$81+1)*INDEX($N$85:$AL$85,1,AK$5-$K$81+1),0)-$I$81*((AK$5=Inputs!$C$12)*$C$83*$D$81+(AK$5=Inputs!$C$13)*$D$83*($D$81+Inputs!$C$14))+$I$81*((AK$5=Inputs!$C$15+$K$81)*$E$83*$I$83+(AK$5=Inputs!$C$16+$K$81)*$F$83*$J$83+(AK$5=Inputs!$C$17)*$G$83*$H$81*$H$83)</f>
        <v>122.76</v>
      </c>
      <c r="AL86" s="42" t="n">
        <f aca="false">-($D$81+$J$81)*(AL$5=0)+IF(AND(AL$5-$K$81&gt;=1,AL$5-$K$81&lt;=Inputs!$C$13),INDEX($N$84:$AL$84,1,AL$5-$K$81+1)*INDEX($N$85:$AL$85,1,AL$5-$K$81+1),0)-$I$81*((AL$5=Inputs!$C$12)*$C$83*$D$81+(AL$5=Inputs!$C$13)*$D$83*($D$81+Inputs!$C$14))+$I$81*((AL$5=Inputs!$C$15+$K$81)*$E$83*$I$83+(AL$5=Inputs!$C$16+$K$81)*$F$83*$J$83+(AL$5=Inputs!$C$17)*$G$83*$H$81*$H$83)</f>
        <v>-254.402999999999</v>
      </c>
      <c r="AM86" s="42" t="n">
        <f aca="false">-($D$81+$J$81)*(AM$5=0)+IF(AND(AM$5-$K$81&gt;=1,AM$5-$K$81&lt;=Inputs!$C$13),INDEX($N$84:$AL$84,1,AM$5-$K$81+1)*INDEX($N$85:$AL$85,1,AM$5-$K$81+1),0)-$I$81*((AM$5=Inputs!$C$12)*$C$83*$D$81+(AM$5=Inputs!$C$13)*$D$83*($D$81+Inputs!$C$14))+$I$81*((AM$5=Inputs!$C$15+$K$81)*$E$83*$I$83+(AM$5=Inputs!$C$16+$K$81)*$F$83*$J$83+(AM$5=Inputs!$C$17)*$G$83*$H$81*$H$83)</f>
        <v>124.434</v>
      </c>
      <c r="AN86" s="42" t="n">
        <f aca="false">-($D$81+$J$81)*(AN$5=0)+IF(AND(AN$5-$K$81&gt;=1,AN$5-$K$81&lt;=Inputs!$C$13),INDEX($N$84:$AL$84,1,AN$5-$K$81+1)*INDEX($N$85:$AL$85,1,AN$5-$K$81+1),0)-$I$81*((AN$5=Inputs!$C$12)*$C$83*$D$81+(AN$5=Inputs!$C$13)*$D$83*($D$81+Inputs!$C$14))+$I$81*((AN$5=Inputs!$C$15+$K$81)*$E$83*$I$83+(AN$5=Inputs!$C$16+$K$81)*$F$83*$J$83+(AN$5=Inputs!$C$17)*$G$83*$H$81*$H$83)</f>
        <v>0</v>
      </c>
      <c r="AO86" s="42" t="n">
        <f aca="false">-($D$81+$J$81)*(AO$5=0)+IF(AND(AO$5-$K$81&gt;=1,AO$5-$K$81&lt;=Inputs!$C$13),INDEX($N$84:$AL$84,1,AO$5-$K$81+1)*INDEX($N$85:$AL$85,1,AO$5-$K$81+1),0)-$I$81*((AO$5=Inputs!$C$12)*$C$83*$D$81+(AO$5=Inputs!$C$13)*$D$83*($D$81+Inputs!$C$14))+$I$81*((AO$5=Inputs!$C$15+$K$81)*$E$83*$I$83+(AO$5=Inputs!$C$16+$K$81)*$F$83*$J$83+(AO$5=Inputs!$C$17)*$G$83*$H$81*$H$83)</f>
        <v>0</v>
      </c>
      <c r="AP86" s="42" t="n">
        <f aca="false">-($D$81+$J$81)*(AP$5=0)+IF(AND(AP$5-$K$81&gt;=1,AP$5-$K$81&lt;=Inputs!$C$13),INDEX($N$84:$AL$84,1,AP$5-$K$81+1)*INDEX($N$85:$AL$85,1,AP$5-$K$81+1),0)-$I$81*((AP$5=Inputs!$C$12)*$C$83*$D$81+(AP$5=Inputs!$C$13)*$D$83*($D$81+Inputs!$C$14))+$I$81*((AP$5=Inputs!$C$15+$K$81)*$E$83*$I$83+(AP$5=Inputs!$C$16+$K$81)*$F$83*$J$83+(AP$5=Inputs!$C$17)*$G$83*$H$81*$H$83)</f>
        <v>577.584</v>
      </c>
      <c r="AQ86" s="42" t="n">
        <f aca="false">-($D$81+$J$81)*(AQ$5=0)+IF(AND(AQ$5-$K$81&gt;=1,AQ$5-$K$81&lt;=Inputs!$C$13),INDEX($N$84:$AL$84,1,AQ$5-$K$81+1)*INDEX($N$85:$AL$85,1,AQ$5-$K$81+1),0)-$I$81*((AQ$5=Inputs!$C$12)*$C$83*$D$81+(AQ$5=Inputs!$C$13)*$D$83*($D$81+Inputs!$C$14))+$I$81*((AQ$5=Inputs!$C$15+$K$81)*$E$83*$I$83+(AQ$5=Inputs!$C$16+$K$81)*$F$83*$J$83+(AQ$5=Inputs!$C$17)*$G$83*$H$81*$H$83)</f>
        <v>0</v>
      </c>
      <c r="AR86" s="42" t="n">
        <f aca="false">-($D$81+$J$81)*(AR$5=0)+IF(AND(AR$5-$K$81&gt;=1,AR$5-$K$81&lt;=Inputs!$C$13),INDEX($N$84:$AL$84,1,AR$5-$K$81+1)*INDEX($N$85:$AL$85,1,AR$5-$K$81+1),0)-$I$81*((AR$5=Inputs!$C$12)*$C$83*$D$81+(AR$5=Inputs!$C$13)*$D$83*($D$81+Inputs!$C$14))+$I$81*((AR$5=Inputs!$C$15+$K$81)*$E$83*$I$83+(AR$5=Inputs!$C$16+$K$81)*$F$83*$J$83+(AR$5=Inputs!$C$17)*$G$83*$H$81*$H$83)</f>
        <v>0</v>
      </c>
      <c r="AS86" s="42" t="n">
        <f aca="false">-($D$81+$J$81)*(AS$5=0)+IF(AND(AS$5-$K$81&gt;=1,AS$5-$K$81&lt;=Inputs!$C$13),INDEX($N$84:$AL$84,1,AS$5-$K$81+1)*INDEX($N$85:$AL$85,1,AS$5-$K$81+1),0)-$I$81*((AS$5=Inputs!$C$12)*$C$83*$D$81+(AS$5=Inputs!$C$13)*$D$83*($D$81+Inputs!$C$14))+$I$81*((AS$5=Inputs!$C$15+$K$81)*$E$83*$I$83+(AS$5=Inputs!$C$16+$K$81)*$F$83*$J$83+(AS$5=Inputs!$C$17)*$G$83*$H$81*$H$83)</f>
        <v>335.0088</v>
      </c>
      <c r="AT86" s="42" t="n">
        <f aca="false">-($D$81+$J$81)*(AT$5=0)+IF(AND(AT$5-$K$81&gt;=1,AT$5-$K$81&lt;=Inputs!$C$13),INDEX($N$84:$AL$84,1,AT$5-$K$81+1)*INDEX($N$85:$AL$85,1,AT$5-$K$81+1),0)-$I$81*((AT$5=Inputs!$C$12)*$C$83*$D$81+(AT$5=Inputs!$C$13)*$D$83*($D$81+Inputs!$C$14))+$I$81*((AT$5=Inputs!$C$15+$K$81)*$E$83*$I$83+(AT$5=Inputs!$C$16+$K$81)*$F$83*$J$83+(AT$5=Inputs!$C$17)*$G$83*$H$81*$H$83)</f>
        <v>0</v>
      </c>
      <c r="AU86" s="42" t="n">
        <f aca="false">-($D$81+$J$81)*(AU$5=0)+IF(AND(AU$5-$K$81&gt;=1,AU$5-$K$81&lt;=Inputs!$C$13),INDEX($N$84:$AL$84,1,AU$5-$K$81+1)*INDEX($N$85:$AL$85,1,AU$5-$K$81+1),0)-$I$81*((AU$5=Inputs!$C$12)*$C$83*$D$81+(AU$5=Inputs!$C$13)*$D$83*($D$81+Inputs!$C$14))+$I$81*((AU$5=Inputs!$C$15+$K$81)*$E$83*$I$83+(AU$5=Inputs!$C$16+$K$81)*$F$83*$J$83+(AU$5=Inputs!$C$17)*$G$83*$H$81*$H$83)</f>
        <v>0</v>
      </c>
      <c r="AV86" s="42" t="n">
        <f aca="false">-($D$81+$J$81)*(AV$5=0)+IF(AND(AV$5-$K$81&gt;=1,AV$5-$K$81&lt;=Inputs!$C$13),INDEX($N$84:$AL$84,1,AV$5-$K$81+1)*INDEX($N$85:$AL$85,1,AV$5-$K$81+1),0)-$I$81*((AV$5=Inputs!$C$12)*$C$83*$D$81+(AV$5=Inputs!$C$13)*$D$83*($D$81+Inputs!$C$14))+$I$81*((AV$5=Inputs!$C$15+$K$81)*$E$83*$I$83+(AV$5=Inputs!$C$16+$K$81)*$F$83*$J$83+(AV$5=Inputs!$C$17)*$G$83*$H$81*$H$83)</f>
        <v>0</v>
      </c>
      <c r="AW86" s="42" t="n">
        <f aca="false">-($D$81+$J$81)*(AW$5=0)+IF(AND(AW$5-$K$81&gt;=1,AW$5-$K$81&lt;=Inputs!$C$13),INDEX($N$84:$AL$84,1,AW$5-$K$81+1)*INDEX($N$85:$AL$85,1,AW$5-$K$81+1),0)-$I$81*((AW$5=Inputs!$C$12)*$C$83*$D$81+(AW$5=Inputs!$C$13)*$D$83*($D$81+Inputs!$C$14))+$I$81*((AW$5=Inputs!$C$15+$K$81)*$E$83*$I$83+(AW$5=Inputs!$C$16+$K$81)*$F$83*$J$83+(AW$5=Inputs!$C$17)*$G$83*$H$81*$H$83)</f>
        <v>0</v>
      </c>
      <c r="AX86" s="42" t="n">
        <f aca="false">-($D$81+$J$81)*(AX$5=0)+IF(AND(AX$5-$K$81&gt;=1,AX$5-$K$81&lt;=Inputs!$C$13),INDEX($N$84:$AL$84,1,AX$5-$K$81+1)*INDEX($N$85:$AL$85,1,AX$5-$K$81+1),0)-$I$81*((AX$5=Inputs!$C$12)*$C$83*$D$81+(AX$5=Inputs!$C$13)*$D$83*($D$81+Inputs!$C$14))+$I$81*((AX$5=Inputs!$C$15+$K$81)*$E$83*$I$83+(AX$5=Inputs!$C$16+$K$81)*$F$83*$J$83+(AX$5=Inputs!$C$17)*$G$83*$H$81*$H$83)</f>
        <v>47.628</v>
      </c>
      <c r="AY86" s="42" t="n">
        <f aca="false">-($D$81+$J$81)*(AY$5=0)+IF(AND(AY$5-$K$81&gt;=1,AY$5-$K$81&lt;=Inputs!$C$13),INDEX($N$84:$AL$84,1,AY$5-$K$81+1)*INDEX($N$85:$AL$85,1,AY$5-$K$81+1),0)-$I$81*((AY$5=Inputs!$C$12)*$C$83*$D$81+(AY$5=Inputs!$C$13)*$D$83*($D$81+Inputs!$C$14))+$I$81*((AY$5=Inputs!$C$15+$K$81)*$E$83*$I$83+(AY$5=Inputs!$C$16+$K$81)*$F$83*$J$83+(AY$5=Inputs!$C$17)*$G$83*$H$81*$H$83)</f>
        <v>0</v>
      </c>
    </row>
    <row r="88" customFormat="false" ht="15" hidden="false" customHeight="false" outlineLevel="0" collapsed="false">
      <c r="B88" s="7" t="s">
        <v>196</v>
      </c>
      <c r="C88" s="8"/>
      <c r="D88" s="8"/>
      <c r="E88" s="8"/>
      <c r="F88" s="8"/>
      <c r="G88" s="8"/>
      <c r="H88" s="8"/>
      <c r="I88" s="8"/>
      <c r="J88" s="8"/>
      <c r="K88" s="8"/>
      <c r="L88" s="8"/>
    </row>
    <row r="89" customFormat="false" ht="30" hidden="false" customHeight="true" outlineLevel="0" collapsed="false">
      <c r="B89" s="37"/>
      <c r="C89" s="38" t="s">
        <v>169</v>
      </c>
      <c r="D89" s="38" t="s">
        <v>170</v>
      </c>
      <c r="E89" s="38" t="s">
        <v>171</v>
      </c>
      <c r="F89" s="38" t="s">
        <v>43</v>
      </c>
      <c r="G89" s="38" t="s">
        <v>44</v>
      </c>
      <c r="H89" s="38" t="s">
        <v>45</v>
      </c>
      <c r="I89" s="38" t="s">
        <v>172</v>
      </c>
      <c r="J89" s="38" t="s">
        <v>90</v>
      </c>
      <c r="K89" s="38" t="s">
        <v>89</v>
      </c>
      <c r="L89" s="38" t="s">
        <v>173</v>
      </c>
    </row>
    <row r="90" customFormat="false" ht="15" hidden="false" customHeight="false" outlineLevel="0" collapsed="false">
      <c r="B90" s="39" t="s">
        <v>174</v>
      </c>
      <c r="C90" s="26" t="n">
        <f aca="false">Class_IRR!$D$5</f>
        <v>0.01</v>
      </c>
      <c r="D90" s="30" t="n">
        <f aca="false">Inputs!$E$24</f>
        <v>3600</v>
      </c>
      <c r="E90" s="26" t="n">
        <f aca="false">Inputs!$F$24</f>
        <v>0.93</v>
      </c>
      <c r="F90" s="25" t="n">
        <f aca="false">Inputs!$G$24</f>
        <v>0.6</v>
      </c>
      <c r="G90" s="25" t="n">
        <f aca="false">Inputs!$H$24</f>
        <v>0.85</v>
      </c>
      <c r="H90" s="25" t="n">
        <f aca="false">Inputs!$I$24</f>
        <v>0.9</v>
      </c>
      <c r="I90" s="22" t="n">
        <f aca="false">Inputs!$J$24</f>
        <v>1</v>
      </c>
      <c r="J90" s="23" t="n">
        <f aca="false">Inputs!$C$9</f>
        <v>10</v>
      </c>
      <c r="K90" s="22" t="n">
        <f aca="false">Inputs!$C$10</f>
        <v>1</v>
      </c>
      <c r="L90" s="22" t="n">
        <f aca="false">1</f>
        <v>1</v>
      </c>
    </row>
    <row r="91" customFormat="false" ht="30" hidden="false" customHeight="true" outlineLevel="0" collapsed="false">
      <c r="B91" s="37"/>
      <c r="C91" s="38" t="s">
        <v>175</v>
      </c>
      <c r="D91" s="38" t="s">
        <v>176</v>
      </c>
      <c r="E91" s="38" t="s">
        <v>177</v>
      </c>
      <c r="F91" s="38" t="s">
        <v>178</v>
      </c>
      <c r="G91" s="38" t="s">
        <v>112</v>
      </c>
      <c r="H91" s="38" t="s">
        <v>179</v>
      </c>
      <c r="I91" s="38" t="s">
        <v>180</v>
      </c>
      <c r="J91" s="38" t="s">
        <v>181</v>
      </c>
      <c r="K91" s="38" t="s">
        <v>182</v>
      </c>
      <c r="L91" s="38" t="s">
        <v>183</v>
      </c>
    </row>
    <row r="92" customFormat="false" ht="15" hidden="false" customHeight="false" outlineLevel="0" collapsed="false">
      <c r="B92" s="39" t="s">
        <v>184</v>
      </c>
      <c r="C92" s="40" t="n">
        <f aca="false">1-$E$90*CHOOSE($L$90,INDEX(Timing!$C$7:$AA$7,1,Inputs!$C$12+1),INDEX(Timing!$C$8:$AA$8,1,Inputs!$C$12+1))</f>
        <v>0.2932</v>
      </c>
      <c r="D92" s="40" t="n">
        <f aca="false">1-$E$90*CHOOSE($L$90,INDEX(Timing!$C$7:$AA$7,1,Inputs!$C$13+1),INDEX(Timing!$C$8:$AA$8,1,Inputs!$C$13+1))</f>
        <v>0.07</v>
      </c>
      <c r="E92" s="40" t="n">
        <f aca="false">$I$90*$D$92*$F$90</f>
        <v>0.042</v>
      </c>
      <c r="F92" s="40" t="n">
        <f aca="false">$I$90*($D$92-$E$92)*$G$90</f>
        <v>0.0238</v>
      </c>
      <c r="G92" s="40" t="n">
        <f aca="false">$I$90*($D$92-$E$92-$F$92)</f>
        <v>0.0042</v>
      </c>
      <c r="H92" s="23" t="n">
        <f aca="false">$I$90*(3*$D$90+Inputs!$C$14)</f>
        <v>12600</v>
      </c>
      <c r="I92" s="23" t="n">
        <f aca="false">$I$90*($D$90*(1+IF($C$90&lt;=0,0,MAX($C$90*Inputs!$C$15/12,Inputs!$C$8)))+$D$90*(1+Inputs!$C$11*(Inputs!$C$15-Inputs!$C$12)/12)+$D$90*(1+Inputs!$C$11*(Inputs!$C$15-Inputs!$C$13)/12)+Inputs!$C$14)</f>
        <v>13752</v>
      </c>
      <c r="J92" s="23" t="n">
        <f aca="false">$I$90*($D$90*(1+IF($C$90&lt;=0,0,MAX($C$90*Inputs!$C$16/12,Inputs!$C$8)))+$D$90*(1+Inputs!$C$11*(Inputs!$C$16-Inputs!$C$12)/12)+$D$90*(1+Inputs!$C$11*(Inputs!$C$16-Inputs!$C$13)/12)+Inputs!$C$14)</f>
        <v>14076</v>
      </c>
      <c r="K92" s="40" t="n">
        <f aca="false">IRR($N$95:$AY$95,0.005)</f>
        <v>0.00591608408356769</v>
      </c>
      <c r="L92" s="41" t="n">
        <f aca="false">(1+$K$92)^12-1</f>
        <v>0.0733491784311997</v>
      </c>
    </row>
    <row r="93" customFormat="false" ht="15" hidden="false" customHeight="false" outlineLevel="0" collapsed="false">
      <c r="B93" s="9" t="s">
        <v>185</v>
      </c>
      <c r="N93" s="40" t="n">
        <f aca="false">0</f>
        <v>0</v>
      </c>
      <c r="O93" s="40" t="n">
        <f aca="false">$E$90*(CHOOSE($L$90,Timing!D$7,Timing!D$8)-CHOOSE($L$90,Timing!C$7,Timing!C$8))</f>
        <v>0.1116</v>
      </c>
      <c r="P93" s="40" t="n">
        <f aca="false">$E$90*(CHOOSE($L$90,Timing!E$7,Timing!E$8)-CHOOSE($L$90,Timing!D$7,Timing!D$8))</f>
        <v>0.093</v>
      </c>
      <c r="Q93" s="40" t="n">
        <f aca="false">$E$90*(CHOOSE($L$90,Timing!F$7,Timing!F$8)-CHOOSE($L$90,Timing!E$7,Timing!E$8))</f>
        <v>0.0837</v>
      </c>
      <c r="R93" s="40" t="n">
        <f aca="false">$E$90*(CHOOSE($L$90,Timing!G$7,Timing!G$8)-CHOOSE($L$90,Timing!F$7,Timing!F$8))</f>
        <v>0.0651</v>
      </c>
      <c r="S93" s="40" t="n">
        <f aca="false">$E$90*(CHOOSE($L$90,Timing!H$7,Timing!H$8)-CHOOSE($L$90,Timing!G$7,Timing!G$8))</f>
        <v>0.0651</v>
      </c>
      <c r="T93" s="40" t="n">
        <f aca="false">$E$90*(CHOOSE($L$90,Timing!I$7,Timing!I$8)-CHOOSE($L$90,Timing!H$7,Timing!H$8))</f>
        <v>0.0651</v>
      </c>
      <c r="U93" s="40" t="n">
        <f aca="false">$E$90*(CHOOSE($L$90,Timing!J$7,Timing!J$8)-CHOOSE($L$90,Timing!I$7,Timing!I$8))</f>
        <v>0.0403</v>
      </c>
      <c r="V93" s="40" t="n">
        <f aca="false">$E$90*(CHOOSE($L$90,Timing!K$7,Timing!K$8)-CHOOSE($L$90,Timing!J$7,Timing!J$8))</f>
        <v>0.0403</v>
      </c>
      <c r="W93" s="40" t="n">
        <f aca="false">$E$90*(CHOOSE($L$90,Timing!L$7,Timing!L$8)-CHOOSE($L$90,Timing!K$7,Timing!K$8))</f>
        <v>0.0403</v>
      </c>
      <c r="X93" s="40" t="n">
        <f aca="false">$E$90*(CHOOSE($L$90,Timing!M$7,Timing!M$8)-CHOOSE($L$90,Timing!L$7,Timing!L$8))</f>
        <v>0.0341</v>
      </c>
      <c r="Y93" s="40" t="n">
        <f aca="false">$E$90*(CHOOSE($L$90,Timing!N$7,Timing!N$8)-CHOOSE($L$90,Timing!M$7,Timing!M$8))</f>
        <v>0.0341000000000001</v>
      </c>
      <c r="Z93" s="40" t="n">
        <f aca="false">$E$90*(CHOOSE($L$90,Timing!O$7,Timing!O$8)-CHOOSE($L$90,Timing!N$7,Timing!N$8))</f>
        <v>0.0341</v>
      </c>
      <c r="AA93" s="40" t="n">
        <f aca="false">$E$90*(CHOOSE($L$90,Timing!P$7,Timing!P$8)-CHOOSE($L$90,Timing!O$7,Timing!O$8))</f>
        <v>0.0217</v>
      </c>
      <c r="AB93" s="40" t="n">
        <f aca="false">$E$90*(CHOOSE($L$90,Timing!Q$7,Timing!Q$8)-CHOOSE($L$90,Timing!P$7,Timing!P$8))</f>
        <v>0.0217</v>
      </c>
      <c r="AC93" s="40" t="n">
        <f aca="false">$E$90*(CHOOSE($L$90,Timing!R$7,Timing!R$8)-CHOOSE($L$90,Timing!Q$7,Timing!Q$8))</f>
        <v>0.0217000000000001</v>
      </c>
      <c r="AD93" s="40" t="n">
        <f aca="false">$E$90*(CHOOSE($L$90,Timing!S$7,Timing!S$8)-CHOOSE($L$90,Timing!R$7,Timing!R$8))</f>
        <v>0.0217</v>
      </c>
      <c r="AE93" s="40" t="n">
        <f aca="false">$E$90*(CHOOSE($L$90,Timing!T$7,Timing!T$8)-CHOOSE($L$90,Timing!S$7,Timing!S$8))</f>
        <v>0.0217</v>
      </c>
      <c r="AF93" s="40" t="n">
        <f aca="false">$E$90*(CHOOSE($L$90,Timing!U$7,Timing!U$8)-CHOOSE($L$90,Timing!T$7,Timing!T$8))</f>
        <v>0.0217</v>
      </c>
      <c r="AG93" s="40" t="n">
        <f aca="false">$E$90*(CHOOSE($L$90,Timing!V$7,Timing!V$8)-CHOOSE($L$90,Timing!U$7,Timing!U$8))</f>
        <v>0.0155</v>
      </c>
      <c r="AH93" s="40" t="n">
        <f aca="false">$E$90*(CHOOSE($L$90,Timing!W$7,Timing!W$8)-CHOOSE($L$90,Timing!V$7,Timing!V$8))</f>
        <v>0.0154999999999999</v>
      </c>
      <c r="AI93" s="40" t="n">
        <f aca="false">$E$90*(CHOOSE($L$90,Timing!X$7,Timing!X$8)-CHOOSE($L$90,Timing!W$7,Timing!W$8))</f>
        <v>0.0154999999999999</v>
      </c>
      <c r="AJ93" s="40" t="n">
        <f aca="false">$E$90*(CHOOSE($L$90,Timing!Y$7,Timing!Y$8)-CHOOSE($L$90,Timing!X$7,Timing!X$8))</f>
        <v>0.0155</v>
      </c>
      <c r="AK93" s="40" t="n">
        <f aca="false">$E$90*(CHOOSE($L$90,Timing!Z$7,Timing!Z$8)-CHOOSE($L$90,Timing!Y$7,Timing!Y$8))</f>
        <v>0.0155</v>
      </c>
      <c r="AL93" s="40" t="n">
        <f aca="false">$E$90*(CHOOSE($L$90,Timing!AA$7,Timing!AA$8)-CHOOSE($L$90,Timing!Z$7,Timing!Z$8))</f>
        <v>0.0154999999999999</v>
      </c>
    </row>
    <row r="94" customFormat="false" ht="15" hidden="false" customHeight="false" outlineLevel="0" collapsed="false">
      <c r="B94" s="9" t="s">
        <v>186</v>
      </c>
      <c r="N94" s="42" t="n">
        <f aca="false">0</f>
        <v>0</v>
      </c>
      <c r="O94" s="42" t="n">
        <f aca="false">$D$90*(1+IF($C$90&lt;=0,0,MAX($C$90*O$5/12,Inputs!$C$8)))+$I$90*(O$5&gt;Inputs!$C$12)*$D$90*(1+Inputs!$C$11*(O$5-Inputs!$C$12)/12)</f>
        <v>3780</v>
      </c>
      <c r="P94" s="42" t="n">
        <f aca="false">$D$90*(1+IF($C$90&lt;=0,0,MAX($C$90*P$5/12,Inputs!$C$8)))+$I$90*(P$5&gt;Inputs!$C$12)*$D$90*(1+Inputs!$C$11*(P$5-Inputs!$C$12)/12)</f>
        <v>3780</v>
      </c>
      <c r="Q94" s="42" t="n">
        <f aca="false">$D$90*(1+IF($C$90&lt;=0,0,MAX($C$90*Q$5/12,Inputs!$C$8)))+$I$90*(Q$5&gt;Inputs!$C$12)*$D$90*(1+Inputs!$C$11*(Q$5-Inputs!$C$12)/12)</f>
        <v>3780</v>
      </c>
      <c r="R94" s="42" t="n">
        <f aca="false">$D$90*(1+IF($C$90&lt;=0,0,MAX($C$90*R$5/12,Inputs!$C$8)))+$I$90*(R$5&gt;Inputs!$C$12)*$D$90*(1+Inputs!$C$11*(R$5-Inputs!$C$12)/12)</f>
        <v>3780</v>
      </c>
      <c r="S94" s="42" t="n">
        <f aca="false">$D$90*(1+IF($C$90&lt;=0,0,MAX($C$90*S$5/12,Inputs!$C$8)))+$I$90*(S$5&gt;Inputs!$C$12)*$D$90*(1+Inputs!$C$11*(S$5-Inputs!$C$12)/12)</f>
        <v>3780</v>
      </c>
      <c r="T94" s="42" t="n">
        <f aca="false">$D$90*(1+IF($C$90&lt;=0,0,MAX($C$90*T$5/12,Inputs!$C$8)))+$I$90*(T$5&gt;Inputs!$C$12)*$D$90*(1+Inputs!$C$11*(T$5-Inputs!$C$12)/12)</f>
        <v>3780</v>
      </c>
      <c r="U94" s="42" t="n">
        <f aca="false">$D$90*(1+IF($C$90&lt;=0,0,MAX($C$90*U$5/12,Inputs!$C$8)))+$I$90*(U$5&gt;Inputs!$C$12)*$D$90*(1+Inputs!$C$11*(U$5-Inputs!$C$12)/12)</f>
        <v>3780</v>
      </c>
      <c r="V94" s="42" t="n">
        <f aca="false">$D$90*(1+IF($C$90&lt;=0,0,MAX($C$90*V$5/12,Inputs!$C$8)))+$I$90*(V$5&gt;Inputs!$C$12)*$D$90*(1+Inputs!$C$11*(V$5-Inputs!$C$12)/12)</f>
        <v>3780</v>
      </c>
      <c r="W94" s="42" t="n">
        <f aca="false">$D$90*(1+IF($C$90&lt;=0,0,MAX($C$90*W$5/12,Inputs!$C$8)))+$I$90*(W$5&gt;Inputs!$C$12)*$D$90*(1+Inputs!$C$11*(W$5-Inputs!$C$12)/12)</f>
        <v>3780</v>
      </c>
      <c r="X94" s="42" t="n">
        <f aca="false">$D$90*(1+IF($C$90&lt;=0,0,MAX($C$90*X$5/12,Inputs!$C$8)))+$I$90*(X$5&gt;Inputs!$C$12)*$D$90*(1+Inputs!$C$11*(X$5-Inputs!$C$12)/12)</f>
        <v>3780</v>
      </c>
      <c r="Y94" s="42" t="n">
        <f aca="false">$D$90*(1+IF($C$90&lt;=0,0,MAX($C$90*Y$5/12,Inputs!$C$8)))+$I$90*(Y$5&gt;Inputs!$C$12)*$D$90*(1+Inputs!$C$11*(Y$5-Inputs!$C$12)/12)</f>
        <v>3780</v>
      </c>
      <c r="Z94" s="42" t="n">
        <f aca="false">$D$90*(1+IF($C$90&lt;=0,0,MAX($C$90*Z$5/12,Inputs!$C$8)))+$I$90*(Z$5&gt;Inputs!$C$12)*$D$90*(1+Inputs!$C$11*(Z$5-Inputs!$C$12)/12)</f>
        <v>3780</v>
      </c>
      <c r="AA94" s="42" t="n">
        <f aca="false">$D$90*(1+IF($C$90&lt;=0,0,MAX($C$90*AA$5/12,Inputs!$C$8)))+$I$90*(AA$5&gt;Inputs!$C$12)*$D$90*(1+Inputs!$C$11*(AA$5-Inputs!$C$12)/12)</f>
        <v>7434</v>
      </c>
      <c r="AB94" s="42" t="n">
        <f aca="false">$D$90*(1+IF($C$90&lt;=0,0,MAX($C$90*AB$5/12,Inputs!$C$8)))+$I$90*(AB$5&gt;Inputs!$C$12)*$D$90*(1+Inputs!$C$11*(AB$5-Inputs!$C$12)/12)</f>
        <v>7488</v>
      </c>
      <c r="AC94" s="42" t="n">
        <f aca="false">$D$90*(1+IF($C$90&lt;=0,0,MAX($C$90*AC$5/12,Inputs!$C$8)))+$I$90*(AC$5&gt;Inputs!$C$12)*$D$90*(1+Inputs!$C$11*(AC$5-Inputs!$C$12)/12)</f>
        <v>7542</v>
      </c>
      <c r="AD94" s="42" t="n">
        <f aca="false">$D$90*(1+IF($C$90&lt;=0,0,MAX($C$90*AD$5/12,Inputs!$C$8)))+$I$90*(AD$5&gt;Inputs!$C$12)*$D$90*(1+Inputs!$C$11*(AD$5-Inputs!$C$12)/12)</f>
        <v>7596</v>
      </c>
      <c r="AE94" s="42" t="n">
        <f aca="false">$D$90*(1+IF($C$90&lt;=0,0,MAX($C$90*AE$5/12,Inputs!$C$8)))+$I$90*(AE$5&gt;Inputs!$C$12)*$D$90*(1+Inputs!$C$11*(AE$5-Inputs!$C$12)/12)</f>
        <v>7650</v>
      </c>
      <c r="AF94" s="42" t="n">
        <f aca="false">$D$90*(1+IF($C$90&lt;=0,0,MAX($C$90*AF$5/12,Inputs!$C$8)))+$I$90*(AF$5&gt;Inputs!$C$12)*$D$90*(1+Inputs!$C$11*(AF$5-Inputs!$C$12)/12)</f>
        <v>7704</v>
      </c>
      <c r="AG94" s="42" t="n">
        <f aca="false">$D$90*(1+IF($C$90&lt;=0,0,MAX($C$90*AG$5/12,Inputs!$C$8)))+$I$90*(AG$5&gt;Inputs!$C$12)*$D$90*(1+Inputs!$C$11*(AG$5-Inputs!$C$12)/12)</f>
        <v>7758</v>
      </c>
      <c r="AH94" s="42" t="n">
        <f aca="false">$D$90*(1+IF($C$90&lt;=0,0,MAX($C$90*AH$5/12,Inputs!$C$8)))+$I$90*(AH$5&gt;Inputs!$C$12)*$D$90*(1+Inputs!$C$11*(AH$5-Inputs!$C$12)/12)</f>
        <v>7812</v>
      </c>
      <c r="AI94" s="42" t="n">
        <f aca="false">$D$90*(1+IF($C$90&lt;=0,0,MAX($C$90*AI$5/12,Inputs!$C$8)))+$I$90*(AI$5&gt;Inputs!$C$12)*$D$90*(1+Inputs!$C$11*(AI$5-Inputs!$C$12)/12)</f>
        <v>7866</v>
      </c>
      <c r="AJ94" s="42" t="n">
        <f aca="false">$D$90*(1+IF($C$90&lt;=0,0,MAX($C$90*AJ$5/12,Inputs!$C$8)))+$I$90*(AJ$5&gt;Inputs!$C$12)*$D$90*(1+Inputs!$C$11*(AJ$5-Inputs!$C$12)/12)</f>
        <v>7920</v>
      </c>
      <c r="AK94" s="42" t="n">
        <f aca="false">$D$90*(1+IF($C$90&lt;=0,0,MAX($C$90*AK$5/12,Inputs!$C$8)))+$I$90*(AK$5&gt;Inputs!$C$12)*$D$90*(1+Inputs!$C$11*(AK$5-Inputs!$C$12)/12)</f>
        <v>7974</v>
      </c>
      <c r="AL94" s="42" t="n">
        <f aca="false">$D$90*(1+IF($C$90&lt;=0,0,MAX($C$90*AL$5/12,Inputs!$C$8)))+$I$90*(AL$5&gt;Inputs!$C$12)*$D$90*(1+Inputs!$C$11*(AL$5-Inputs!$C$12)/12)</f>
        <v>8028</v>
      </c>
    </row>
    <row r="95" customFormat="false" ht="15" hidden="false" customHeight="false" outlineLevel="0" collapsed="false">
      <c r="B95" s="31" t="s">
        <v>187</v>
      </c>
      <c r="N95" s="42" t="n">
        <f aca="false">-($D$90+$J$90)*(N$5=0)+IF(AND(N$5-$K$90&gt;=1,N$5-$K$90&lt;=Inputs!$C$13),INDEX($N$93:$AL$93,1,N$5-$K$90+1)*INDEX($N$94:$AL$94,1,N$5-$K$90+1),0)-$I$90*((N$5=Inputs!$C$12)*$C$92*$D$90+(N$5=Inputs!$C$13)*$D$92*($D$90+Inputs!$C$14))+$I$90*((N$5=Inputs!$C$15+$K$90)*$E$92*$I$92+(N$5=Inputs!$C$16+$K$90)*$F$92*$J$92+(N$5=Inputs!$C$17)*$G$92*$H$90*$H$92)</f>
        <v>-3610</v>
      </c>
      <c r="O95" s="42" t="n">
        <f aca="false">-($D$90+$J$90)*(O$5=0)+IF(AND(O$5-$K$90&gt;=1,O$5-$K$90&lt;=Inputs!$C$13),INDEX($N$93:$AL$93,1,O$5-$K$90+1)*INDEX($N$94:$AL$94,1,O$5-$K$90+1),0)-$I$90*((O$5=Inputs!$C$12)*$C$92*$D$90+(O$5=Inputs!$C$13)*$D$92*($D$90+Inputs!$C$14))+$I$90*((O$5=Inputs!$C$15+$K$90)*$E$92*$I$92+(O$5=Inputs!$C$16+$K$90)*$F$92*$J$92+(O$5=Inputs!$C$17)*$G$92*$H$90*$H$92)</f>
        <v>0</v>
      </c>
      <c r="P95" s="42" t="n">
        <f aca="false">-($D$90+$J$90)*(P$5=0)+IF(AND(P$5-$K$90&gt;=1,P$5-$K$90&lt;=Inputs!$C$13),INDEX($N$93:$AL$93,1,P$5-$K$90+1)*INDEX($N$94:$AL$94,1,P$5-$K$90+1),0)-$I$90*((P$5=Inputs!$C$12)*$C$92*$D$90+(P$5=Inputs!$C$13)*$D$92*($D$90+Inputs!$C$14))+$I$90*((P$5=Inputs!$C$15+$K$90)*$E$92*$I$92+(P$5=Inputs!$C$16+$K$90)*$F$92*$J$92+(P$5=Inputs!$C$17)*$G$92*$H$90*$H$92)</f>
        <v>421.848</v>
      </c>
      <c r="Q95" s="42" t="n">
        <f aca="false">-($D$90+$J$90)*(Q$5=0)+IF(AND(Q$5-$K$90&gt;=1,Q$5-$K$90&lt;=Inputs!$C$13),INDEX($N$93:$AL$93,1,Q$5-$K$90+1)*INDEX($N$94:$AL$94,1,Q$5-$K$90+1),0)-$I$90*((Q$5=Inputs!$C$12)*$C$92*$D$90+(Q$5=Inputs!$C$13)*$D$92*($D$90+Inputs!$C$14))+$I$90*((Q$5=Inputs!$C$15+$K$90)*$E$92*$I$92+(Q$5=Inputs!$C$16+$K$90)*$F$92*$J$92+(Q$5=Inputs!$C$17)*$G$92*$H$90*$H$92)</f>
        <v>351.54</v>
      </c>
      <c r="R95" s="42" t="n">
        <f aca="false">-($D$90+$J$90)*(R$5=0)+IF(AND(R$5-$K$90&gt;=1,R$5-$K$90&lt;=Inputs!$C$13),INDEX($N$93:$AL$93,1,R$5-$K$90+1)*INDEX($N$94:$AL$94,1,R$5-$K$90+1),0)-$I$90*((R$5=Inputs!$C$12)*$C$92*$D$90+(R$5=Inputs!$C$13)*$D$92*($D$90+Inputs!$C$14))+$I$90*((R$5=Inputs!$C$15+$K$90)*$E$92*$I$92+(R$5=Inputs!$C$16+$K$90)*$F$92*$J$92+(R$5=Inputs!$C$17)*$G$92*$H$90*$H$92)</f>
        <v>316.386</v>
      </c>
      <c r="S95" s="42" t="n">
        <f aca="false">-($D$90+$J$90)*(S$5=0)+IF(AND(S$5-$K$90&gt;=1,S$5-$K$90&lt;=Inputs!$C$13),INDEX($N$93:$AL$93,1,S$5-$K$90+1)*INDEX($N$94:$AL$94,1,S$5-$K$90+1),0)-$I$90*((S$5=Inputs!$C$12)*$C$92*$D$90+(S$5=Inputs!$C$13)*$D$92*($D$90+Inputs!$C$14))+$I$90*((S$5=Inputs!$C$15+$K$90)*$E$92*$I$92+(S$5=Inputs!$C$16+$K$90)*$F$92*$J$92+(S$5=Inputs!$C$17)*$G$92*$H$90*$H$92)</f>
        <v>246.078</v>
      </c>
      <c r="T95" s="42" t="n">
        <f aca="false">-($D$90+$J$90)*(T$5=0)+IF(AND(T$5-$K$90&gt;=1,T$5-$K$90&lt;=Inputs!$C$13),INDEX($N$93:$AL$93,1,T$5-$K$90+1)*INDEX($N$94:$AL$94,1,T$5-$K$90+1),0)-$I$90*((T$5=Inputs!$C$12)*$C$92*$D$90+(T$5=Inputs!$C$13)*$D$92*($D$90+Inputs!$C$14))+$I$90*((T$5=Inputs!$C$15+$K$90)*$E$92*$I$92+(T$5=Inputs!$C$16+$K$90)*$F$92*$J$92+(T$5=Inputs!$C$17)*$G$92*$H$90*$H$92)</f>
        <v>246.078</v>
      </c>
      <c r="U95" s="42" t="n">
        <f aca="false">-($D$90+$J$90)*(U$5=0)+IF(AND(U$5-$K$90&gt;=1,U$5-$K$90&lt;=Inputs!$C$13),INDEX($N$93:$AL$93,1,U$5-$K$90+1)*INDEX($N$94:$AL$94,1,U$5-$K$90+1),0)-$I$90*((U$5=Inputs!$C$12)*$C$92*$D$90+(U$5=Inputs!$C$13)*$D$92*($D$90+Inputs!$C$14))+$I$90*((U$5=Inputs!$C$15+$K$90)*$E$92*$I$92+(U$5=Inputs!$C$16+$K$90)*$F$92*$J$92+(U$5=Inputs!$C$17)*$G$92*$H$90*$H$92)</f>
        <v>246.078</v>
      </c>
      <c r="V95" s="42" t="n">
        <f aca="false">-($D$90+$J$90)*(V$5=0)+IF(AND(V$5-$K$90&gt;=1,V$5-$K$90&lt;=Inputs!$C$13),INDEX($N$93:$AL$93,1,V$5-$K$90+1)*INDEX($N$94:$AL$94,1,V$5-$K$90+1),0)-$I$90*((V$5=Inputs!$C$12)*$C$92*$D$90+(V$5=Inputs!$C$13)*$D$92*($D$90+Inputs!$C$14))+$I$90*((V$5=Inputs!$C$15+$K$90)*$E$92*$I$92+(V$5=Inputs!$C$16+$K$90)*$F$92*$J$92+(V$5=Inputs!$C$17)*$G$92*$H$90*$H$92)</f>
        <v>152.334</v>
      </c>
      <c r="W95" s="42" t="n">
        <f aca="false">-($D$90+$J$90)*(W$5=0)+IF(AND(W$5-$K$90&gt;=1,W$5-$K$90&lt;=Inputs!$C$13),INDEX($N$93:$AL$93,1,W$5-$K$90+1)*INDEX($N$94:$AL$94,1,W$5-$K$90+1),0)-$I$90*((W$5=Inputs!$C$12)*$C$92*$D$90+(W$5=Inputs!$C$13)*$D$92*($D$90+Inputs!$C$14))+$I$90*((W$5=Inputs!$C$15+$K$90)*$E$92*$I$92+(W$5=Inputs!$C$16+$K$90)*$F$92*$J$92+(W$5=Inputs!$C$17)*$G$92*$H$90*$H$92)</f>
        <v>152.334</v>
      </c>
      <c r="X95" s="42" t="n">
        <f aca="false">-($D$90+$J$90)*(X$5=0)+IF(AND(X$5-$K$90&gt;=1,X$5-$K$90&lt;=Inputs!$C$13),INDEX($N$93:$AL$93,1,X$5-$K$90+1)*INDEX($N$94:$AL$94,1,X$5-$K$90+1),0)-$I$90*((X$5=Inputs!$C$12)*$C$92*$D$90+(X$5=Inputs!$C$13)*$D$92*($D$90+Inputs!$C$14))+$I$90*((X$5=Inputs!$C$15+$K$90)*$E$92*$I$92+(X$5=Inputs!$C$16+$K$90)*$F$92*$J$92+(X$5=Inputs!$C$17)*$G$92*$H$90*$H$92)</f>
        <v>152.334</v>
      </c>
      <c r="Y95" s="42" t="n">
        <f aca="false">-($D$90+$J$90)*(Y$5=0)+IF(AND(Y$5-$K$90&gt;=1,Y$5-$K$90&lt;=Inputs!$C$13),INDEX($N$93:$AL$93,1,Y$5-$K$90+1)*INDEX($N$94:$AL$94,1,Y$5-$K$90+1),0)-$I$90*((Y$5=Inputs!$C$12)*$C$92*$D$90+(Y$5=Inputs!$C$13)*$D$92*($D$90+Inputs!$C$14))+$I$90*((Y$5=Inputs!$C$15+$K$90)*$E$92*$I$92+(Y$5=Inputs!$C$16+$K$90)*$F$92*$J$92+(Y$5=Inputs!$C$17)*$G$92*$H$90*$H$92)</f>
        <v>128.898</v>
      </c>
      <c r="Z95" s="42" t="n">
        <f aca="false">-($D$90+$J$90)*(Z$5=0)+IF(AND(Z$5-$K$90&gt;=1,Z$5-$K$90&lt;=Inputs!$C$13),INDEX($N$93:$AL$93,1,Z$5-$K$90+1)*INDEX($N$94:$AL$94,1,Z$5-$K$90+1),0)-$I$90*((Z$5=Inputs!$C$12)*$C$92*$D$90+(Z$5=Inputs!$C$13)*$D$92*($D$90+Inputs!$C$14))+$I$90*((Z$5=Inputs!$C$15+$K$90)*$E$92*$I$92+(Z$5=Inputs!$C$16+$K$90)*$F$92*$J$92+(Z$5=Inputs!$C$17)*$G$92*$H$90*$H$92)</f>
        <v>-926.622</v>
      </c>
      <c r="AA95" s="42" t="n">
        <f aca="false">-($D$90+$J$90)*(AA$5=0)+IF(AND(AA$5-$K$90&gt;=1,AA$5-$K$90&lt;=Inputs!$C$13),INDEX($N$93:$AL$93,1,AA$5-$K$90+1)*INDEX($N$94:$AL$94,1,AA$5-$K$90+1),0)-$I$90*((AA$5=Inputs!$C$12)*$C$92*$D$90+(AA$5=Inputs!$C$13)*$D$92*($D$90+Inputs!$C$14))+$I$90*((AA$5=Inputs!$C$15+$K$90)*$E$92*$I$92+(AA$5=Inputs!$C$16+$K$90)*$F$92*$J$92+(AA$5=Inputs!$C$17)*$G$92*$H$90*$H$92)</f>
        <v>128.898</v>
      </c>
      <c r="AB95" s="42" t="n">
        <f aca="false">-($D$90+$J$90)*(AB$5=0)+IF(AND(AB$5-$K$90&gt;=1,AB$5-$K$90&lt;=Inputs!$C$13),INDEX($N$93:$AL$93,1,AB$5-$K$90+1)*INDEX($N$94:$AL$94,1,AB$5-$K$90+1),0)-$I$90*((AB$5=Inputs!$C$12)*$C$92*$D$90+(AB$5=Inputs!$C$13)*$D$92*($D$90+Inputs!$C$14))+$I$90*((AB$5=Inputs!$C$15+$K$90)*$E$92*$I$92+(AB$5=Inputs!$C$16+$K$90)*$F$92*$J$92+(AB$5=Inputs!$C$17)*$G$92*$H$90*$H$92)</f>
        <v>161.3178</v>
      </c>
      <c r="AC95" s="42" t="n">
        <f aca="false">-($D$90+$J$90)*(AC$5=0)+IF(AND(AC$5-$K$90&gt;=1,AC$5-$K$90&lt;=Inputs!$C$13),INDEX($N$93:$AL$93,1,AC$5-$K$90+1)*INDEX($N$94:$AL$94,1,AC$5-$K$90+1),0)-$I$90*((AC$5=Inputs!$C$12)*$C$92*$D$90+(AC$5=Inputs!$C$13)*$D$92*($D$90+Inputs!$C$14))+$I$90*((AC$5=Inputs!$C$15+$K$90)*$E$92*$I$92+(AC$5=Inputs!$C$16+$K$90)*$F$92*$J$92+(AC$5=Inputs!$C$17)*$G$92*$H$90*$H$92)</f>
        <v>162.4896</v>
      </c>
      <c r="AD95" s="42" t="n">
        <f aca="false">-($D$90+$J$90)*(AD$5=0)+IF(AND(AD$5-$K$90&gt;=1,AD$5-$K$90&lt;=Inputs!$C$13),INDEX($N$93:$AL$93,1,AD$5-$K$90+1)*INDEX($N$94:$AL$94,1,AD$5-$K$90+1),0)-$I$90*((AD$5=Inputs!$C$12)*$C$92*$D$90+(AD$5=Inputs!$C$13)*$D$92*($D$90+Inputs!$C$14))+$I$90*((AD$5=Inputs!$C$15+$K$90)*$E$92*$I$92+(AD$5=Inputs!$C$16+$K$90)*$F$92*$J$92+(AD$5=Inputs!$C$17)*$G$92*$H$90*$H$92)</f>
        <v>163.661400000001</v>
      </c>
      <c r="AE95" s="42" t="n">
        <f aca="false">-($D$90+$J$90)*(AE$5=0)+IF(AND(AE$5-$K$90&gt;=1,AE$5-$K$90&lt;=Inputs!$C$13),INDEX($N$93:$AL$93,1,AE$5-$K$90+1)*INDEX($N$94:$AL$94,1,AE$5-$K$90+1),0)-$I$90*((AE$5=Inputs!$C$12)*$C$92*$D$90+(AE$5=Inputs!$C$13)*$D$92*($D$90+Inputs!$C$14))+$I$90*((AE$5=Inputs!$C$15+$K$90)*$E$92*$I$92+(AE$5=Inputs!$C$16+$K$90)*$F$92*$J$92+(AE$5=Inputs!$C$17)*$G$92*$H$90*$H$92)</f>
        <v>164.8332</v>
      </c>
      <c r="AF95" s="42" t="n">
        <f aca="false">-($D$90+$J$90)*(AF$5=0)+IF(AND(AF$5-$K$90&gt;=1,AF$5-$K$90&lt;=Inputs!$C$13),INDEX($N$93:$AL$93,1,AF$5-$K$90+1)*INDEX($N$94:$AL$94,1,AF$5-$K$90+1),0)-$I$90*((AF$5=Inputs!$C$12)*$C$92*$D$90+(AF$5=Inputs!$C$13)*$D$92*($D$90+Inputs!$C$14))+$I$90*((AF$5=Inputs!$C$15+$K$90)*$E$92*$I$92+(AF$5=Inputs!$C$16+$K$90)*$F$92*$J$92+(AF$5=Inputs!$C$17)*$G$92*$H$90*$H$92)</f>
        <v>166.005</v>
      </c>
      <c r="AG95" s="42" t="n">
        <f aca="false">-($D$90+$J$90)*(AG$5=0)+IF(AND(AG$5-$K$90&gt;=1,AG$5-$K$90&lt;=Inputs!$C$13),INDEX($N$93:$AL$93,1,AG$5-$K$90+1)*INDEX($N$94:$AL$94,1,AG$5-$K$90+1),0)-$I$90*((AG$5=Inputs!$C$12)*$C$92*$D$90+(AG$5=Inputs!$C$13)*$D$92*($D$90+Inputs!$C$14))+$I$90*((AG$5=Inputs!$C$15+$K$90)*$E$92*$I$92+(AG$5=Inputs!$C$16+$K$90)*$F$92*$J$92+(AG$5=Inputs!$C$17)*$G$92*$H$90*$H$92)</f>
        <v>167.1768</v>
      </c>
      <c r="AH95" s="42" t="n">
        <f aca="false">-($D$90+$J$90)*(AH$5=0)+IF(AND(AH$5-$K$90&gt;=1,AH$5-$K$90&lt;=Inputs!$C$13),INDEX($N$93:$AL$93,1,AH$5-$K$90+1)*INDEX($N$94:$AL$94,1,AH$5-$K$90+1),0)-$I$90*((AH$5=Inputs!$C$12)*$C$92*$D$90+(AH$5=Inputs!$C$13)*$D$92*($D$90+Inputs!$C$14))+$I$90*((AH$5=Inputs!$C$15+$K$90)*$E$92*$I$92+(AH$5=Inputs!$C$16+$K$90)*$F$92*$J$92+(AH$5=Inputs!$C$17)*$G$92*$H$90*$H$92)</f>
        <v>120.249</v>
      </c>
      <c r="AI95" s="42" t="n">
        <f aca="false">-($D$90+$J$90)*(AI$5=0)+IF(AND(AI$5-$K$90&gt;=1,AI$5-$K$90&lt;=Inputs!$C$13),INDEX($N$93:$AL$93,1,AI$5-$K$90+1)*INDEX($N$94:$AL$94,1,AI$5-$K$90+1),0)-$I$90*((AI$5=Inputs!$C$12)*$C$92*$D$90+(AI$5=Inputs!$C$13)*$D$92*($D$90+Inputs!$C$14))+$I$90*((AI$5=Inputs!$C$15+$K$90)*$E$92*$I$92+(AI$5=Inputs!$C$16+$K$90)*$F$92*$J$92+(AI$5=Inputs!$C$17)*$G$92*$H$90*$H$92)</f>
        <v>121.086</v>
      </c>
      <c r="AJ95" s="42" t="n">
        <f aca="false">-($D$90+$J$90)*(AJ$5=0)+IF(AND(AJ$5-$K$90&gt;=1,AJ$5-$K$90&lt;=Inputs!$C$13),INDEX($N$93:$AL$93,1,AJ$5-$K$90+1)*INDEX($N$94:$AL$94,1,AJ$5-$K$90+1),0)-$I$90*((AJ$5=Inputs!$C$12)*$C$92*$D$90+(AJ$5=Inputs!$C$13)*$D$92*($D$90+Inputs!$C$14))+$I$90*((AJ$5=Inputs!$C$15+$K$90)*$E$92*$I$92+(AJ$5=Inputs!$C$16+$K$90)*$F$92*$J$92+(AJ$5=Inputs!$C$17)*$G$92*$H$90*$H$92)</f>
        <v>121.923</v>
      </c>
      <c r="AK95" s="42" t="n">
        <f aca="false">-($D$90+$J$90)*(AK$5=0)+IF(AND(AK$5-$K$90&gt;=1,AK$5-$K$90&lt;=Inputs!$C$13),INDEX($N$93:$AL$93,1,AK$5-$K$90+1)*INDEX($N$94:$AL$94,1,AK$5-$K$90+1),0)-$I$90*((AK$5=Inputs!$C$12)*$C$92*$D$90+(AK$5=Inputs!$C$13)*$D$92*($D$90+Inputs!$C$14))+$I$90*((AK$5=Inputs!$C$15+$K$90)*$E$92*$I$92+(AK$5=Inputs!$C$16+$K$90)*$F$92*$J$92+(AK$5=Inputs!$C$17)*$G$92*$H$90*$H$92)</f>
        <v>122.76</v>
      </c>
      <c r="AL95" s="42" t="n">
        <f aca="false">-($D$90+$J$90)*(AL$5=0)+IF(AND(AL$5-$K$90&gt;=1,AL$5-$K$90&lt;=Inputs!$C$13),INDEX($N$93:$AL$93,1,AL$5-$K$90+1)*INDEX($N$94:$AL$94,1,AL$5-$K$90+1),0)-$I$90*((AL$5=Inputs!$C$12)*$C$92*$D$90+(AL$5=Inputs!$C$13)*$D$92*($D$90+Inputs!$C$14))+$I$90*((AL$5=Inputs!$C$15+$K$90)*$E$92*$I$92+(AL$5=Inputs!$C$16+$K$90)*$F$92*$J$92+(AL$5=Inputs!$C$17)*$G$92*$H$90*$H$92)</f>
        <v>-254.402999999999</v>
      </c>
      <c r="AM95" s="42" t="n">
        <f aca="false">-($D$90+$J$90)*(AM$5=0)+IF(AND(AM$5-$K$90&gt;=1,AM$5-$K$90&lt;=Inputs!$C$13),INDEX($N$93:$AL$93,1,AM$5-$K$90+1)*INDEX($N$94:$AL$94,1,AM$5-$K$90+1),0)-$I$90*((AM$5=Inputs!$C$12)*$C$92*$D$90+(AM$5=Inputs!$C$13)*$D$92*($D$90+Inputs!$C$14))+$I$90*((AM$5=Inputs!$C$15+$K$90)*$E$92*$I$92+(AM$5=Inputs!$C$16+$K$90)*$F$92*$J$92+(AM$5=Inputs!$C$17)*$G$92*$H$90*$H$92)</f>
        <v>124.434</v>
      </c>
      <c r="AN95" s="42" t="n">
        <f aca="false">-($D$90+$J$90)*(AN$5=0)+IF(AND(AN$5-$K$90&gt;=1,AN$5-$K$90&lt;=Inputs!$C$13),INDEX($N$93:$AL$93,1,AN$5-$K$90+1)*INDEX($N$94:$AL$94,1,AN$5-$K$90+1),0)-$I$90*((AN$5=Inputs!$C$12)*$C$92*$D$90+(AN$5=Inputs!$C$13)*$D$92*($D$90+Inputs!$C$14))+$I$90*((AN$5=Inputs!$C$15+$K$90)*$E$92*$I$92+(AN$5=Inputs!$C$16+$K$90)*$F$92*$J$92+(AN$5=Inputs!$C$17)*$G$92*$H$90*$H$92)</f>
        <v>0</v>
      </c>
      <c r="AO95" s="42" t="n">
        <f aca="false">-($D$90+$J$90)*(AO$5=0)+IF(AND(AO$5-$K$90&gt;=1,AO$5-$K$90&lt;=Inputs!$C$13),INDEX($N$93:$AL$93,1,AO$5-$K$90+1)*INDEX($N$94:$AL$94,1,AO$5-$K$90+1),0)-$I$90*((AO$5=Inputs!$C$12)*$C$92*$D$90+(AO$5=Inputs!$C$13)*$D$92*($D$90+Inputs!$C$14))+$I$90*((AO$5=Inputs!$C$15+$K$90)*$E$92*$I$92+(AO$5=Inputs!$C$16+$K$90)*$F$92*$J$92+(AO$5=Inputs!$C$17)*$G$92*$H$90*$H$92)</f>
        <v>0</v>
      </c>
      <c r="AP95" s="42" t="n">
        <f aca="false">-($D$90+$J$90)*(AP$5=0)+IF(AND(AP$5-$K$90&gt;=1,AP$5-$K$90&lt;=Inputs!$C$13),INDEX($N$93:$AL$93,1,AP$5-$K$90+1)*INDEX($N$94:$AL$94,1,AP$5-$K$90+1),0)-$I$90*((AP$5=Inputs!$C$12)*$C$92*$D$90+(AP$5=Inputs!$C$13)*$D$92*($D$90+Inputs!$C$14))+$I$90*((AP$5=Inputs!$C$15+$K$90)*$E$92*$I$92+(AP$5=Inputs!$C$16+$K$90)*$F$92*$J$92+(AP$5=Inputs!$C$17)*$G$92*$H$90*$H$92)</f>
        <v>577.584</v>
      </c>
      <c r="AQ95" s="42" t="n">
        <f aca="false">-($D$90+$J$90)*(AQ$5=0)+IF(AND(AQ$5-$K$90&gt;=1,AQ$5-$K$90&lt;=Inputs!$C$13),INDEX($N$93:$AL$93,1,AQ$5-$K$90+1)*INDEX($N$94:$AL$94,1,AQ$5-$K$90+1),0)-$I$90*((AQ$5=Inputs!$C$12)*$C$92*$D$90+(AQ$5=Inputs!$C$13)*$D$92*($D$90+Inputs!$C$14))+$I$90*((AQ$5=Inputs!$C$15+$K$90)*$E$92*$I$92+(AQ$5=Inputs!$C$16+$K$90)*$F$92*$J$92+(AQ$5=Inputs!$C$17)*$G$92*$H$90*$H$92)</f>
        <v>0</v>
      </c>
      <c r="AR95" s="42" t="n">
        <f aca="false">-($D$90+$J$90)*(AR$5=0)+IF(AND(AR$5-$K$90&gt;=1,AR$5-$K$90&lt;=Inputs!$C$13),INDEX($N$93:$AL$93,1,AR$5-$K$90+1)*INDEX($N$94:$AL$94,1,AR$5-$K$90+1),0)-$I$90*((AR$5=Inputs!$C$12)*$C$92*$D$90+(AR$5=Inputs!$C$13)*$D$92*($D$90+Inputs!$C$14))+$I$90*((AR$5=Inputs!$C$15+$K$90)*$E$92*$I$92+(AR$5=Inputs!$C$16+$K$90)*$F$92*$J$92+(AR$5=Inputs!$C$17)*$G$92*$H$90*$H$92)</f>
        <v>0</v>
      </c>
      <c r="AS95" s="42" t="n">
        <f aca="false">-($D$90+$J$90)*(AS$5=0)+IF(AND(AS$5-$K$90&gt;=1,AS$5-$K$90&lt;=Inputs!$C$13),INDEX($N$93:$AL$93,1,AS$5-$K$90+1)*INDEX($N$94:$AL$94,1,AS$5-$K$90+1),0)-$I$90*((AS$5=Inputs!$C$12)*$C$92*$D$90+(AS$5=Inputs!$C$13)*$D$92*($D$90+Inputs!$C$14))+$I$90*((AS$5=Inputs!$C$15+$K$90)*$E$92*$I$92+(AS$5=Inputs!$C$16+$K$90)*$F$92*$J$92+(AS$5=Inputs!$C$17)*$G$92*$H$90*$H$92)</f>
        <v>335.0088</v>
      </c>
      <c r="AT95" s="42" t="n">
        <f aca="false">-($D$90+$J$90)*(AT$5=0)+IF(AND(AT$5-$K$90&gt;=1,AT$5-$K$90&lt;=Inputs!$C$13),INDEX($N$93:$AL$93,1,AT$5-$K$90+1)*INDEX($N$94:$AL$94,1,AT$5-$K$90+1),0)-$I$90*((AT$5=Inputs!$C$12)*$C$92*$D$90+(AT$5=Inputs!$C$13)*$D$92*($D$90+Inputs!$C$14))+$I$90*((AT$5=Inputs!$C$15+$K$90)*$E$92*$I$92+(AT$5=Inputs!$C$16+$K$90)*$F$92*$J$92+(AT$5=Inputs!$C$17)*$G$92*$H$90*$H$92)</f>
        <v>0</v>
      </c>
      <c r="AU95" s="42" t="n">
        <f aca="false">-($D$90+$J$90)*(AU$5=0)+IF(AND(AU$5-$K$90&gt;=1,AU$5-$K$90&lt;=Inputs!$C$13),INDEX($N$93:$AL$93,1,AU$5-$K$90+1)*INDEX($N$94:$AL$94,1,AU$5-$K$90+1),0)-$I$90*((AU$5=Inputs!$C$12)*$C$92*$D$90+(AU$5=Inputs!$C$13)*$D$92*($D$90+Inputs!$C$14))+$I$90*((AU$5=Inputs!$C$15+$K$90)*$E$92*$I$92+(AU$5=Inputs!$C$16+$K$90)*$F$92*$J$92+(AU$5=Inputs!$C$17)*$G$92*$H$90*$H$92)</f>
        <v>0</v>
      </c>
      <c r="AV95" s="42" t="n">
        <f aca="false">-($D$90+$J$90)*(AV$5=0)+IF(AND(AV$5-$K$90&gt;=1,AV$5-$K$90&lt;=Inputs!$C$13),INDEX($N$93:$AL$93,1,AV$5-$K$90+1)*INDEX($N$94:$AL$94,1,AV$5-$K$90+1),0)-$I$90*((AV$5=Inputs!$C$12)*$C$92*$D$90+(AV$5=Inputs!$C$13)*$D$92*($D$90+Inputs!$C$14))+$I$90*((AV$5=Inputs!$C$15+$K$90)*$E$92*$I$92+(AV$5=Inputs!$C$16+$K$90)*$F$92*$J$92+(AV$5=Inputs!$C$17)*$G$92*$H$90*$H$92)</f>
        <v>0</v>
      </c>
      <c r="AW95" s="42" t="n">
        <f aca="false">-($D$90+$J$90)*(AW$5=0)+IF(AND(AW$5-$K$90&gt;=1,AW$5-$K$90&lt;=Inputs!$C$13),INDEX($N$93:$AL$93,1,AW$5-$K$90+1)*INDEX($N$94:$AL$94,1,AW$5-$K$90+1),0)-$I$90*((AW$5=Inputs!$C$12)*$C$92*$D$90+(AW$5=Inputs!$C$13)*$D$92*($D$90+Inputs!$C$14))+$I$90*((AW$5=Inputs!$C$15+$K$90)*$E$92*$I$92+(AW$5=Inputs!$C$16+$K$90)*$F$92*$J$92+(AW$5=Inputs!$C$17)*$G$92*$H$90*$H$92)</f>
        <v>0</v>
      </c>
      <c r="AX95" s="42" t="n">
        <f aca="false">-($D$90+$J$90)*(AX$5=0)+IF(AND(AX$5-$K$90&gt;=1,AX$5-$K$90&lt;=Inputs!$C$13),INDEX($N$93:$AL$93,1,AX$5-$K$90+1)*INDEX($N$94:$AL$94,1,AX$5-$K$90+1),0)-$I$90*((AX$5=Inputs!$C$12)*$C$92*$D$90+(AX$5=Inputs!$C$13)*$D$92*($D$90+Inputs!$C$14))+$I$90*((AX$5=Inputs!$C$15+$K$90)*$E$92*$I$92+(AX$5=Inputs!$C$16+$K$90)*$F$92*$J$92+(AX$5=Inputs!$C$17)*$G$92*$H$90*$H$92)</f>
        <v>47.628</v>
      </c>
      <c r="AY95" s="42" t="n">
        <f aca="false">-($D$90+$J$90)*(AY$5=0)+IF(AND(AY$5-$K$90&gt;=1,AY$5-$K$90&lt;=Inputs!$C$13),INDEX($N$93:$AL$93,1,AY$5-$K$90+1)*INDEX($N$94:$AL$94,1,AY$5-$K$90+1),0)-$I$90*((AY$5=Inputs!$C$12)*$C$92*$D$90+(AY$5=Inputs!$C$13)*$D$92*($D$90+Inputs!$C$14))+$I$90*((AY$5=Inputs!$C$15+$K$90)*$E$92*$I$92+(AY$5=Inputs!$C$16+$K$90)*$F$92*$J$92+(AY$5=Inputs!$C$17)*$G$92*$H$90*$H$92)</f>
        <v>0</v>
      </c>
    </row>
    <row r="97" customFormat="false" ht="15" hidden="false" customHeight="false" outlineLevel="0" collapsed="false">
      <c r="B97" s="7" t="s">
        <v>197</v>
      </c>
      <c r="C97" s="8"/>
      <c r="D97" s="8"/>
      <c r="E97" s="8"/>
      <c r="F97" s="8"/>
      <c r="G97" s="8"/>
      <c r="H97" s="8"/>
      <c r="I97" s="8"/>
      <c r="J97" s="8"/>
      <c r="K97" s="8"/>
      <c r="L97" s="8"/>
    </row>
    <row r="98" customFormat="false" ht="30" hidden="false" customHeight="true" outlineLevel="0" collapsed="false">
      <c r="B98" s="37"/>
      <c r="C98" s="38" t="s">
        <v>169</v>
      </c>
      <c r="D98" s="38" t="s">
        <v>170</v>
      </c>
      <c r="E98" s="38" t="s">
        <v>171</v>
      </c>
      <c r="F98" s="38" t="s">
        <v>43</v>
      </c>
      <c r="G98" s="38" t="s">
        <v>44</v>
      </c>
      <c r="H98" s="38" t="s">
        <v>45</v>
      </c>
      <c r="I98" s="38" t="s">
        <v>172</v>
      </c>
      <c r="J98" s="38" t="s">
        <v>90</v>
      </c>
      <c r="K98" s="38" t="s">
        <v>89</v>
      </c>
      <c r="L98" s="38" t="s">
        <v>173</v>
      </c>
    </row>
    <row r="99" customFormat="false" ht="15" hidden="false" customHeight="false" outlineLevel="0" collapsed="false">
      <c r="B99" s="39" t="s">
        <v>174</v>
      </c>
      <c r="C99" s="26" t="n">
        <f aca="false">Class_IRR!$E$5</f>
        <v>0.03</v>
      </c>
      <c r="D99" s="30" t="n">
        <f aca="false">Inputs!$E$24</f>
        <v>3600</v>
      </c>
      <c r="E99" s="26" t="n">
        <f aca="false">Inputs!$F$24</f>
        <v>0.93</v>
      </c>
      <c r="F99" s="25" t="n">
        <f aca="false">Inputs!$G$24</f>
        <v>0.6</v>
      </c>
      <c r="G99" s="25" t="n">
        <f aca="false">Inputs!$H$24</f>
        <v>0.85</v>
      </c>
      <c r="H99" s="25" t="n">
        <f aca="false">Inputs!$I$24</f>
        <v>0.9</v>
      </c>
      <c r="I99" s="22" t="n">
        <f aca="false">Inputs!$J$24</f>
        <v>1</v>
      </c>
      <c r="J99" s="23" t="n">
        <f aca="false">Inputs!$C$9</f>
        <v>10</v>
      </c>
      <c r="K99" s="22" t="n">
        <f aca="false">Inputs!$C$10</f>
        <v>1</v>
      </c>
      <c r="L99" s="22" t="n">
        <f aca="false">1</f>
        <v>1</v>
      </c>
    </row>
    <row r="100" customFormat="false" ht="30" hidden="false" customHeight="true" outlineLevel="0" collapsed="false">
      <c r="B100" s="37"/>
      <c r="C100" s="38" t="s">
        <v>175</v>
      </c>
      <c r="D100" s="38" t="s">
        <v>176</v>
      </c>
      <c r="E100" s="38" t="s">
        <v>177</v>
      </c>
      <c r="F100" s="38" t="s">
        <v>178</v>
      </c>
      <c r="G100" s="38" t="s">
        <v>112</v>
      </c>
      <c r="H100" s="38" t="s">
        <v>179</v>
      </c>
      <c r="I100" s="38" t="s">
        <v>180</v>
      </c>
      <c r="J100" s="38" t="s">
        <v>181</v>
      </c>
      <c r="K100" s="38" t="s">
        <v>182</v>
      </c>
      <c r="L100" s="38" t="s">
        <v>183</v>
      </c>
    </row>
    <row r="101" customFormat="false" ht="15" hidden="false" customHeight="false" outlineLevel="0" collapsed="false">
      <c r="B101" s="39" t="s">
        <v>184</v>
      </c>
      <c r="C101" s="40" t="n">
        <f aca="false">1-$E$99*CHOOSE($L$99,INDEX(Timing!$C$7:$AA$7,1,Inputs!$C$12+1),INDEX(Timing!$C$8:$AA$8,1,Inputs!$C$12+1))</f>
        <v>0.2932</v>
      </c>
      <c r="D101" s="40" t="n">
        <f aca="false">1-$E$99*CHOOSE($L$99,INDEX(Timing!$C$7:$AA$7,1,Inputs!$C$13+1),INDEX(Timing!$C$8:$AA$8,1,Inputs!$C$13+1))</f>
        <v>0.07</v>
      </c>
      <c r="E101" s="40" t="n">
        <f aca="false">$I$99*$D$101*$F$99</f>
        <v>0.042</v>
      </c>
      <c r="F101" s="40" t="n">
        <f aca="false">$I$99*($D$101-$E$101)*$G$99</f>
        <v>0.0238</v>
      </c>
      <c r="G101" s="40" t="n">
        <f aca="false">$I$99*($D$101-$E$101-$F$101)</f>
        <v>0.0042</v>
      </c>
      <c r="H101" s="23" t="n">
        <f aca="false">$I$99*(3*$D$99+Inputs!$C$14)</f>
        <v>12600</v>
      </c>
      <c r="I101" s="23" t="n">
        <f aca="false">$I$99*($D$99*(1+IF($C$99&lt;=0,0,MAX($C$99*Inputs!$C$15/12,Inputs!$C$8)))+$D$99*(1+Inputs!$C$11*(Inputs!$C$15-Inputs!$C$12)/12)+$D$99*(1+Inputs!$C$11*(Inputs!$C$15-Inputs!$C$13)/12)+Inputs!$C$14)</f>
        <v>13815</v>
      </c>
      <c r="J101" s="23" t="n">
        <f aca="false">$I$99*($D$99*(1+IF($C$99&lt;=0,0,MAX($C$99*Inputs!$C$16/12,Inputs!$C$8)))+$D$99*(1+Inputs!$C$11*(Inputs!$C$16-Inputs!$C$12)/12)+$D$99*(1+Inputs!$C$11*(Inputs!$C$16-Inputs!$C$13)/12)+Inputs!$C$14)</f>
        <v>14166</v>
      </c>
      <c r="K101" s="40" t="n">
        <f aca="false">IRR($N$104:$AY$104,0.005)</f>
        <v>0.00602366760327993</v>
      </c>
      <c r="L101" s="41" t="n">
        <f aca="false">(1+$K$101)^12-1</f>
        <v>0.0747275355424011</v>
      </c>
    </row>
    <row r="102" customFormat="false" ht="15" hidden="false" customHeight="false" outlineLevel="0" collapsed="false">
      <c r="B102" s="9" t="s">
        <v>185</v>
      </c>
      <c r="N102" s="40" t="n">
        <f aca="false">0</f>
        <v>0</v>
      </c>
      <c r="O102" s="40" t="n">
        <f aca="false">$E$99*(CHOOSE($L$99,Timing!D$7,Timing!D$8)-CHOOSE($L$99,Timing!C$7,Timing!C$8))</f>
        <v>0.1116</v>
      </c>
      <c r="P102" s="40" t="n">
        <f aca="false">$E$99*(CHOOSE($L$99,Timing!E$7,Timing!E$8)-CHOOSE($L$99,Timing!D$7,Timing!D$8))</f>
        <v>0.093</v>
      </c>
      <c r="Q102" s="40" t="n">
        <f aca="false">$E$99*(CHOOSE($L$99,Timing!F$7,Timing!F$8)-CHOOSE($L$99,Timing!E$7,Timing!E$8))</f>
        <v>0.0837</v>
      </c>
      <c r="R102" s="40" t="n">
        <f aca="false">$E$99*(CHOOSE($L$99,Timing!G$7,Timing!G$8)-CHOOSE($L$99,Timing!F$7,Timing!F$8))</f>
        <v>0.0651</v>
      </c>
      <c r="S102" s="40" t="n">
        <f aca="false">$E$99*(CHOOSE($L$99,Timing!H$7,Timing!H$8)-CHOOSE($L$99,Timing!G$7,Timing!G$8))</f>
        <v>0.0651</v>
      </c>
      <c r="T102" s="40" t="n">
        <f aca="false">$E$99*(CHOOSE($L$99,Timing!I$7,Timing!I$8)-CHOOSE($L$99,Timing!H$7,Timing!H$8))</f>
        <v>0.0651</v>
      </c>
      <c r="U102" s="40" t="n">
        <f aca="false">$E$99*(CHOOSE($L$99,Timing!J$7,Timing!J$8)-CHOOSE($L$99,Timing!I$7,Timing!I$8))</f>
        <v>0.0403</v>
      </c>
      <c r="V102" s="40" t="n">
        <f aca="false">$E$99*(CHOOSE($L$99,Timing!K$7,Timing!K$8)-CHOOSE($L$99,Timing!J$7,Timing!J$8))</f>
        <v>0.0403</v>
      </c>
      <c r="W102" s="40" t="n">
        <f aca="false">$E$99*(CHOOSE($L$99,Timing!L$7,Timing!L$8)-CHOOSE($L$99,Timing!K$7,Timing!K$8))</f>
        <v>0.0403</v>
      </c>
      <c r="X102" s="40" t="n">
        <f aca="false">$E$99*(CHOOSE($L$99,Timing!M$7,Timing!M$8)-CHOOSE($L$99,Timing!L$7,Timing!L$8))</f>
        <v>0.0341</v>
      </c>
      <c r="Y102" s="40" t="n">
        <f aca="false">$E$99*(CHOOSE($L$99,Timing!N$7,Timing!N$8)-CHOOSE($L$99,Timing!M$7,Timing!M$8))</f>
        <v>0.0341000000000001</v>
      </c>
      <c r="Z102" s="40" t="n">
        <f aca="false">$E$99*(CHOOSE($L$99,Timing!O$7,Timing!O$8)-CHOOSE($L$99,Timing!N$7,Timing!N$8))</f>
        <v>0.0341</v>
      </c>
      <c r="AA102" s="40" t="n">
        <f aca="false">$E$99*(CHOOSE($L$99,Timing!P$7,Timing!P$8)-CHOOSE($L$99,Timing!O$7,Timing!O$8))</f>
        <v>0.0217</v>
      </c>
      <c r="AB102" s="40" t="n">
        <f aca="false">$E$99*(CHOOSE($L$99,Timing!Q$7,Timing!Q$8)-CHOOSE($L$99,Timing!P$7,Timing!P$8))</f>
        <v>0.0217</v>
      </c>
      <c r="AC102" s="40" t="n">
        <f aca="false">$E$99*(CHOOSE($L$99,Timing!R$7,Timing!R$8)-CHOOSE($L$99,Timing!Q$7,Timing!Q$8))</f>
        <v>0.0217000000000001</v>
      </c>
      <c r="AD102" s="40" t="n">
        <f aca="false">$E$99*(CHOOSE($L$99,Timing!S$7,Timing!S$8)-CHOOSE($L$99,Timing!R$7,Timing!R$8))</f>
        <v>0.0217</v>
      </c>
      <c r="AE102" s="40" t="n">
        <f aca="false">$E$99*(CHOOSE($L$99,Timing!T$7,Timing!T$8)-CHOOSE($L$99,Timing!S$7,Timing!S$8))</f>
        <v>0.0217</v>
      </c>
      <c r="AF102" s="40" t="n">
        <f aca="false">$E$99*(CHOOSE($L$99,Timing!U$7,Timing!U$8)-CHOOSE($L$99,Timing!T$7,Timing!T$8))</f>
        <v>0.0217</v>
      </c>
      <c r="AG102" s="40" t="n">
        <f aca="false">$E$99*(CHOOSE($L$99,Timing!V$7,Timing!V$8)-CHOOSE($L$99,Timing!U$7,Timing!U$8))</f>
        <v>0.0155</v>
      </c>
      <c r="AH102" s="40" t="n">
        <f aca="false">$E$99*(CHOOSE($L$99,Timing!W$7,Timing!W$8)-CHOOSE($L$99,Timing!V$7,Timing!V$8))</f>
        <v>0.0154999999999999</v>
      </c>
      <c r="AI102" s="40" t="n">
        <f aca="false">$E$99*(CHOOSE($L$99,Timing!X$7,Timing!X$8)-CHOOSE($L$99,Timing!W$7,Timing!W$8))</f>
        <v>0.0154999999999999</v>
      </c>
      <c r="AJ102" s="40" t="n">
        <f aca="false">$E$99*(CHOOSE($L$99,Timing!Y$7,Timing!Y$8)-CHOOSE($L$99,Timing!X$7,Timing!X$8))</f>
        <v>0.0155</v>
      </c>
      <c r="AK102" s="40" t="n">
        <f aca="false">$E$99*(CHOOSE($L$99,Timing!Z$7,Timing!Z$8)-CHOOSE($L$99,Timing!Y$7,Timing!Y$8))</f>
        <v>0.0155</v>
      </c>
      <c r="AL102" s="40" t="n">
        <f aca="false">$E$99*(CHOOSE($L$99,Timing!AA$7,Timing!AA$8)-CHOOSE($L$99,Timing!Z$7,Timing!Z$8))</f>
        <v>0.0154999999999999</v>
      </c>
    </row>
    <row r="103" customFormat="false" ht="15" hidden="false" customHeight="false" outlineLevel="0" collapsed="false">
      <c r="B103" s="9" t="s">
        <v>186</v>
      </c>
      <c r="N103" s="42" t="n">
        <f aca="false">0</f>
        <v>0</v>
      </c>
      <c r="O103" s="42" t="n">
        <f aca="false">$D$99*(1+IF($C$99&lt;=0,0,MAX($C$99*O$5/12,Inputs!$C$8)))+$I$99*(O$5&gt;Inputs!$C$12)*$D$99*(1+Inputs!$C$11*(O$5-Inputs!$C$12)/12)</f>
        <v>3780</v>
      </c>
      <c r="P103" s="42" t="n">
        <f aca="false">$D$99*(1+IF($C$99&lt;=0,0,MAX($C$99*P$5/12,Inputs!$C$8)))+$I$99*(P$5&gt;Inputs!$C$12)*$D$99*(1+Inputs!$C$11*(P$5-Inputs!$C$12)/12)</f>
        <v>3780</v>
      </c>
      <c r="Q103" s="42" t="n">
        <f aca="false">$D$99*(1+IF($C$99&lt;=0,0,MAX($C$99*Q$5/12,Inputs!$C$8)))+$I$99*(Q$5&gt;Inputs!$C$12)*$D$99*(1+Inputs!$C$11*(Q$5-Inputs!$C$12)/12)</f>
        <v>3780</v>
      </c>
      <c r="R103" s="42" t="n">
        <f aca="false">$D$99*(1+IF($C$99&lt;=0,0,MAX($C$99*R$5/12,Inputs!$C$8)))+$I$99*(R$5&gt;Inputs!$C$12)*$D$99*(1+Inputs!$C$11*(R$5-Inputs!$C$12)/12)</f>
        <v>3780</v>
      </c>
      <c r="S103" s="42" t="n">
        <f aca="false">$D$99*(1+IF($C$99&lt;=0,0,MAX($C$99*S$5/12,Inputs!$C$8)))+$I$99*(S$5&gt;Inputs!$C$12)*$D$99*(1+Inputs!$C$11*(S$5-Inputs!$C$12)/12)</f>
        <v>3780</v>
      </c>
      <c r="T103" s="42" t="n">
        <f aca="false">$D$99*(1+IF($C$99&lt;=0,0,MAX($C$99*T$5/12,Inputs!$C$8)))+$I$99*(T$5&gt;Inputs!$C$12)*$D$99*(1+Inputs!$C$11*(T$5-Inputs!$C$12)/12)</f>
        <v>3780</v>
      </c>
      <c r="U103" s="42" t="n">
        <f aca="false">$D$99*(1+IF($C$99&lt;=0,0,MAX($C$99*U$5/12,Inputs!$C$8)))+$I$99*(U$5&gt;Inputs!$C$12)*$D$99*(1+Inputs!$C$11*(U$5-Inputs!$C$12)/12)</f>
        <v>3780</v>
      </c>
      <c r="V103" s="42" t="n">
        <f aca="false">$D$99*(1+IF($C$99&lt;=0,0,MAX($C$99*V$5/12,Inputs!$C$8)))+$I$99*(V$5&gt;Inputs!$C$12)*$D$99*(1+Inputs!$C$11*(V$5-Inputs!$C$12)/12)</f>
        <v>3780</v>
      </c>
      <c r="W103" s="42" t="n">
        <f aca="false">$D$99*(1+IF($C$99&lt;=0,0,MAX($C$99*W$5/12,Inputs!$C$8)))+$I$99*(W$5&gt;Inputs!$C$12)*$D$99*(1+Inputs!$C$11*(W$5-Inputs!$C$12)/12)</f>
        <v>3780</v>
      </c>
      <c r="X103" s="42" t="n">
        <f aca="false">$D$99*(1+IF($C$99&lt;=0,0,MAX($C$99*X$5/12,Inputs!$C$8)))+$I$99*(X$5&gt;Inputs!$C$12)*$D$99*(1+Inputs!$C$11*(X$5-Inputs!$C$12)/12)</f>
        <v>3780</v>
      </c>
      <c r="Y103" s="42" t="n">
        <f aca="false">$D$99*(1+IF($C$99&lt;=0,0,MAX($C$99*Y$5/12,Inputs!$C$8)))+$I$99*(Y$5&gt;Inputs!$C$12)*$D$99*(1+Inputs!$C$11*(Y$5-Inputs!$C$12)/12)</f>
        <v>3780</v>
      </c>
      <c r="Z103" s="42" t="n">
        <f aca="false">$D$99*(1+IF($C$99&lt;=0,0,MAX($C$99*Z$5/12,Inputs!$C$8)))+$I$99*(Z$5&gt;Inputs!$C$12)*$D$99*(1+Inputs!$C$11*(Z$5-Inputs!$C$12)/12)</f>
        <v>3780</v>
      </c>
      <c r="AA103" s="42" t="n">
        <f aca="false">$D$99*(1+IF($C$99&lt;=0,0,MAX($C$99*AA$5/12,Inputs!$C$8)))+$I$99*(AA$5&gt;Inputs!$C$12)*$D$99*(1+Inputs!$C$11*(AA$5-Inputs!$C$12)/12)</f>
        <v>7434</v>
      </c>
      <c r="AB103" s="42" t="n">
        <f aca="false">$D$99*(1+IF($C$99&lt;=0,0,MAX($C$99*AB$5/12,Inputs!$C$8)))+$I$99*(AB$5&gt;Inputs!$C$12)*$D$99*(1+Inputs!$C$11*(AB$5-Inputs!$C$12)/12)</f>
        <v>7488</v>
      </c>
      <c r="AC103" s="42" t="n">
        <f aca="false">$D$99*(1+IF($C$99&lt;=0,0,MAX($C$99*AC$5/12,Inputs!$C$8)))+$I$99*(AC$5&gt;Inputs!$C$12)*$D$99*(1+Inputs!$C$11*(AC$5-Inputs!$C$12)/12)</f>
        <v>7542</v>
      </c>
      <c r="AD103" s="42" t="n">
        <f aca="false">$D$99*(1+IF($C$99&lt;=0,0,MAX($C$99*AD$5/12,Inputs!$C$8)))+$I$99*(AD$5&gt;Inputs!$C$12)*$D$99*(1+Inputs!$C$11*(AD$5-Inputs!$C$12)/12)</f>
        <v>7596</v>
      </c>
      <c r="AE103" s="42" t="n">
        <f aca="false">$D$99*(1+IF($C$99&lt;=0,0,MAX($C$99*AE$5/12,Inputs!$C$8)))+$I$99*(AE$5&gt;Inputs!$C$12)*$D$99*(1+Inputs!$C$11*(AE$5-Inputs!$C$12)/12)</f>
        <v>7650</v>
      </c>
      <c r="AF103" s="42" t="n">
        <f aca="false">$D$99*(1+IF($C$99&lt;=0,0,MAX($C$99*AF$5/12,Inputs!$C$8)))+$I$99*(AF$5&gt;Inputs!$C$12)*$D$99*(1+Inputs!$C$11*(AF$5-Inputs!$C$12)/12)</f>
        <v>7704</v>
      </c>
      <c r="AG103" s="42" t="n">
        <f aca="false">$D$99*(1+IF($C$99&lt;=0,0,MAX($C$99*AG$5/12,Inputs!$C$8)))+$I$99*(AG$5&gt;Inputs!$C$12)*$D$99*(1+Inputs!$C$11*(AG$5-Inputs!$C$12)/12)</f>
        <v>7758</v>
      </c>
      <c r="AH103" s="42" t="n">
        <f aca="false">$D$99*(1+IF($C$99&lt;=0,0,MAX($C$99*AH$5/12,Inputs!$C$8)))+$I$99*(AH$5&gt;Inputs!$C$12)*$D$99*(1+Inputs!$C$11*(AH$5-Inputs!$C$12)/12)</f>
        <v>7812</v>
      </c>
      <c r="AI103" s="42" t="n">
        <f aca="false">$D$99*(1+IF($C$99&lt;=0,0,MAX($C$99*AI$5/12,Inputs!$C$8)))+$I$99*(AI$5&gt;Inputs!$C$12)*$D$99*(1+Inputs!$C$11*(AI$5-Inputs!$C$12)/12)</f>
        <v>7875</v>
      </c>
      <c r="AJ103" s="42" t="n">
        <f aca="false">$D$99*(1+IF($C$99&lt;=0,0,MAX($C$99*AJ$5/12,Inputs!$C$8)))+$I$99*(AJ$5&gt;Inputs!$C$12)*$D$99*(1+Inputs!$C$11*(AJ$5-Inputs!$C$12)/12)</f>
        <v>7938</v>
      </c>
      <c r="AK103" s="42" t="n">
        <f aca="false">$D$99*(1+IF($C$99&lt;=0,0,MAX($C$99*AK$5/12,Inputs!$C$8)))+$I$99*(AK$5&gt;Inputs!$C$12)*$D$99*(1+Inputs!$C$11*(AK$5-Inputs!$C$12)/12)</f>
        <v>8001</v>
      </c>
      <c r="AL103" s="42" t="n">
        <f aca="false">$D$99*(1+IF($C$99&lt;=0,0,MAX($C$99*AL$5/12,Inputs!$C$8)))+$I$99*(AL$5&gt;Inputs!$C$12)*$D$99*(1+Inputs!$C$11*(AL$5-Inputs!$C$12)/12)</f>
        <v>8064</v>
      </c>
    </row>
    <row r="104" customFormat="false" ht="15" hidden="false" customHeight="false" outlineLevel="0" collapsed="false">
      <c r="B104" s="31" t="s">
        <v>187</v>
      </c>
      <c r="N104" s="42" t="n">
        <f aca="false">-($D$99+$J$99)*(N$5=0)+IF(AND(N$5-$K$99&gt;=1,N$5-$K$99&lt;=Inputs!$C$13),INDEX($N$102:$AL$102,1,N$5-$K$99+1)*INDEX($N$103:$AL$103,1,N$5-$K$99+1),0)-$I$99*((N$5=Inputs!$C$12)*$C$101*$D$99+(N$5=Inputs!$C$13)*$D$101*($D$99+Inputs!$C$14))+$I$99*((N$5=Inputs!$C$15+$K$99)*$E$101*$I$101+(N$5=Inputs!$C$16+$K$99)*$F$101*$J$101+(N$5=Inputs!$C$17)*$G$101*$H$99*$H$101)</f>
        <v>-3610</v>
      </c>
      <c r="O104" s="42" t="n">
        <f aca="false">-($D$99+$J$99)*(O$5=0)+IF(AND(O$5-$K$99&gt;=1,O$5-$K$99&lt;=Inputs!$C$13),INDEX($N$102:$AL$102,1,O$5-$K$99+1)*INDEX($N$103:$AL$103,1,O$5-$K$99+1),0)-$I$99*((O$5=Inputs!$C$12)*$C$101*$D$99+(O$5=Inputs!$C$13)*$D$101*($D$99+Inputs!$C$14))+$I$99*((O$5=Inputs!$C$15+$K$99)*$E$101*$I$101+(O$5=Inputs!$C$16+$K$99)*$F$101*$J$101+(O$5=Inputs!$C$17)*$G$101*$H$99*$H$101)</f>
        <v>0</v>
      </c>
      <c r="P104" s="42" t="n">
        <f aca="false">-($D$99+$J$99)*(P$5=0)+IF(AND(P$5-$K$99&gt;=1,P$5-$K$99&lt;=Inputs!$C$13),INDEX($N$102:$AL$102,1,P$5-$K$99+1)*INDEX($N$103:$AL$103,1,P$5-$K$99+1),0)-$I$99*((P$5=Inputs!$C$12)*$C$101*$D$99+(P$5=Inputs!$C$13)*$D$101*($D$99+Inputs!$C$14))+$I$99*((P$5=Inputs!$C$15+$K$99)*$E$101*$I$101+(P$5=Inputs!$C$16+$K$99)*$F$101*$J$101+(P$5=Inputs!$C$17)*$G$101*$H$99*$H$101)</f>
        <v>421.848</v>
      </c>
      <c r="Q104" s="42" t="n">
        <f aca="false">-($D$99+$J$99)*(Q$5=0)+IF(AND(Q$5-$K$99&gt;=1,Q$5-$K$99&lt;=Inputs!$C$13),INDEX($N$102:$AL$102,1,Q$5-$K$99+1)*INDEX($N$103:$AL$103,1,Q$5-$K$99+1),0)-$I$99*((Q$5=Inputs!$C$12)*$C$101*$D$99+(Q$5=Inputs!$C$13)*$D$101*($D$99+Inputs!$C$14))+$I$99*((Q$5=Inputs!$C$15+$K$99)*$E$101*$I$101+(Q$5=Inputs!$C$16+$K$99)*$F$101*$J$101+(Q$5=Inputs!$C$17)*$G$101*$H$99*$H$101)</f>
        <v>351.54</v>
      </c>
      <c r="R104" s="42" t="n">
        <f aca="false">-($D$99+$J$99)*(R$5=0)+IF(AND(R$5-$K$99&gt;=1,R$5-$K$99&lt;=Inputs!$C$13),INDEX($N$102:$AL$102,1,R$5-$K$99+1)*INDEX($N$103:$AL$103,1,R$5-$K$99+1),0)-$I$99*((R$5=Inputs!$C$12)*$C$101*$D$99+(R$5=Inputs!$C$13)*$D$101*($D$99+Inputs!$C$14))+$I$99*((R$5=Inputs!$C$15+$K$99)*$E$101*$I$101+(R$5=Inputs!$C$16+$K$99)*$F$101*$J$101+(R$5=Inputs!$C$17)*$G$101*$H$99*$H$101)</f>
        <v>316.386</v>
      </c>
      <c r="S104" s="42" t="n">
        <f aca="false">-($D$99+$J$99)*(S$5=0)+IF(AND(S$5-$K$99&gt;=1,S$5-$K$99&lt;=Inputs!$C$13),INDEX($N$102:$AL$102,1,S$5-$K$99+1)*INDEX($N$103:$AL$103,1,S$5-$K$99+1),0)-$I$99*((S$5=Inputs!$C$12)*$C$101*$D$99+(S$5=Inputs!$C$13)*$D$101*($D$99+Inputs!$C$14))+$I$99*((S$5=Inputs!$C$15+$K$99)*$E$101*$I$101+(S$5=Inputs!$C$16+$K$99)*$F$101*$J$101+(S$5=Inputs!$C$17)*$G$101*$H$99*$H$101)</f>
        <v>246.078</v>
      </c>
      <c r="T104" s="42" t="n">
        <f aca="false">-($D$99+$J$99)*(T$5=0)+IF(AND(T$5-$K$99&gt;=1,T$5-$K$99&lt;=Inputs!$C$13),INDEX($N$102:$AL$102,1,T$5-$K$99+1)*INDEX($N$103:$AL$103,1,T$5-$K$99+1),0)-$I$99*((T$5=Inputs!$C$12)*$C$101*$D$99+(T$5=Inputs!$C$13)*$D$101*($D$99+Inputs!$C$14))+$I$99*((T$5=Inputs!$C$15+$K$99)*$E$101*$I$101+(T$5=Inputs!$C$16+$K$99)*$F$101*$J$101+(T$5=Inputs!$C$17)*$G$101*$H$99*$H$101)</f>
        <v>246.078</v>
      </c>
      <c r="U104" s="42" t="n">
        <f aca="false">-($D$99+$J$99)*(U$5=0)+IF(AND(U$5-$K$99&gt;=1,U$5-$K$99&lt;=Inputs!$C$13),INDEX($N$102:$AL$102,1,U$5-$K$99+1)*INDEX($N$103:$AL$103,1,U$5-$K$99+1),0)-$I$99*((U$5=Inputs!$C$12)*$C$101*$D$99+(U$5=Inputs!$C$13)*$D$101*($D$99+Inputs!$C$14))+$I$99*((U$5=Inputs!$C$15+$K$99)*$E$101*$I$101+(U$5=Inputs!$C$16+$K$99)*$F$101*$J$101+(U$5=Inputs!$C$17)*$G$101*$H$99*$H$101)</f>
        <v>246.078</v>
      </c>
      <c r="V104" s="42" t="n">
        <f aca="false">-($D$99+$J$99)*(V$5=0)+IF(AND(V$5-$K$99&gt;=1,V$5-$K$99&lt;=Inputs!$C$13),INDEX($N$102:$AL$102,1,V$5-$K$99+1)*INDEX($N$103:$AL$103,1,V$5-$K$99+1),0)-$I$99*((V$5=Inputs!$C$12)*$C$101*$D$99+(V$5=Inputs!$C$13)*$D$101*($D$99+Inputs!$C$14))+$I$99*((V$5=Inputs!$C$15+$K$99)*$E$101*$I$101+(V$5=Inputs!$C$16+$K$99)*$F$101*$J$101+(V$5=Inputs!$C$17)*$G$101*$H$99*$H$101)</f>
        <v>152.334</v>
      </c>
      <c r="W104" s="42" t="n">
        <f aca="false">-($D$99+$J$99)*(W$5=0)+IF(AND(W$5-$K$99&gt;=1,W$5-$K$99&lt;=Inputs!$C$13),INDEX($N$102:$AL$102,1,W$5-$K$99+1)*INDEX($N$103:$AL$103,1,W$5-$K$99+1),0)-$I$99*((W$5=Inputs!$C$12)*$C$101*$D$99+(W$5=Inputs!$C$13)*$D$101*($D$99+Inputs!$C$14))+$I$99*((W$5=Inputs!$C$15+$K$99)*$E$101*$I$101+(W$5=Inputs!$C$16+$K$99)*$F$101*$J$101+(W$5=Inputs!$C$17)*$G$101*$H$99*$H$101)</f>
        <v>152.334</v>
      </c>
      <c r="X104" s="42" t="n">
        <f aca="false">-($D$99+$J$99)*(X$5=0)+IF(AND(X$5-$K$99&gt;=1,X$5-$K$99&lt;=Inputs!$C$13),INDEX($N$102:$AL$102,1,X$5-$K$99+1)*INDEX($N$103:$AL$103,1,X$5-$K$99+1),0)-$I$99*((X$5=Inputs!$C$12)*$C$101*$D$99+(X$5=Inputs!$C$13)*$D$101*($D$99+Inputs!$C$14))+$I$99*((X$5=Inputs!$C$15+$K$99)*$E$101*$I$101+(X$5=Inputs!$C$16+$K$99)*$F$101*$J$101+(X$5=Inputs!$C$17)*$G$101*$H$99*$H$101)</f>
        <v>152.334</v>
      </c>
      <c r="Y104" s="42" t="n">
        <f aca="false">-($D$99+$J$99)*(Y$5=0)+IF(AND(Y$5-$K$99&gt;=1,Y$5-$K$99&lt;=Inputs!$C$13),INDEX($N$102:$AL$102,1,Y$5-$K$99+1)*INDEX($N$103:$AL$103,1,Y$5-$K$99+1),0)-$I$99*((Y$5=Inputs!$C$12)*$C$101*$D$99+(Y$5=Inputs!$C$13)*$D$101*($D$99+Inputs!$C$14))+$I$99*((Y$5=Inputs!$C$15+$K$99)*$E$101*$I$101+(Y$5=Inputs!$C$16+$K$99)*$F$101*$J$101+(Y$5=Inputs!$C$17)*$G$101*$H$99*$H$101)</f>
        <v>128.898</v>
      </c>
      <c r="Z104" s="42" t="n">
        <f aca="false">-($D$99+$J$99)*(Z$5=0)+IF(AND(Z$5-$K$99&gt;=1,Z$5-$K$99&lt;=Inputs!$C$13),INDEX($N$102:$AL$102,1,Z$5-$K$99+1)*INDEX($N$103:$AL$103,1,Z$5-$K$99+1),0)-$I$99*((Z$5=Inputs!$C$12)*$C$101*$D$99+(Z$5=Inputs!$C$13)*$D$101*($D$99+Inputs!$C$14))+$I$99*((Z$5=Inputs!$C$15+$K$99)*$E$101*$I$101+(Z$5=Inputs!$C$16+$K$99)*$F$101*$J$101+(Z$5=Inputs!$C$17)*$G$101*$H$99*$H$101)</f>
        <v>-926.622</v>
      </c>
      <c r="AA104" s="42" t="n">
        <f aca="false">-($D$99+$J$99)*(AA$5=0)+IF(AND(AA$5-$K$99&gt;=1,AA$5-$K$99&lt;=Inputs!$C$13),INDEX($N$102:$AL$102,1,AA$5-$K$99+1)*INDEX($N$103:$AL$103,1,AA$5-$K$99+1),0)-$I$99*((AA$5=Inputs!$C$12)*$C$101*$D$99+(AA$5=Inputs!$C$13)*$D$101*($D$99+Inputs!$C$14))+$I$99*((AA$5=Inputs!$C$15+$K$99)*$E$101*$I$101+(AA$5=Inputs!$C$16+$K$99)*$F$101*$J$101+(AA$5=Inputs!$C$17)*$G$101*$H$99*$H$101)</f>
        <v>128.898</v>
      </c>
      <c r="AB104" s="42" t="n">
        <f aca="false">-($D$99+$J$99)*(AB$5=0)+IF(AND(AB$5-$K$99&gt;=1,AB$5-$K$99&lt;=Inputs!$C$13),INDEX($N$102:$AL$102,1,AB$5-$K$99+1)*INDEX($N$103:$AL$103,1,AB$5-$K$99+1),0)-$I$99*((AB$5=Inputs!$C$12)*$C$101*$D$99+(AB$5=Inputs!$C$13)*$D$101*($D$99+Inputs!$C$14))+$I$99*((AB$5=Inputs!$C$15+$K$99)*$E$101*$I$101+(AB$5=Inputs!$C$16+$K$99)*$F$101*$J$101+(AB$5=Inputs!$C$17)*$G$101*$H$99*$H$101)</f>
        <v>161.3178</v>
      </c>
      <c r="AC104" s="42" t="n">
        <f aca="false">-($D$99+$J$99)*(AC$5=0)+IF(AND(AC$5-$K$99&gt;=1,AC$5-$K$99&lt;=Inputs!$C$13),INDEX($N$102:$AL$102,1,AC$5-$K$99+1)*INDEX($N$103:$AL$103,1,AC$5-$K$99+1),0)-$I$99*((AC$5=Inputs!$C$12)*$C$101*$D$99+(AC$5=Inputs!$C$13)*$D$101*($D$99+Inputs!$C$14))+$I$99*((AC$5=Inputs!$C$15+$K$99)*$E$101*$I$101+(AC$5=Inputs!$C$16+$K$99)*$F$101*$J$101+(AC$5=Inputs!$C$17)*$G$101*$H$99*$H$101)</f>
        <v>162.4896</v>
      </c>
      <c r="AD104" s="42" t="n">
        <f aca="false">-($D$99+$J$99)*(AD$5=0)+IF(AND(AD$5-$K$99&gt;=1,AD$5-$K$99&lt;=Inputs!$C$13),INDEX($N$102:$AL$102,1,AD$5-$K$99+1)*INDEX($N$103:$AL$103,1,AD$5-$K$99+1),0)-$I$99*((AD$5=Inputs!$C$12)*$C$101*$D$99+(AD$5=Inputs!$C$13)*$D$101*($D$99+Inputs!$C$14))+$I$99*((AD$5=Inputs!$C$15+$K$99)*$E$101*$I$101+(AD$5=Inputs!$C$16+$K$99)*$F$101*$J$101+(AD$5=Inputs!$C$17)*$G$101*$H$99*$H$101)</f>
        <v>163.661400000001</v>
      </c>
      <c r="AE104" s="42" t="n">
        <f aca="false">-($D$99+$J$99)*(AE$5=0)+IF(AND(AE$5-$K$99&gt;=1,AE$5-$K$99&lt;=Inputs!$C$13),INDEX($N$102:$AL$102,1,AE$5-$K$99+1)*INDEX($N$103:$AL$103,1,AE$5-$K$99+1),0)-$I$99*((AE$5=Inputs!$C$12)*$C$101*$D$99+(AE$5=Inputs!$C$13)*$D$101*($D$99+Inputs!$C$14))+$I$99*((AE$5=Inputs!$C$15+$K$99)*$E$101*$I$101+(AE$5=Inputs!$C$16+$K$99)*$F$101*$J$101+(AE$5=Inputs!$C$17)*$G$101*$H$99*$H$101)</f>
        <v>164.8332</v>
      </c>
      <c r="AF104" s="42" t="n">
        <f aca="false">-($D$99+$J$99)*(AF$5=0)+IF(AND(AF$5-$K$99&gt;=1,AF$5-$K$99&lt;=Inputs!$C$13),INDEX($N$102:$AL$102,1,AF$5-$K$99+1)*INDEX($N$103:$AL$103,1,AF$5-$K$99+1),0)-$I$99*((AF$5=Inputs!$C$12)*$C$101*$D$99+(AF$5=Inputs!$C$13)*$D$101*($D$99+Inputs!$C$14))+$I$99*((AF$5=Inputs!$C$15+$K$99)*$E$101*$I$101+(AF$5=Inputs!$C$16+$K$99)*$F$101*$J$101+(AF$5=Inputs!$C$17)*$G$101*$H$99*$H$101)</f>
        <v>166.005</v>
      </c>
      <c r="AG104" s="42" t="n">
        <f aca="false">-($D$99+$J$99)*(AG$5=0)+IF(AND(AG$5-$K$99&gt;=1,AG$5-$K$99&lt;=Inputs!$C$13),INDEX($N$102:$AL$102,1,AG$5-$K$99+1)*INDEX($N$103:$AL$103,1,AG$5-$K$99+1),0)-$I$99*((AG$5=Inputs!$C$12)*$C$101*$D$99+(AG$5=Inputs!$C$13)*$D$101*($D$99+Inputs!$C$14))+$I$99*((AG$5=Inputs!$C$15+$K$99)*$E$101*$I$101+(AG$5=Inputs!$C$16+$K$99)*$F$101*$J$101+(AG$5=Inputs!$C$17)*$G$101*$H$99*$H$101)</f>
        <v>167.1768</v>
      </c>
      <c r="AH104" s="42" t="n">
        <f aca="false">-($D$99+$J$99)*(AH$5=0)+IF(AND(AH$5-$K$99&gt;=1,AH$5-$K$99&lt;=Inputs!$C$13),INDEX($N$102:$AL$102,1,AH$5-$K$99+1)*INDEX($N$103:$AL$103,1,AH$5-$K$99+1),0)-$I$99*((AH$5=Inputs!$C$12)*$C$101*$D$99+(AH$5=Inputs!$C$13)*$D$101*($D$99+Inputs!$C$14))+$I$99*((AH$5=Inputs!$C$15+$K$99)*$E$101*$I$101+(AH$5=Inputs!$C$16+$K$99)*$F$101*$J$101+(AH$5=Inputs!$C$17)*$G$101*$H$99*$H$101)</f>
        <v>120.249</v>
      </c>
      <c r="AI104" s="42" t="n">
        <f aca="false">-($D$99+$J$99)*(AI$5=0)+IF(AND(AI$5-$K$99&gt;=1,AI$5-$K$99&lt;=Inputs!$C$13),INDEX($N$102:$AL$102,1,AI$5-$K$99+1)*INDEX($N$103:$AL$103,1,AI$5-$K$99+1),0)-$I$99*((AI$5=Inputs!$C$12)*$C$101*$D$99+(AI$5=Inputs!$C$13)*$D$101*($D$99+Inputs!$C$14))+$I$99*((AI$5=Inputs!$C$15+$K$99)*$E$101*$I$101+(AI$5=Inputs!$C$16+$K$99)*$F$101*$J$101+(AI$5=Inputs!$C$17)*$G$101*$H$99*$H$101)</f>
        <v>121.086</v>
      </c>
      <c r="AJ104" s="42" t="n">
        <f aca="false">-($D$99+$J$99)*(AJ$5=0)+IF(AND(AJ$5-$K$99&gt;=1,AJ$5-$K$99&lt;=Inputs!$C$13),INDEX($N$102:$AL$102,1,AJ$5-$K$99+1)*INDEX($N$103:$AL$103,1,AJ$5-$K$99+1),0)-$I$99*((AJ$5=Inputs!$C$12)*$C$101*$D$99+(AJ$5=Inputs!$C$13)*$D$101*($D$99+Inputs!$C$14))+$I$99*((AJ$5=Inputs!$C$15+$K$99)*$E$101*$I$101+(AJ$5=Inputs!$C$16+$K$99)*$F$101*$J$101+(AJ$5=Inputs!$C$17)*$G$101*$H$99*$H$101)</f>
        <v>122.0625</v>
      </c>
      <c r="AK104" s="42" t="n">
        <f aca="false">-($D$99+$J$99)*(AK$5=0)+IF(AND(AK$5-$K$99&gt;=1,AK$5-$K$99&lt;=Inputs!$C$13),INDEX($N$102:$AL$102,1,AK$5-$K$99+1)*INDEX($N$103:$AL$103,1,AK$5-$K$99+1),0)-$I$99*((AK$5=Inputs!$C$12)*$C$101*$D$99+(AK$5=Inputs!$C$13)*$D$101*($D$99+Inputs!$C$14))+$I$99*((AK$5=Inputs!$C$15+$K$99)*$E$101*$I$101+(AK$5=Inputs!$C$16+$K$99)*$F$101*$J$101+(AK$5=Inputs!$C$17)*$G$101*$H$99*$H$101)</f>
        <v>123.039</v>
      </c>
      <c r="AL104" s="42" t="n">
        <f aca="false">-($D$99+$J$99)*(AL$5=0)+IF(AND(AL$5-$K$99&gt;=1,AL$5-$K$99&lt;=Inputs!$C$13),INDEX($N$102:$AL$102,1,AL$5-$K$99+1)*INDEX($N$103:$AL$103,1,AL$5-$K$99+1),0)-$I$99*((AL$5=Inputs!$C$12)*$C$101*$D$99+(AL$5=Inputs!$C$13)*$D$101*($D$99+Inputs!$C$14))+$I$99*((AL$5=Inputs!$C$15+$K$99)*$E$101*$I$101+(AL$5=Inputs!$C$16+$K$99)*$F$101*$J$101+(AL$5=Inputs!$C$17)*$G$101*$H$99*$H$101)</f>
        <v>-253.984499999999</v>
      </c>
      <c r="AM104" s="42" t="n">
        <f aca="false">-($D$99+$J$99)*(AM$5=0)+IF(AND(AM$5-$K$99&gt;=1,AM$5-$K$99&lt;=Inputs!$C$13),INDEX($N$102:$AL$102,1,AM$5-$K$99+1)*INDEX($N$103:$AL$103,1,AM$5-$K$99+1),0)-$I$99*((AM$5=Inputs!$C$12)*$C$101*$D$99+(AM$5=Inputs!$C$13)*$D$101*($D$99+Inputs!$C$14))+$I$99*((AM$5=Inputs!$C$15+$K$99)*$E$101*$I$101+(AM$5=Inputs!$C$16+$K$99)*$F$101*$J$101+(AM$5=Inputs!$C$17)*$G$101*$H$99*$H$101)</f>
        <v>124.992</v>
      </c>
      <c r="AN104" s="42" t="n">
        <f aca="false">-($D$99+$J$99)*(AN$5=0)+IF(AND(AN$5-$K$99&gt;=1,AN$5-$K$99&lt;=Inputs!$C$13),INDEX($N$102:$AL$102,1,AN$5-$K$99+1)*INDEX($N$103:$AL$103,1,AN$5-$K$99+1),0)-$I$99*((AN$5=Inputs!$C$12)*$C$101*$D$99+(AN$5=Inputs!$C$13)*$D$101*($D$99+Inputs!$C$14))+$I$99*((AN$5=Inputs!$C$15+$K$99)*$E$101*$I$101+(AN$5=Inputs!$C$16+$K$99)*$F$101*$J$101+(AN$5=Inputs!$C$17)*$G$101*$H$99*$H$101)</f>
        <v>0</v>
      </c>
      <c r="AO104" s="42" t="n">
        <f aca="false">-($D$99+$J$99)*(AO$5=0)+IF(AND(AO$5-$K$99&gt;=1,AO$5-$K$99&lt;=Inputs!$C$13),INDEX($N$102:$AL$102,1,AO$5-$K$99+1)*INDEX($N$103:$AL$103,1,AO$5-$K$99+1),0)-$I$99*((AO$5=Inputs!$C$12)*$C$101*$D$99+(AO$5=Inputs!$C$13)*$D$101*($D$99+Inputs!$C$14))+$I$99*((AO$5=Inputs!$C$15+$K$99)*$E$101*$I$101+(AO$5=Inputs!$C$16+$K$99)*$F$101*$J$101+(AO$5=Inputs!$C$17)*$G$101*$H$99*$H$101)</f>
        <v>0</v>
      </c>
      <c r="AP104" s="42" t="n">
        <f aca="false">-($D$99+$J$99)*(AP$5=0)+IF(AND(AP$5-$K$99&gt;=1,AP$5-$K$99&lt;=Inputs!$C$13),INDEX($N$102:$AL$102,1,AP$5-$K$99+1)*INDEX($N$103:$AL$103,1,AP$5-$K$99+1),0)-$I$99*((AP$5=Inputs!$C$12)*$C$101*$D$99+(AP$5=Inputs!$C$13)*$D$101*($D$99+Inputs!$C$14))+$I$99*((AP$5=Inputs!$C$15+$K$99)*$E$101*$I$101+(AP$5=Inputs!$C$16+$K$99)*$F$101*$J$101+(AP$5=Inputs!$C$17)*$G$101*$H$99*$H$101)</f>
        <v>580.23</v>
      </c>
      <c r="AQ104" s="42" t="n">
        <f aca="false">-($D$99+$J$99)*(AQ$5=0)+IF(AND(AQ$5-$K$99&gt;=1,AQ$5-$K$99&lt;=Inputs!$C$13),INDEX($N$102:$AL$102,1,AQ$5-$K$99+1)*INDEX($N$103:$AL$103,1,AQ$5-$K$99+1),0)-$I$99*((AQ$5=Inputs!$C$12)*$C$101*$D$99+(AQ$5=Inputs!$C$13)*$D$101*($D$99+Inputs!$C$14))+$I$99*((AQ$5=Inputs!$C$15+$K$99)*$E$101*$I$101+(AQ$5=Inputs!$C$16+$K$99)*$F$101*$J$101+(AQ$5=Inputs!$C$17)*$G$101*$H$99*$H$101)</f>
        <v>0</v>
      </c>
      <c r="AR104" s="42" t="n">
        <f aca="false">-($D$99+$J$99)*(AR$5=0)+IF(AND(AR$5-$K$99&gt;=1,AR$5-$K$99&lt;=Inputs!$C$13),INDEX($N$102:$AL$102,1,AR$5-$K$99+1)*INDEX($N$103:$AL$103,1,AR$5-$K$99+1),0)-$I$99*((AR$5=Inputs!$C$12)*$C$101*$D$99+(AR$5=Inputs!$C$13)*$D$101*($D$99+Inputs!$C$14))+$I$99*((AR$5=Inputs!$C$15+$K$99)*$E$101*$I$101+(AR$5=Inputs!$C$16+$K$99)*$F$101*$J$101+(AR$5=Inputs!$C$17)*$G$101*$H$99*$H$101)</f>
        <v>0</v>
      </c>
      <c r="AS104" s="42" t="n">
        <f aca="false">-($D$99+$J$99)*(AS$5=0)+IF(AND(AS$5-$K$99&gt;=1,AS$5-$K$99&lt;=Inputs!$C$13),INDEX($N$102:$AL$102,1,AS$5-$K$99+1)*INDEX($N$103:$AL$103,1,AS$5-$K$99+1),0)-$I$99*((AS$5=Inputs!$C$12)*$C$101*$D$99+(AS$5=Inputs!$C$13)*$D$101*($D$99+Inputs!$C$14))+$I$99*((AS$5=Inputs!$C$15+$K$99)*$E$101*$I$101+(AS$5=Inputs!$C$16+$K$99)*$F$101*$J$101+(AS$5=Inputs!$C$17)*$G$101*$H$99*$H$101)</f>
        <v>337.1508</v>
      </c>
      <c r="AT104" s="42" t="n">
        <f aca="false">-($D$99+$J$99)*(AT$5=0)+IF(AND(AT$5-$K$99&gt;=1,AT$5-$K$99&lt;=Inputs!$C$13),INDEX($N$102:$AL$102,1,AT$5-$K$99+1)*INDEX($N$103:$AL$103,1,AT$5-$K$99+1),0)-$I$99*((AT$5=Inputs!$C$12)*$C$101*$D$99+(AT$5=Inputs!$C$13)*$D$101*($D$99+Inputs!$C$14))+$I$99*((AT$5=Inputs!$C$15+$K$99)*$E$101*$I$101+(AT$5=Inputs!$C$16+$K$99)*$F$101*$J$101+(AT$5=Inputs!$C$17)*$G$101*$H$99*$H$101)</f>
        <v>0</v>
      </c>
      <c r="AU104" s="42" t="n">
        <f aca="false">-($D$99+$J$99)*(AU$5=0)+IF(AND(AU$5-$K$99&gt;=1,AU$5-$K$99&lt;=Inputs!$C$13),INDEX($N$102:$AL$102,1,AU$5-$K$99+1)*INDEX($N$103:$AL$103,1,AU$5-$K$99+1),0)-$I$99*((AU$5=Inputs!$C$12)*$C$101*$D$99+(AU$5=Inputs!$C$13)*$D$101*($D$99+Inputs!$C$14))+$I$99*((AU$5=Inputs!$C$15+$K$99)*$E$101*$I$101+(AU$5=Inputs!$C$16+$K$99)*$F$101*$J$101+(AU$5=Inputs!$C$17)*$G$101*$H$99*$H$101)</f>
        <v>0</v>
      </c>
      <c r="AV104" s="42" t="n">
        <f aca="false">-($D$99+$J$99)*(AV$5=0)+IF(AND(AV$5-$K$99&gt;=1,AV$5-$K$99&lt;=Inputs!$C$13),INDEX($N$102:$AL$102,1,AV$5-$K$99+1)*INDEX($N$103:$AL$103,1,AV$5-$K$99+1),0)-$I$99*((AV$5=Inputs!$C$12)*$C$101*$D$99+(AV$5=Inputs!$C$13)*$D$101*($D$99+Inputs!$C$14))+$I$99*((AV$5=Inputs!$C$15+$K$99)*$E$101*$I$101+(AV$5=Inputs!$C$16+$K$99)*$F$101*$J$101+(AV$5=Inputs!$C$17)*$G$101*$H$99*$H$101)</f>
        <v>0</v>
      </c>
      <c r="AW104" s="42" t="n">
        <f aca="false">-($D$99+$J$99)*(AW$5=0)+IF(AND(AW$5-$K$99&gt;=1,AW$5-$K$99&lt;=Inputs!$C$13),INDEX($N$102:$AL$102,1,AW$5-$K$99+1)*INDEX($N$103:$AL$103,1,AW$5-$K$99+1),0)-$I$99*((AW$5=Inputs!$C$12)*$C$101*$D$99+(AW$5=Inputs!$C$13)*$D$101*($D$99+Inputs!$C$14))+$I$99*((AW$5=Inputs!$C$15+$K$99)*$E$101*$I$101+(AW$5=Inputs!$C$16+$K$99)*$F$101*$J$101+(AW$5=Inputs!$C$17)*$G$101*$H$99*$H$101)</f>
        <v>0</v>
      </c>
      <c r="AX104" s="42" t="n">
        <f aca="false">-($D$99+$J$99)*(AX$5=0)+IF(AND(AX$5-$K$99&gt;=1,AX$5-$K$99&lt;=Inputs!$C$13),INDEX($N$102:$AL$102,1,AX$5-$K$99+1)*INDEX($N$103:$AL$103,1,AX$5-$K$99+1),0)-$I$99*((AX$5=Inputs!$C$12)*$C$101*$D$99+(AX$5=Inputs!$C$13)*$D$101*($D$99+Inputs!$C$14))+$I$99*((AX$5=Inputs!$C$15+$K$99)*$E$101*$I$101+(AX$5=Inputs!$C$16+$K$99)*$F$101*$J$101+(AX$5=Inputs!$C$17)*$G$101*$H$99*$H$101)</f>
        <v>47.628</v>
      </c>
      <c r="AY104" s="42" t="n">
        <f aca="false">-($D$99+$J$99)*(AY$5=0)+IF(AND(AY$5-$K$99&gt;=1,AY$5-$K$99&lt;=Inputs!$C$13),INDEX($N$102:$AL$102,1,AY$5-$K$99+1)*INDEX($N$103:$AL$103,1,AY$5-$K$99+1),0)-$I$99*((AY$5=Inputs!$C$12)*$C$101*$D$99+(AY$5=Inputs!$C$13)*$D$101*($D$99+Inputs!$C$14))+$I$99*((AY$5=Inputs!$C$15+$K$99)*$E$101*$I$101+(AY$5=Inputs!$C$16+$K$99)*$F$101*$J$101+(AY$5=Inputs!$C$17)*$G$101*$H$99*$H$101)</f>
        <v>0</v>
      </c>
    </row>
    <row r="106" customFormat="false" ht="15" hidden="false" customHeight="false" outlineLevel="0" collapsed="false">
      <c r="B106" s="7" t="s">
        <v>198</v>
      </c>
      <c r="C106" s="8"/>
      <c r="D106" s="8"/>
      <c r="E106" s="8"/>
      <c r="F106" s="8"/>
      <c r="G106" s="8"/>
      <c r="H106" s="8"/>
      <c r="I106" s="8"/>
      <c r="J106" s="8"/>
      <c r="K106" s="8"/>
      <c r="L106" s="8"/>
    </row>
    <row r="107" customFormat="false" ht="30" hidden="false" customHeight="true" outlineLevel="0" collapsed="false">
      <c r="B107" s="37"/>
      <c r="C107" s="38" t="s">
        <v>169</v>
      </c>
      <c r="D107" s="38" t="s">
        <v>170</v>
      </c>
      <c r="E107" s="38" t="s">
        <v>171</v>
      </c>
      <c r="F107" s="38" t="s">
        <v>43</v>
      </c>
      <c r="G107" s="38" t="s">
        <v>44</v>
      </c>
      <c r="H107" s="38" t="s">
        <v>45</v>
      </c>
      <c r="I107" s="38" t="s">
        <v>172</v>
      </c>
      <c r="J107" s="38" t="s">
        <v>90</v>
      </c>
      <c r="K107" s="38" t="s">
        <v>89</v>
      </c>
      <c r="L107" s="38" t="s">
        <v>173</v>
      </c>
    </row>
    <row r="108" customFormat="false" ht="15" hidden="false" customHeight="false" outlineLevel="0" collapsed="false">
      <c r="B108" s="39" t="s">
        <v>174</v>
      </c>
      <c r="C108" s="26" t="n">
        <f aca="false">Class_IRR!$F$5</f>
        <v>0.05</v>
      </c>
      <c r="D108" s="30" t="n">
        <f aca="false">Inputs!$E$24</f>
        <v>3600</v>
      </c>
      <c r="E108" s="26" t="n">
        <f aca="false">Inputs!$F$24</f>
        <v>0.93</v>
      </c>
      <c r="F108" s="25" t="n">
        <f aca="false">Inputs!$G$24</f>
        <v>0.6</v>
      </c>
      <c r="G108" s="25" t="n">
        <f aca="false">Inputs!$H$24</f>
        <v>0.85</v>
      </c>
      <c r="H108" s="25" t="n">
        <f aca="false">Inputs!$I$24</f>
        <v>0.9</v>
      </c>
      <c r="I108" s="22" t="n">
        <f aca="false">Inputs!$J$24</f>
        <v>1</v>
      </c>
      <c r="J108" s="23" t="n">
        <f aca="false">Inputs!$C$9</f>
        <v>10</v>
      </c>
      <c r="K108" s="22" t="n">
        <f aca="false">Inputs!$C$10</f>
        <v>1</v>
      </c>
      <c r="L108" s="22" t="n">
        <f aca="false">1</f>
        <v>1</v>
      </c>
    </row>
    <row r="109" customFormat="false" ht="30" hidden="false" customHeight="true" outlineLevel="0" collapsed="false">
      <c r="B109" s="37"/>
      <c r="C109" s="38" t="s">
        <v>175</v>
      </c>
      <c r="D109" s="38" t="s">
        <v>176</v>
      </c>
      <c r="E109" s="38" t="s">
        <v>177</v>
      </c>
      <c r="F109" s="38" t="s">
        <v>178</v>
      </c>
      <c r="G109" s="38" t="s">
        <v>112</v>
      </c>
      <c r="H109" s="38" t="s">
        <v>179</v>
      </c>
      <c r="I109" s="38" t="s">
        <v>180</v>
      </c>
      <c r="J109" s="38" t="s">
        <v>181</v>
      </c>
      <c r="K109" s="38" t="s">
        <v>182</v>
      </c>
      <c r="L109" s="38" t="s">
        <v>183</v>
      </c>
    </row>
    <row r="110" customFormat="false" ht="15" hidden="false" customHeight="false" outlineLevel="0" collapsed="false">
      <c r="B110" s="39" t="s">
        <v>184</v>
      </c>
      <c r="C110" s="40" t="n">
        <f aca="false">1-$E$108*CHOOSE($L$108,INDEX(Timing!$C$7:$AA$7,1,Inputs!$C$12+1),INDEX(Timing!$C$8:$AA$8,1,Inputs!$C$12+1))</f>
        <v>0.2932</v>
      </c>
      <c r="D110" s="40" t="n">
        <f aca="false">1-$E$108*CHOOSE($L$108,INDEX(Timing!$C$7:$AA$7,1,Inputs!$C$13+1),INDEX(Timing!$C$8:$AA$8,1,Inputs!$C$13+1))</f>
        <v>0.07</v>
      </c>
      <c r="E110" s="40" t="n">
        <f aca="false">$I$108*$D$110*$F$108</f>
        <v>0.042</v>
      </c>
      <c r="F110" s="40" t="n">
        <f aca="false">$I$108*($D$110-$E$110)*$G$108</f>
        <v>0.0238</v>
      </c>
      <c r="G110" s="40" t="n">
        <f aca="false">$I$108*($D$110-$E$110-$F$110)</f>
        <v>0.0042</v>
      </c>
      <c r="H110" s="23" t="n">
        <f aca="false">$I$108*(3*$D$108+Inputs!$C$14)</f>
        <v>12600</v>
      </c>
      <c r="I110" s="23" t="n">
        <f aca="false">$I$108*($D$108*(1+IF($C$108&lt;=0,0,MAX($C$108*Inputs!$C$15/12,Inputs!$C$8)))+$D$108*(1+Inputs!$C$11*(Inputs!$C$15-Inputs!$C$12)/12)+$D$108*(1+Inputs!$C$11*(Inputs!$C$15-Inputs!$C$13)/12)+Inputs!$C$14)</f>
        <v>13977</v>
      </c>
      <c r="J110" s="23" t="n">
        <f aca="false">$I$108*($D$108*(1+IF($C$108&lt;=0,0,MAX($C$108*Inputs!$C$16/12,Inputs!$C$8)))+$D$108*(1+Inputs!$C$11*(Inputs!$C$16-Inputs!$C$12)/12)+$D$108*(1+Inputs!$C$11*(Inputs!$C$16-Inputs!$C$13)/12)+Inputs!$C$14)</f>
        <v>14346</v>
      </c>
      <c r="K110" s="40" t="n">
        <f aca="false">IRR($N$113:$AY$113,0.005)</f>
        <v>0.00655113336109421</v>
      </c>
      <c r="L110" s="41" t="n">
        <f aca="false">(1+$K$110)^12-1</f>
        <v>0.0815089212918587</v>
      </c>
    </row>
    <row r="111" customFormat="false" ht="15" hidden="false" customHeight="false" outlineLevel="0" collapsed="false">
      <c r="B111" s="9" t="s">
        <v>185</v>
      </c>
      <c r="N111" s="40" t="n">
        <f aca="false">0</f>
        <v>0</v>
      </c>
      <c r="O111" s="40" t="n">
        <f aca="false">$E$108*(CHOOSE($L$108,Timing!D$7,Timing!D$8)-CHOOSE($L$108,Timing!C$7,Timing!C$8))</f>
        <v>0.1116</v>
      </c>
      <c r="P111" s="40" t="n">
        <f aca="false">$E$108*(CHOOSE($L$108,Timing!E$7,Timing!E$8)-CHOOSE($L$108,Timing!D$7,Timing!D$8))</f>
        <v>0.093</v>
      </c>
      <c r="Q111" s="40" t="n">
        <f aca="false">$E$108*(CHOOSE($L$108,Timing!F$7,Timing!F$8)-CHOOSE($L$108,Timing!E$7,Timing!E$8))</f>
        <v>0.0837</v>
      </c>
      <c r="R111" s="40" t="n">
        <f aca="false">$E$108*(CHOOSE($L$108,Timing!G$7,Timing!G$8)-CHOOSE($L$108,Timing!F$7,Timing!F$8))</f>
        <v>0.0651</v>
      </c>
      <c r="S111" s="40" t="n">
        <f aca="false">$E$108*(CHOOSE($L$108,Timing!H$7,Timing!H$8)-CHOOSE($L$108,Timing!G$7,Timing!G$8))</f>
        <v>0.0651</v>
      </c>
      <c r="T111" s="40" t="n">
        <f aca="false">$E$108*(CHOOSE($L$108,Timing!I$7,Timing!I$8)-CHOOSE($L$108,Timing!H$7,Timing!H$8))</f>
        <v>0.0651</v>
      </c>
      <c r="U111" s="40" t="n">
        <f aca="false">$E$108*(CHOOSE($L$108,Timing!J$7,Timing!J$8)-CHOOSE($L$108,Timing!I$7,Timing!I$8))</f>
        <v>0.0403</v>
      </c>
      <c r="V111" s="40" t="n">
        <f aca="false">$E$108*(CHOOSE($L$108,Timing!K$7,Timing!K$8)-CHOOSE($L$108,Timing!J$7,Timing!J$8))</f>
        <v>0.0403</v>
      </c>
      <c r="W111" s="40" t="n">
        <f aca="false">$E$108*(CHOOSE($L$108,Timing!L$7,Timing!L$8)-CHOOSE($L$108,Timing!K$7,Timing!K$8))</f>
        <v>0.0403</v>
      </c>
      <c r="X111" s="40" t="n">
        <f aca="false">$E$108*(CHOOSE($L$108,Timing!M$7,Timing!M$8)-CHOOSE($L$108,Timing!L$7,Timing!L$8))</f>
        <v>0.0341</v>
      </c>
      <c r="Y111" s="40" t="n">
        <f aca="false">$E$108*(CHOOSE($L$108,Timing!N$7,Timing!N$8)-CHOOSE($L$108,Timing!M$7,Timing!M$8))</f>
        <v>0.0341000000000001</v>
      </c>
      <c r="Z111" s="40" t="n">
        <f aca="false">$E$108*(CHOOSE($L$108,Timing!O$7,Timing!O$8)-CHOOSE($L$108,Timing!N$7,Timing!N$8))</f>
        <v>0.0341</v>
      </c>
      <c r="AA111" s="40" t="n">
        <f aca="false">$E$108*(CHOOSE($L$108,Timing!P$7,Timing!P$8)-CHOOSE($L$108,Timing!O$7,Timing!O$8))</f>
        <v>0.0217</v>
      </c>
      <c r="AB111" s="40" t="n">
        <f aca="false">$E$108*(CHOOSE($L$108,Timing!Q$7,Timing!Q$8)-CHOOSE($L$108,Timing!P$7,Timing!P$8))</f>
        <v>0.0217</v>
      </c>
      <c r="AC111" s="40" t="n">
        <f aca="false">$E$108*(CHOOSE($L$108,Timing!R$7,Timing!R$8)-CHOOSE($L$108,Timing!Q$7,Timing!Q$8))</f>
        <v>0.0217000000000001</v>
      </c>
      <c r="AD111" s="40" t="n">
        <f aca="false">$E$108*(CHOOSE($L$108,Timing!S$7,Timing!S$8)-CHOOSE($L$108,Timing!R$7,Timing!R$8))</f>
        <v>0.0217</v>
      </c>
      <c r="AE111" s="40" t="n">
        <f aca="false">$E$108*(CHOOSE($L$108,Timing!T$7,Timing!T$8)-CHOOSE($L$108,Timing!S$7,Timing!S$8))</f>
        <v>0.0217</v>
      </c>
      <c r="AF111" s="40" t="n">
        <f aca="false">$E$108*(CHOOSE($L$108,Timing!U$7,Timing!U$8)-CHOOSE($L$108,Timing!T$7,Timing!T$8))</f>
        <v>0.0217</v>
      </c>
      <c r="AG111" s="40" t="n">
        <f aca="false">$E$108*(CHOOSE($L$108,Timing!V$7,Timing!V$8)-CHOOSE($L$108,Timing!U$7,Timing!U$8))</f>
        <v>0.0155</v>
      </c>
      <c r="AH111" s="40" t="n">
        <f aca="false">$E$108*(CHOOSE($L$108,Timing!W$7,Timing!W$8)-CHOOSE($L$108,Timing!V$7,Timing!V$8))</f>
        <v>0.0154999999999999</v>
      </c>
      <c r="AI111" s="40" t="n">
        <f aca="false">$E$108*(CHOOSE($L$108,Timing!X$7,Timing!X$8)-CHOOSE($L$108,Timing!W$7,Timing!W$8))</f>
        <v>0.0154999999999999</v>
      </c>
      <c r="AJ111" s="40" t="n">
        <f aca="false">$E$108*(CHOOSE($L$108,Timing!Y$7,Timing!Y$8)-CHOOSE($L$108,Timing!X$7,Timing!X$8))</f>
        <v>0.0155</v>
      </c>
      <c r="AK111" s="40" t="n">
        <f aca="false">$E$108*(CHOOSE($L$108,Timing!Z$7,Timing!Z$8)-CHOOSE($L$108,Timing!Y$7,Timing!Y$8))</f>
        <v>0.0155</v>
      </c>
      <c r="AL111" s="40" t="n">
        <f aca="false">$E$108*(CHOOSE($L$108,Timing!AA$7,Timing!AA$8)-CHOOSE($L$108,Timing!Z$7,Timing!Z$8))</f>
        <v>0.0154999999999999</v>
      </c>
    </row>
    <row r="112" customFormat="false" ht="15" hidden="false" customHeight="false" outlineLevel="0" collapsed="false">
      <c r="B112" s="9" t="s">
        <v>186</v>
      </c>
      <c r="N112" s="42" t="n">
        <f aca="false">0</f>
        <v>0</v>
      </c>
      <c r="O112" s="42" t="n">
        <f aca="false">$D$108*(1+IF($C$108&lt;=0,0,MAX($C$108*O$5/12,Inputs!$C$8)))+$I$108*(O$5&gt;Inputs!$C$12)*$D$108*(1+Inputs!$C$11*(O$5-Inputs!$C$12)/12)</f>
        <v>3780</v>
      </c>
      <c r="P112" s="42" t="n">
        <f aca="false">$D$108*(1+IF($C$108&lt;=0,0,MAX($C$108*P$5/12,Inputs!$C$8)))+$I$108*(P$5&gt;Inputs!$C$12)*$D$108*(1+Inputs!$C$11*(P$5-Inputs!$C$12)/12)</f>
        <v>3780</v>
      </c>
      <c r="Q112" s="42" t="n">
        <f aca="false">$D$108*(1+IF($C$108&lt;=0,0,MAX($C$108*Q$5/12,Inputs!$C$8)))+$I$108*(Q$5&gt;Inputs!$C$12)*$D$108*(1+Inputs!$C$11*(Q$5-Inputs!$C$12)/12)</f>
        <v>3780</v>
      </c>
      <c r="R112" s="42" t="n">
        <f aca="false">$D$108*(1+IF($C$108&lt;=0,0,MAX($C$108*R$5/12,Inputs!$C$8)))+$I$108*(R$5&gt;Inputs!$C$12)*$D$108*(1+Inputs!$C$11*(R$5-Inputs!$C$12)/12)</f>
        <v>3780</v>
      </c>
      <c r="S112" s="42" t="n">
        <f aca="false">$D$108*(1+IF($C$108&lt;=0,0,MAX($C$108*S$5/12,Inputs!$C$8)))+$I$108*(S$5&gt;Inputs!$C$12)*$D$108*(1+Inputs!$C$11*(S$5-Inputs!$C$12)/12)</f>
        <v>3780</v>
      </c>
      <c r="T112" s="42" t="n">
        <f aca="false">$D$108*(1+IF($C$108&lt;=0,0,MAX($C$108*T$5/12,Inputs!$C$8)))+$I$108*(T$5&gt;Inputs!$C$12)*$D$108*(1+Inputs!$C$11*(T$5-Inputs!$C$12)/12)</f>
        <v>3780</v>
      </c>
      <c r="U112" s="42" t="n">
        <f aca="false">$D$108*(1+IF($C$108&lt;=0,0,MAX($C$108*U$5/12,Inputs!$C$8)))+$I$108*(U$5&gt;Inputs!$C$12)*$D$108*(1+Inputs!$C$11*(U$5-Inputs!$C$12)/12)</f>
        <v>3780</v>
      </c>
      <c r="V112" s="42" t="n">
        <f aca="false">$D$108*(1+IF($C$108&lt;=0,0,MAX($C$108*V$5/12,Inputs!$C$8)))+$I$108*(V$5&gt;Inputs!$C$12)*$D$108*(1+Inputs!$C$11*(V$5-Inputs!$C$12)/12)</f>
        <v>3780</v>
      </c>
      <c r="W112" s="42" t="n">
        <f aca="false">$D$108*(1+IF($C$108&lt;=0,0,MAX($C$108*W$5/12,Inputs!$C$8)))+$I$108*(W$5&gt;Inputs!$C$12)*$D$108*(1+Inputs!$C$11*(W$5-Inputs!$C$12)/12)</f>
        <v>3780</v>
      </c>
      <c r="X112" s="42" t="n">
        <f aca="false">$D$108*(1+IF($C$108&lt;=0,0,MAX($C$108*X$5/12,Inputs!$C$8)))+$I$108*(X$5&gt;Inputs!$C$12)*$D$108*(1+Inputs!$C$11*(X$5-Inputs!$C$12)/12)</f>
        <v>3780</v>
      </c>
      <c r="Y112" s="42" t="n">
        <f aca="false">$D$108*(1+IF($C$108&lt;=0,0,MAX($C$108*Y$5/12,Inputs!$C$8)))+$I$108*(Y$5&gt;Inputs!$C$12)*$D$108*(1+Inputs!$C$11*(Y$5-Inputs!$C$12)/12)</f>
        <v>3780</v>
      </c>
      <c r="Z112" s="42" t="n">
        <f aca="false">$D$108*(1+IF($C$108&lt;=0,0,MAX($C$108*Z$5/12,Inputs!$C$8)))+$I$108*(Z$5&gt;Inputs!$C$12)*$D$108*(1+Inputs!$C$11*(Z$5-Inputs!$C$12)/12)</f>
        <v>3780</v>
      </c>
      <c r="AA112" s="42" t="n">
        <f aca="false">$D$108*(1+IF($C$108&lt;=0,0,MAX($C$108*AA$5/12,Inputs!$C$8)))+$I$108*(AA$5&gt;Inputs!$C$12)*$D$108*(1+Inputs!$C$11*(AA$5-Inputs!$C$12)/12)</f>
        <v>7449</v>
      </c>
      <c r="AB112" s="42" t="n">
        <f aca="false">$D$108*(1+IF($C$108&lt;=0,0,MAX($C$108*AB$5/12,Inputs!$C$8)))+$I$108*(AB$5&gt;Inputs!$C$12)*$D$108*(1+Inputs!$C$11*(AB$5-Inputs!$C$12)/12)</f>
        <v>7518</v>
      </c>
      <c r="AC112" s="42" t="n">
        <f aca="false">$D$108*(1+IF($C$108&lt;=0,0,MAX($C$108*AC$5/12,Inputs!$C$8)))+$I$108*(AC$5&gt;Inputs!$C$12)*$D$108*(1+Inputs!$C$11*(AC$5-Inputs!$C$12)/12)</f>
        <v>7587</v>
      </c>
      <c r="AD112" s="42" t="n">
        <f aca="false">$D$108*(1+IF($C$108&lt;=0,0,MAX($C$108*AD$5/12,Inputs!$C$8)))+$I$108*(AD$5&gt;Inputs!$C$12)*$D$108*(1+Inputs!$C$11*(AD$5-Inputs!$C$12)/12)</f>
        <v>7656</v>
      </c>
      <c r="AE112" s="42" t="n">
        <f aca="false">$D$108*(1+IF($C$108&lt;=0,0,MAX($C$108*AE$5/12,Inputs!$C$8)))+$I$108*(AE$5&gt;Inputs!$C$12)*$D$108*(1+Inputs!$C$11*(AE$5-Inputs!$C$12)/12)</f>
        <v>7725</v>
      </c>
      <c r="AF112" s="42" t="n">
        <f aca="false">$D$108*(1+IF($C$108&lt;=0,0,MAX($C$108*AF$5/12,Inputs!$C$8)))+$I$108*(AF$5&gt;Inputs!$C$12)*$D$108*(1+Inputs!$C$11*(AF$5-Inputs!$C$12)/12)</f>
        <v>7794</v>
      </c>
      <c r="AG112" s="42" t="n">
        <f aca="false">$D$108*(1+IF($C$108&lt;=0,0,MAX($C$108*AG$5/12,Inputs!$C$8)))+$I$108*(AG$5&gt;Inputs!$C$12)*$D$108*(1+Inputs!$C$11*(AG$5-Inputs!$C$12)/12)</f>
        <v>7863</v>
      </c>
      <c r="AH112" s="42" t="n">
        <f aca="false">$D$108*(1+IF($C$108&lt;=0,0,MAX($C$108*AH$5/12,Inputs!$C$8)))+$I$108*(AH$5&gt;Inputs!$C$12)*$D$108*(1+Inputs!$C$11*(AH$5-Inputs!$C$12)/12)</f>
        <v>7932</v>
      </c>
      <c r="AI112" s="42" t="n">
        <f aca="false">$D$108*(1+IF($C$108&lt;=0,0,MAX($C$108*AI$5/12,Inputs!$C$8)))+$I$108*(AI$5&gt;Inputs!$C$12)*$D$108*(1+Inputs!$C$11*(AI$5-Inputs!$C$12)/12)</f>
        <v>8001</v>
      </c>
      <c r="AJ112" s="42" t="n">
        <f aca="false">$D$108*(1+IF($C$108&lt;=0,0,MAX($C$108*AJ$5/12,Inputs!$C$8)))+$I$108*(AJ$5&gt;Inputs!$C$12)*$D$108*(1+Inputs!$C$11*(AJ$5-Inputs!$C$12)/12)</f>
        <v>8070</v>
      </c>
      <c r="AK112" s="42" t="n">
        <f aca="false">$D$108*(1+IF($C$108&lt;=0,0,MAX($C$108*AK$5/12,Inputs!$C$8)))+$I$108*(AK$5&gt;Inputs!$C$12)*$D$108*(1+Inputs!$C$11*(AK$5-Inputs!$C$12)/12)</f>
        <v>8139</v>
      </c>
      <c r="AL112" s="42" t="n">
        <f aca="false">$D$108*(1+IF($C$108&lt;=0,0,MAX($C$108*AL$5/12,Inputs!$C$8)))+$I$108*(AL$5&gt;Inputs!$C$12)*$D$108*(1+Inputs!$C$11*(AL$5-Inputs!$C$12)/12)</f>
        <v>8208</v>
      </c>
    </row>
    <row r="113" customFormat="false" ht="15" hidden="false" customHeight="false" outlineLevel="0" collapsed="false">
      <c r="B113" s="31" t="s">
        <v>187</v>
      </c>
      <c r="N113" s="42" t="n">
        <f aca="false">-($D$108+$J$108)*(N$5=0)+IF(AND(N$5-$K$108&gt;=1,N$5-$K$108&lt;=Inputs!$C$13),INDEX($N$111:$AL$111,1,N$5-$K$108+1)*INDEX($N$112:$AL$112,1,N$5-$K$108+1),0)-$I$108*((N$5=Inputs!$C$12)*$C$110*$D$108+(N$5=Inputs!$C$13)*$D$110*($D$108+Inputs!$C$14))+$I$108*((N$5=Inputs!$C$15+$K$108)*$E$110*$I$110+(N$5=Inputs!$C$16+$K$108)*$F$110*$J$110+(N$5=Inputs!$C$17)*$G$110*$H$108*$H$110)</f>
        <v>-3610</v>
      </c>
      <c r="O113" s="42" t="n">
        <f aca="false">-($D$108+$J$108)*(O$5=0)+IF(AND(O$5-$K$108&gt;=1,O$5-$K$108&lt;=Inputs!$C$13),INDEX($N$111:$AL$111,1,O$5-$K$108+1)*INDEX($N$112:$AL$112,1,O$5-$K$108+1),0)-$I$108*((O$5=Inputs!$C$12)*$C$110*$D$108+(O$5=Inputs!$C$13)*$D$110*($D$108+Inputs!$C$14))+$I$108*((O$5=Inputs!$C$15+$K$108)*$E$110*$I$110+(O$5=Inputs!$C$16+$K$108)*$F$110*$J$110+(O$5=Inputs!$C$17)*$G$110*$H$108*$H$110)</f>
        <v>0</v>
      </c>
      <c r="P113" s="42" t="n">
        <f aca="false">-($D$108+$J$108)*(P$5=0)+IF(AND(P$5-$K$108&gt;=1,P$5-$K$108&lt;=Inputs!$C$13),INDEX($N$111:$AL$111,1,P$5-$K$108+1)*INDEX($N$112:$AL$112,1,P$5-$K$108+1),0)-$I$108*((P$5=Inputs!$C$12)*$C$110*$D$108+(P$5=Inputs!$C$13)*$D$110*($D$108+Inputs!$C$14))+$I$108*((P$5=Inputs!$C$15+$K$108)*$E$110*$I$110+(P$5=Inputs!$C$16+$K$108)*$F$110*$J$110+(P$5=Inputs!$C$17)*$G$110*$H$108*$H$110)</f>
        <v>421.848</v>
      </c>
      <c r="Q113" s="42" t="n">
        <f aca="false">-($D$108+$J$108)*(Q$5=0)+IF(AND(Q$5-$K$108&gt;=1,Q$5-$K$108&lt;=Inputs!$C$13),INDEX($N$111:$AL$111,1,Q$5-$K$108+1)*INDEX($N$112:$AL$112,1,Q$5-$K$108+1),0)-$I$108*((Q$5=Inputs!$C$12)*$C$110*$D$108+(Q$5=Inputs!$C$13)*$D$110*($D$108+Inputs!$C$14))+$I$108*((Q$5=Inputs!$C$15+$K$108)*$E$110*$I$110+(Q$5=Inputs!$C$16+$K$108)*$F$110*$J$110+(Q$5=Inputs!$C$17)*$G$110*$H$108*$H$110)</f>
        <v>351.54</v>
      </c>
      <c r="R113" s="42" t="n">
        <f aca="false">-($D$108+$J$108)*(R$5=0)+IF(AND(R$5-$K$108&gt;=1,R$5-$K$108&lt;=Inputs!$C$13),INDEX($N$111:$AL$111,1,R$5-$K$108+1)*INDEX($N$112:$AL$112,1,R$5-$K$108+1),0)-$I$108*((R$5=Inputs!$C$12)*$C$110*$D$108+(R$5=Inputs!$C$13)*$D$110*($D$108+Inputs!$C$14))+$I$108*((R$5=Inputs!$C$15+$K$108)*$E$110*$I$110+(R$5=Inputs!$C$16+$K$108)*$F$110*$J$110+(R$5=Inputs!$C$17)*$G$110*$H$108*$H$110)</f>
        <v>316.386</v>
      </c>
      <c r="S113" s="42" t="n">
        <f aca="false">-($D$108+$J$108)*(S$5=0)+IF(AND(S$5-$K$108&gt;=1,S$5-$K$108&lt;=Inputs!$C$13),INDEX($N$111:$AL$111,1,S$5-$K$108+1)*INDEX($N$112:$AL$112,1,S$5-$K$108+1),0)-$I$108*((S$5=Inputs!$C$12)*$C$110*$D$108+(S$5=Inputs!$C$13)*$D$110*($D$108+Inputs!$C$14))+$I$108*((S$5=Inputs!$C$15+$K$108)*$E$110*$I$110+(S$5=Inputs!$C$16+$K$108)*$F$110*$J$110+(S$5=Inputs!$C$17)*$G$110*$H$108*$H$110)</f>
        <v>246.078</v>
      </c>
      <c r="T113" s="42" t="n">
        <f aca="false">-($D$108+$J$108)*(T$5=0)+IF(AND(T$5-$K$108&gt;=1,T$5-$K$108&lt;=Inputs!$C$13),INDEX($N$111:$AL$111,1,T$5-$K$108+1)*INDEX($N$112:$AL$112,1,T$5-$K$108+1),0)-$I$108*((T$5=Inputs!$C$12)*$C$110*$D$108+(T$5=Inputs!$C$13)*$D$110*($D$108+Inputs!$C$14))+$I$108*((T$5=Inputs!$C$15+$K$108)*$E$110*$I$110+(T$5=Inputs!$C$16+$K$108)*$F$110*$J$110+(T$5=Inputs!$C$17)*$G$110*$H$108*$H$110)</f>
        <v>246.078</v>
      </c>
      <c r="U113" s="42" t="n">
        <f aca="false">-($D$108+$J$108)*(U$5=0)+IF(AND(U$5-$K$108&gt;=1,U$5-$K$108&lt;=Inputs!$C$13),INDEX($N$111:$AL$111,1,U$5-$K$108+1)*INDEX($N$112:$AL$112,1,U$5-$K$108+1),0)-$I$108*((U$5=Inputs!$C$12)*$C$110*$D$108+(U$5=Inputs!$C$13)*$D$110*($D$108+Inputs!$C$14))+$I$108*((U$5=Inputs!$C$15+$K$108)*$E$110*$I$110+(U$5=Inputs!$C$16+$K$108)*$F$110*$J$110+(U$5=Inputs!$C$17)*$G$110*$H$108*$H$110)</f>
        <v>246.078</v>
      </c>
      <c r="V113" s="42" t="n">
        <f aca="false">-($D$108+$J$108)*(V$5=0)+IF(AND(V$5-$K$108&gt;=1,V$5-$K$108&lt;=Inputs!$C$13),INDEX($N$111:$AL$111,1,V$5-$K$108+1)*INDEX($N$112:$AL$112,1,V$5-$K$108+1),0)-$I$108*((V$5=Inputs!$C$12)*$C$110*$D$108+(V$5=Inputs!$C$13)*$D$110*($D$108+Inputs!$C$14))+$I$108*((V$5=Inputs!$C$15+$K$108)*$E$110*$I$110+(V$5=Inputs!$C$16+$K$108)*$F$110*$J$110+(V$5=Inputs!$C$17)*$G$110*$H$108*$H$110)</f>
        <v>152.334</v>
      </c>
      <c r="W113" s="42" t="n">
        <f aca="false">-($D$108+$J$108)*(W$5=0)+IF(AND(W$5-$K$108&gt;=1,W$5-$K$108&lt;=Inputs!$C$13),INDEX($N$111:$AL$111,1,W$5-$K$108+1)*INDEX($N$112:$AL$112,1,W$5-$K$108+1),0)-$I$108*((W$5=Inputs!$C$12)*$C$110*$D$108+(W$5=Inputs!$C$13)*$D$110*($D$108+Inputs!$C$14))+$I$108*((W$5=Inputs!$C$15+$K$108)*$E$110*$I$110+(W$5=Inputs!$C$16+$K$108)*$F$110*$J$110+(W$5=Inputs!$C$17)*$G$110*$H$108*$H$110)</f>
        <v>152.334</v>
      </c>
      <c r="X113" s="42" t="n">
        <f aca="false">-($D$108+$J$108)*(X$5=0)+IF(AND(X$5-$K$108&gt;=1,X$5-$K$108&lt;=Inputs!$C$13),INDEX($N$111:$AL$111,1,X$5-$K$108+1)*INDEX($N$112:$AL$112,1,X$5-$K$108+1),0)-$I$108*((X$5=Inputs!$C$12)*$C$110*$D$108+(X$5=Inputs!$C$13)*$D$110*($D$108+Inputs!$C$14))+$I$108*((X$5=Inputs!$C$15+$K$108)*$E$110*$I$110+(X$5=Inputs!$C$16+$K$108)*$F$110*$J$110+(X$5=Inputs!$C$17)*$G$110*$H$108*$H$110)</f>
        <v>152.334</v>
      </c>
      <c r="Y113" s="42" t="n">
        <f aca="false">-($D$108+$J$108)*(Y$5=0)+IF(AND(Y$5-$K$108&gt;=1,Y$5-$K$108&lt;=Inputs!$C$13),INDEX($N$111:$AL$111,1,Y$5-$K$108+1)*INDEX($N$112:$AL$112,1,Y$5-$K$108+1),0)-$I$108*((Y$5=Inputs!$C$12)*$C$110*$D$108+(Y$5=Inputs!$C$13)*$D$110*($D$108+Inputs!$C$14))+$I$108*((Y$5=Inputs!$C$15+$K$108)*$E$110*$I$110+(Y$5=Inputs!$C$16+$K$108)*$F$110*$J$110+(Y$5=Inputs!$C$17)*$G$110*$H$108*$H$110)</f>
        <v>128.898</v>
      </c>
      <c r="Z113" s="42" t="n">
        <f aca="false">-($D$108+$J$108)*(Z$5=0)+IF(AND(Z$5-$K$108&gt;=1,Z$5-$K$108&lt;=Inputs!$C$13),INDEX($N$111:$AL$111,1,Z$5-$K$108+1)*INDEX($N$112:$AL$112,1,Z$5-$K$108+1),0)-$I$108*((Z$5=Inputs!$C$12)*$C$110*$D$108+(Z$5=Inputs!$C$13)*$D$110*($D$108+Inputs!$C$14))+$I$108*((Z$5=Inputs!$C$15+$K$108)*$E$110*$I$110+(Z$5=Inputs!$C$16+$K$108)*$F$110*$J$110+(Z$5=Inputs!$C$17)*$G$110*$H$108*$H$110)</f>
        <v>-926.622</v>
      </c>
      <c r="AA113" s="42" t="n">
        <f aca="false">-($D$108+$J$108)*(AA$5=0)+IF(AND(AA$5-$K$108&gt;=1,AA$5-$K$108&lt;=Inputs!$C$13),INDEX($N$111:$AL$111,1,AA$5-$K$108+1)*INDEX($N$112:$AL$112,1,AA$5-$K$108+1),0)-$I$108*((AA$5=Inputs!$C$12)*$C$110*$D$108+(AA$5=Inputs!$C$13)*$D$110*($D$108+Inputs!$C$14))+$I$108*((AA$5=Inputs!$C$15+$K$108)*$E$110*$I$110+(AA$5=Inputs!$C$16+$K$108)*$F$110*$J$110+(AA$5=Inputs!$C$17)*$G$110*$H$108*$H$110)</f>
        <v>128.898</v>
      </c>
      <c r="AB113" s="42" t="n">
        <f aca="false">-($D$108+$J$108)*(AB$5=0)+IF(AND(AB$5-$K$108&gt;=1,AB$5-$K$108&lt;=Inputs!$C$13),INDEX($N$111:$AL$111,1,AB$5-$K$108+1)*INDEX($N$112:$AL$112,1,AB$5-$K$108+1),0)-$I$108*((AB$5=Inputs!$C$12)*$C$110*$D$108+(AB$5=Inputs!$C$13)*$D$110*($D$108+Inputs!$C$14))+$I$108*((AB$5=Inputs!$C$15+$K$108)*$E$110*$I$110+(AB$5=Inputs!$C$16+$K$108)*$F$110*$J$110+(AB$5=Inputs!$C$17)*$G$110*$H$108*$H$110)</f>
        <v>161.6433</v>
      </c>
      <c r="AC113" s="42" t="n">
        <f aca="false">-($D$108+$J$108)*(AC$5=0)+IF(AND(AC$5-$K$108&gt;=1,AC$5-$K$108&lt;=Inputs!$C$13),INDEX($N$111:$AL$111,1,AC$5-$K$108+1)*INDEX($N$112:$AL$112,1,AC$5-$K$108+1),0)-$I$108*((AC$5=Inputs!$C$12)*$C$110*$D$108+(AC$5=Inputs!$C$13)*$D$110*($D$108+Inputs!$C$14))+$I$108*((AC$5=Inputs!$C$15+$K$108)*$E$110*$I$110+(AC$5=Inputs!$C$16+$K$108)*$F$110*$J$110+(AC$5=Inputs!$C$17)*$G$110*$H$108*$H$110)</f>
        <v>163.1406</v>
      </c>
      <c r="AD113" s="42" t="n">
        <f aca="false">-($D$108+$J$108)*(AD$5=0)+IF(AND(AD$5-$K$108&gt;=1,AD$5-$K$108&lt;=Inputs!$C$13),INDEX($N$111:$AL$111,1,AD$5-$K$108+1)*INDEX($N$112:$AL$112,1,AD$5-$K$108+1),0)-$I$108*((AD$5=Inputs!$C$12)*$C$110*$D$108+(AD$5=Inputs!$C$13)*$D$110*($D$108+Inputs!$C$14))+$I$108*((AD$5=Inputs!$C$15+$K$108)*$E$110*$I$110+(AD$5=Inputs!$C$16+$K$108)*$F$110*$J$110+(AD$5=Inputs!$C$17)*$G$110*$H$108*$H$110)</f>
        <v>164.637900000001</v>
      </c>
      <c r="AE113" s="42" t="n">
        <f aca="false">-($D$108+$J$108)*(AE$5=0)+IF(AND(AE$5-$K$108&gt;=1,AE$5-$K$108&lt;=Inputs!$C$13),INDEX($N$111:$AL$111,1,AE$5-$K$108+1)*INDEX($N$112:$AL$112,1,AE$5-$K$108+1),0)-$I$108*((AE$5=Inputs!$C$12)*$C$110*$D$108+(AE$5=Inputs!$C$13)*$D$110*($D$108+Inputs!$C$14))+$I$108*((AE$5=Inputs!$C$15+$K$108)*$E$110*$I$110+(AE$5=Inputs!$C$16+$K$108)*$F$110*$J$110+(AE$5=Inputs!$C$17)*$G$110*$H$108*$H$110)</f>
        <v>166.1352</v>
      </c>
      <c r="AF113" s="42" t="n">
        <f aca="false">-($D$108+$J$108)*(AF$5=0)+IF(AND(AF$5-$K$108&gt;=1,AF$5-$K$108&lt;=Inputs!$C$13),INDEX($N$111:$AL$111,1,AF$5-$K$108+1)*INDEX($N$112:$AL$112,1,AF$5-$K$108+1),0)-$I$108*((AF$5=Inputs!$C$12)*$C$110*$D$108+(AF$5=Inputs!$C$13)*$D$110*($D$108+Inputs!$C$14))+$I$108*((AF$5=Inputs!$C$15+$K$108)*$E$110*$I$110+(AF$5=Inputs!$C$16+$K$108)*$F$110*$J$110+(AF$5=Inputs!$C$17)*$G$110*$H$108*$H$110)</f>
        <v>167.6325</v>
      </c>
      <c r="AG113" s="42" t="n">
        <f aca="false">-($D$108+$J$108)*(AG$5=0)+IF(AND(AG$5-$K$108&gt;=1,AG$5-$K$108&lt;=Inputs!$C$13),INDEX($N$111:$AL$111,1,AG$5-$K$108+1)*INDEX($N$112:$AL$112,1,AG$5-$K$108+1),0)-$I$108*((AG$5=Inputs!$C$12)*$C$110*$D$108+(AG$5=Inputs!$C$13)*$D$110*($D$108+Inputs!$C$14))+$I$108*((AG$5=Inputs!$C$15+$K$108)*$E$110*$I$110+(AG$5=Inputs!$C$16+$K$108)*$F$110*$J$110+(AG$5=Inputs!$C$17)*$G$110*$H$108*$H$110)</f>
        <v>169.1298</v>
      </c>
      <c r="AH113" s="42" t="n">
        <f aca="false">-($D$108+$J$108)*(AH$5=0)+IF(AND(AH$5-$K$108&gt;=1,AH$5-$K$108&lt;=Inputs!$C$13),INDEX($N$111:$AL$111,1,AH$5-$K$108+1)*INDEX($N$112:$AL$112,1,AH$5-$K$108+1),0)-$I$108*((AH$5=Inputs!$C$12)*$C$110*$D$108+(AH$5=Inputs!$C$13)*$D$110*($D$108+Inputs!$C$14))+$I$108*((AH$5=Inputs!$C$15+$K$108)*$E$110*$I$110+(AH$5=Inputs!$C$16+$K$108)*$F$110*$J$110+(AH$5=Inputs!$C$17)*$G$110*$H$108*$H$110)</f>
        <v>121.8765</v>
      </c>
      <c r="AI113" s="42" t="n">
        <f aca="false">-($D$108+$J$108)*(AI$5=0)+IF(AND(AI$5-$K$108&gt;=1,AI$5-$K$108&lt;=Inputs!$C$13),INDEX($N$111:$AL$111,1,AI$5-$K$108+1)*INDEX($N$112:$AL$112,1,AI$5-$K$108+1),0)-$I$108*((AI$5=Inputs!$C$12)*$C$110*$D$108+(AI$5=Inputs!$C$13)*$D$110*($D$108+Inputs!$C$14))+$I$108*((AI$5=Inputs!$C$15+$K$108)*$E$110*$I$110+(AI$5=Inputs!$C$16+$K$108)*$F$110*$J$110+(AI$5=Inputs!$C$17)*$G$110*$H$108*$H$110)</f>
        <v>122.946</v>
      </c>
      <c r="AJ113" s="42" t="n">
        <f aca="false">-($D$108+$J$108)*(AJ$5=0)+IF(AND(AJ$5-$K$108&gt;=1,AJ$5-$K$108&lt;=Inputs!$C$13),INDEX($N$111:$AL$111,1,AJ$5-$K$108+1)*INDEX($N$112:$AL$112,1,AJ$5-$K$108+1),0)-$I$108*((AJ$5=Inputs!$C$12)*$C$110*$D$108+(AJ$5=Inputs!$C$13)*$D$110*($D$108+Inputs!$C$14))+$I$108*((AJ$5=Inputs!$C$15+$K$108)*$E$110*$I$110+(AJ$5=Inputs!$C$16+$K$108)*$F$110*$J$110+(AJ$5=Inputs!$C$17)*$G$110*$H$108*$H$110)</f>
        <v>124.0155</v>
      </c>
      <c r="AK113" s="42" t="n">
        <f aca="false">-($D$108+$J$108)*(AK$5=0)+IF(AND(AK$5-$K$108&gt;=1,AK$5-$K$108&lt;=Inputs!$C$13),INDEX($N$111:$AL$111,1,AK$5-$K$108+1)*INDEX($N$112:$AL$112,1,AK$5-$K$108+1),0)-$I$108*((AK$5=Inputs!$C$12)*$C$110*$D$108+(AK$5=Inputs!$C$13)*$D$110*($D$108+Inputs!$C$14))+$I$108*((AK$5=Inputs!$C$15+$K$108)*$E$110*$I$110+(AK$5=Inputs!$C$16+$K$108)*$F$110*$J$110+(AK$5=Inputs!$C$17)*$G$110*$H$108*$H$110)</f>
        <v>125.085</v>
      </c>
      <c r="AL113" s="42" t="n">
        <f aca="false">-($D$108+$J$108)*(AL$5=0)+IF(AND(AL$5-$K$108&gt;=1,AL$5-$K$108&lt;=Inputs!$C$13),INDEX($N$111:$AL$111,1,AL$5-$K$108+1)*INDEX($N$112:$AL$112,1,AL$5-$K$108+1),0)-$I$108*((AL$5=Inputs!$C$12)*$C$110*$D$108+(AL$5=Inputs!$C$13)*$D$110*($D$108+Inputs!$C$14))+$I$108*((AL$5=Inputs!$C$15+$K$108)*$E$110*$I$110+(AL$5=Inputs!$C$16+$K$108)*$F$110*$J$110+(AL$5=Inputs!$C$17)*$G$110*$H$108*$H$110)</f>
        <v>-251.845499999999</v>
      </c>
      <c r="AM113" s="42" t="n">
        <f aca="false">-($D$108+$J$108)*(AM$5=0)+IF(AND(AM$5-$K$108&gt;=1,AM$5-$K$108&lt;=Inputs!$C$13),INDEX($N$111:$AL$111,1,AM$5-$K$108+1)*INDEX($N$112:$AL$112,1,AM$5-$K$108+1),0)-$I$108*((AM$5=Inputs!$C$12)*$C$110*$D$108+(AM$5=Inputs!$C$13)*$D$110*($D$108+Inputs!$C$14))+$I$108*((AM$5=Inputs!$C$15+$K$108)*$E$110*$I$110+(AM$5=Inputs!$C$16+$K$108)*$F$110*$J$110+(AM$5=Inputs!$C$17)*$G$110*$H$108*$H$110)</f>
        <v>127.224</v>
      </c>
      <c r="AN113" s="42" t="n">
        <f aca="false">-($D$108+$J$108)*(AN$5=0)+IF(AND(AN$5-$K$108&gt;=1,AN$5-$K$108&lt;=Inputs!$C$13),INDEX($N$111:$AL$111,1,AN$5-$K$108+1)*INDEX($N$112:$AL$112,1,AN$5-$K$108+1),0)-$I$108*((AN$5=Inputs!$C$12)*$C$110*$D$108+(AN$5=Inputs!$C$13)*$D$110*($D$108+Inputs!$C$14))+$I$108*((AN$5=Inputs!$C$15+$K$108)*$E$110*$I$110+(AN$5=Inputs!$C$16+$K$108)*$F$110*$J$110+(AN$5=Inputs!$C$17)*$G$110*$H$108*$H$110)</f>
        <v>0</v>
      </c>
      <c r="AO113" s="42" t="n">
        <f aca="false">-($D$108+$J$108)*(AO$5=0)+IF(AND(AO$5-$K$108&gt;=1,AO$5-$K$108&lt;=Inputs!$C$13),INDEX($N$111:$AL$111,1,AO$5-$K$108+1)*INDEX($N$112:$AL$112,1,AO$5-$K$108+1),0)-$I$108*((AO$5=Inputs!$C$12)*$C$110*$D$108+(AO$5=Inputs!$C$13)*$D$110*($D$108+Inputs!$C$14))+$I$108*((AO$5=Inputs!$C$15+$K$108)*$E$110*$I$110+(AO$5=Inputs!$C$16+$K$108)*$F$110*$J$110+(AO$5=Inputs!$C$17)*$G$110*$H$108*$H$110)</f>
        <v>0</v>
      </c>
      <c r="AP113" s="42" t="n">
        <f aca="false">-($D$108+$J$108)*(AP$5=0)+IF(AND(AP$5-$K$108&gt;=1,AP$5-$K$108&lt;=Inputs!$C$13),INDEX($N$111:$AL$111,1,AP$5-$K$108+1)*INDEX($N$112:$AL$112,1,AP$5-$K$108+1),0)-$I$108*((AP$5=Inputs!$C$12)*$C$110*$D$108+(AP$5=Inputs!$C$13)*$D$110*($D$108+Inputs!$C$14))+$I$108*((AP$5=Inputs!$C$15+$K$108)*$E$110*$I$110+(AP$5=Inputs!$C$16+$K$108)*$F$110*$J$110+(AP$5=Inputs!$C$17)*$G$110*$H$108*$H$110)</f>
        <v>587.034</v>
      </c>
      <c r="AQ113" s="42" t="n">
        <f aca="false">-($D$108+$J$108)*(AQ$5=0)+IF(AND(AQ$5-$K$108&gt;=1,AQ$5-$K$108&lt;=Inputs!$C$13),INDEX($N$111:$AL$111,1,AQ$5-$K$108+1)*INDEX($N$112:$AL$112,1,AQ$5-$K$108+1),0)-$I$108*((AQ$5=Inputs!$C$12)*$C$110*$D$108+(AQ$5=Inputs!$C$13)*$D$110*($D$108+Inputs!$C$14))+$I$108*((AQ$5=Inputs!$C$15+$K$108)*$E$110*$I$110+(AQ$5=Inputs!$C$16+$K$108)*$F$110*$J$110+(AQ$5=Inputs!$C$17)*$G$110*$H$108*$H$110)</f>
        <v>0</v>
      </c>
      <c r="AR113" s="42" t="n">
        <f aca="false">-($D$108+$J$108)*(AR$5=0)+IF(AND(AR$5-$K$108&gt;=1,AR$5-$K$108&lt;=Inputs!$C$13),INDEX($N$111:$AL$111,1,AR$5-$K$108+1)*INDEX($N$112:$AL$112,1,AR$5-$K$108+1),0)-$I$108*((AR$5=Inputs!$C$12)*$C$110*$D$108+(AR$5=Inputs!$C$13)*$D$110*($D$108+Inputs!$C$14))+$I$108*((AR$5=Inputs!$C$15+$K$108)*$E$110*$I$110+(AR$5=Inputs!$C$16+$K$108)*$F$110*$J$110+(AR$5=Inputs!$C$17)*$G$110*$H$108*$H$110)</f>
        <v>0</v>
      </c>
      <c r="AS113" s="42" t="n">
        <f aca="false">-($D$108+$J$108)*(AS$5=0)+IF(AND(AS$5-$K$108&gt;=1,AS$5-$K$108&lt;=Inputs!$C$13),INDEX($N$111:$AL$111,1,AS$5-$K$108+1)*INDEX($N$112:$AL$112,1,AS$5-$K$108+1),0)-$I$108*((AS$5=Inputs!$C$12)*$C$110*$D$108+(AS$5=Inputs!$C$13)*$D$110*($D$108+Inputs!$C$14))+$I$108*((AS$5=Inputs!$C$15+$K$108)*$E$110*$I$110+(AS$5=Inputs!$C$16+$K$108)*$F$110*$J$110+(AS$5=Inputs!$C$17)*$G$110*$H$108*$H$110)</f>
        <v>341.4348</v>
      </c>
      <c r="AT113" s="42" t="n">
        <f aca="false">-($D$108+$J$108)*(AT$5=0)+IF(AND(AT$5-$K$108&gt;=1,AT$5-$K$108&lt;=Inputs!$C$13),INDEX($N$111:$AL$111,1,AT$5-$K$108+1)*INDEX($N$112:$AL$112,1,AT$5-$K$108+1),0)-$I$108*((AT$5=Inputs!$C$12)*$C$110*$D$108+(AT$5=Inputs!$C$13)*$D$110*($D$108+Inputs!$C$14))+$I$108*((AT$5=Inputs!$C$15+$K$108)*$E$110*$I$110+(AT$5=Inputs!$C$16+$K$108)*$F$110*$J$110+(AT$5=Inputs!$C$17)*$G$110*$H$108*$H$110)</f>
        <v>0</v>
      </c>
      <c r="AU113" s="42" t="n">
        <f aca="false">-($D$108+$J$108)*(AU$5=0)+IF(AND(AU$5-$K$108&gt;=1,AU$5-$K$108&lt;=Inputs!$C$13),INDEX($N$111:$AL$111,1,AU$5-$K$108+1)*INDEX($N$112:$AL$112,1,AU$5-$K$108+1),0)-$I$108*((AU$5=Inputs!$C$12)*$C$110*$D$108+(AU$5=Inputs!$C$13)*$D$110*($D$108+Inputs!$C$14))+$I$108*((AU$5=Inputs!$C$15+$K$108)*$E$110*$I$110+(AU$5=Inputs!$C$16+$K$108)*$F$110*$J$110+(AU$5=Inputs!$C$17)*$G$110*$H$108*$H$110)</f>
        <v>0</v>
      </c>
      <c r="AV113" s="42" t="n">
        <f aca="false">-($D$108+$J$108)*(AV$5=0)+IF(AND(AV$5-$K$108&gt;=1,AV$5-$K$108&lt;=Inputs!$C$13),INDEX($N$111:$AL$111,1,AV$5-$K$108+1)*INDEX($N$112:$AL$112,1,AV$5-$K$108+1),0)-$I$108*((AV$5=Inputs!$C$12)*$C$110*$D$108+(AV$5=Inputs!$C$13)*$D$110*($D$108+Inputs!$C$14))+$I$108*((AV$5=Inputs!$C$15+$K$108)*$E$110*$I$110+(AV$5=Inputs!$C$16+$K$108)*$F$110*$J$110+(AV$5=Inputs!$C$17)*$G$110*$H$108*$H$110)</f>
        <v>0</v>
      </c>
      <c r="AW113" s="42" t="n">
        <f aca="false">-($D$108+$J$108)*(AW$5=0)+IF(AND(AW$5-$K$108&gt;=1,AW$5-$K$108&lt;=Inputs!$C$13),INDEX($N$111:$AL$111,1,AW$5-$K$108+1)*INDEX($N$112:$AL$112,1,AW$5-$K$108+1),0)-$I$108*((AW$5=Inputs!$C$12)*$C$110*$D$108+(AW$5=Inputs!$C$13)*$D$110*($D$108+Inputs!$C$14))+$I$108*((AW$5=Inputs!$C$15+$K$108)*$E$110*$I$110+(AW$5=Inputs!$C$16+$K$108)*$F$110*$J$110+(AW$5=Inputs!$C$17)*$G$110*$H$108*$H$110)</f>
        <v>0</v>
      </c>
      <c r="AX113" s="42" t="n">
        <f aca="false">-($D$108+$J$108)*(AX$5=0)+IF(AND(AX$5-$K$108&gt;=1,AX$5-$K$108&lt;=Inputs!$C$13),INDEX($N$111:$AL$111,1,AX$5-$K$108+1)*INDEX($N$112:$AL$112,1,AX$5-$K$108+1),0)-$I$108*((AX$5=Inputs!$C$12)*$C$110*$D$108+(AX$5=Inputs!$C$13)*$D$110*($D$108+Inputs!$C$14))+$I$108*((AX$5=Inputs!$C$15+$K$108)*$E$110*$I$110+(AX$5=Inputs!$C$16+$K$108)*$F$110*$J$110+(AX$5=Inputs!$C$17)*$G$110*$H$108*$H$110)</f>
        <v>47.628</v>
      </c>
      <c r="AY113" s="42" t="n">
        <f aca="false">-($D$108+$J$108)*(AY$5=0)+IF(AND(AY$5-$K$108&gt;=1,AY$5-$K$108&lt;=Inputs!$C$13),INDEX($N$111:$AL$111,1,AY$5-$K$108+1)*INDEX($N$112:$AL$112,1,AY$5-$K$108+1),0)-$I$108*((AY$5=Inputs!$C$12)*$C$110*$D$108+(AY$5=Inputs!$C$13)*$D$110*($D$108+Inputs!$C$14))+$I$108*((AY$5=Inputs!$C$15+$K$108)*$E$110*$I$110+(AY$5=Inputs!$C$16+$K$108)*$F$110*$J$110+(AY$5=Inputs!$C$17)*$G$110*$H$108*$H$110)</f>
        <v>0</v>
      </c>
    </row>
    <row r="115" customFormat="false" ht="15" hidden="false" customHeight="false" outlineLevel="0" collapsed="false">
      <c r="B115" s="7" t="s">
        <v>199</v>
      </c>
      <c r="C115" s="8"/>
      <c r="D115" s="8"/>
      <c r="E115" s="8"/>
      <c r="F115" s="8"/>
      <c r="G115" s="8"/>
      <c r="H115" s="8"/>
      <c r="I115" s="8"/>
      <c r="J115" s="8"/>
      <c r="K115" s="8"/>
      <c r="L115" s="8"/>
    </row>
    <row r="116" customFormat="false" ht="30" hidden="false" customHeight="true" outlineLevel="0" collapsed="false">
      <c r="B116" s="37"/>
      <c r="C116" s="38" t="s">
        <v>169</v>
      </c>
      <c r="D116" s="38" t="s">
        <v>170</v>
      </c>
      <c r="E116" s="38" t="s">
        <v>171</v>
      </c>
      <c r="F116" s="38" t="s">
        <v>43</v>
      </c>
      <c r="G116" s="38" t="s">
        <v>44</v>
      </c>
      <c r="H116" s="38" t="s">
        <v>45</v>
      </c>
      <c r="I116" s="38" t="s">
        <v>172</v>
      </c>
      <c r="J116" s="38" t="s">
        <v>90</v>
      </c>
      <c r="K116" s="38" t="s">
        <v>89</v>
      </c>
      <c r="L116" s="38" t="s">
        <v>173</v>
      </c>
    </row>
    <row r="117" customFormat="false" ht="15" hidden="false" customHeight="false" outlineLevel="0" collapsed="false">
      <c r="B117" s="39" t="s">
        <v>174</v>
      </c>
      <c r="C117" s="26" t="n">
        <f aca="false">Class_IRR!$G$5</f>
        <v>0.07</v>
      </c>
      <c r="D117" s="30" t="n">
        <f aca="false">Inputs!$E$24</f>
        <v>3600</v>
      </c>
      <c r="E117" s="26" t="n">
        <f aca="false">Inputs!$F$24</f>
        <v>0.93</v>
      </c>
      <c r="F117" s="25" t="n">
        <f aca="false">Inputs!$G$24</f>
        <v>0.6</v>
      </c>
      <c r="G117" s="25" t="n">
        <f aca="false">Inputs!$H$24</f>
        <v>0.85</v>
      </c>
      <c r="H117" s="25" t="n">
        <f aca="false">Inputs!$I$24</f>
        <v>0.9</v>
      </c>
      <c r="I117" s="22" t="n">
        <f aca="false">Inputs!$J$24</f>
        <v>1</v>
      </c>
      <c r="J117" s="23" t="n">
        <f aca="false">Inputs!$C$9</f>
        <v>10</v>
      </c>
      <c r="K117" s="22" t="n">
        <f aca="false">Inputs!$C$10</f>
        <v>1</v>
      </c>
      <c r="L117" s="22" t="n">
        <f aca="false">1</f>
        <v>1</v>
      </c>
    </row>
    <row r="118" customFormat="false" ht="30" hidden="false" customHeight="true" outlineLevel="0" collapsed="false">
      <c r="B118" s="37"/>
      <c r="C118" s="38" t="s">
        <v>175</v>
      </c>
      <c r="D118" s="38" t="s">
        <v>176</v>
      </c>
      <c r="E118" s="38" t="s">
        <v>177</v>
      </c>
      <c r="F118" s="38" t="s">
        <v>178</v>
      </c>
      <c r="G118" s="38" t="s">
        <v>112</v>
      </c>
      <c r="H118" s="38" t="s">
        <v>179</v>
      </c>
      <c r="I118" s="38" t="s">
        <v>180</v>
      </c>
      <c r="J118" s="38" t="s">
        <v>181</v>
      </c>
      <c r="K118" s="38" t="s">
        <v>182</v>
      </c>
      <c r="L118" s="38" t="s">
        <v>183</v>
      </c>
    </row>
    <row r="119" customFormat="false" ht="15" hidden="false" customHeight="false" outlineLevel="0" collapsed="false">
      <c r="B119" s="39" t="s">
        <v>184</v>
      </c>
      <c r="C119" s="40" t="n">
        <f aca="false">1-$E$117*CHOOSE($L$117,INDEX(Timing!$C$7:$AA$7,1,Inputs!$C$12+1),INDEX(Timing!$C$8:$AA$8,1,Inputs!$C$12+1))</f>
        <v>0.2932</v>
      </c>
      <c r="D119" s="40" t="n">
        <f aca="false">1-$E$117*CHOOSE($L$117,INDEX(Timing!$C$7:$AA$7,1,Inputs!$C$13+1),INDEX(Timing!$C$8:$AA$8,1,Inputs!$C$13+1))</f>
        <v>0.07</v>
      </c>
      <c r="E119" s="40" t="n">
        <f aca="false">$I$117*$D$119*$F$117</f>
        <v>0.042</v>
      </c>
      <c r="F119" s="40" t="n">
        <f aca="false">$I$117*($D$119-$E$119)*$G$117</f>
        <v>0.0238</v>
      </c>
      <c r="G119" s="40" t="n">
        <f aca="false">$I$117*($D$119-$E$119-$F$119)</f>
        <v>0.0042</v>
      </c>
      <c r="H119" s="23" t="n">
        <f aca="false">$I$117*(3*$D$117+Inputs!$C$14)</f>
        <v>12600</v>
      </c>
      <c r="I119" s="23" t="n">
        <f aca="false">$I$117*($D$117*(1+IF($C$117&lt;=0,0,MAX($C$117*Inputs!$C$15/12,Inputs!$C$8)))+$D$117*(1+Inputs!$C$11*(Inputs!$C$15-Inputs!$C$12)/12)+$D$117*(1+Inputs!$C$11*(Inputs!$C$15-Inputs!$C$13)/12)+Inputs!$C$14)</f>
        <v>14139</v>
      </c>
      <c r="J119" s="23" t="n">
        <f aca="false">$I$117*($D$117*(1+IF($C$117&lt;=0,0,MAX($C$117*Inputs!$C$16/12,Inputs!$C$8)))+$D$117*(1+Inputs!$C$11*(Inputs!$C$16-Inputs!$C$12)/12)+$D$117*(1+Inputs!$C$11*(Inputs!$C$16-Inputs!$C$13)/12)+Inputs!$C$14)</f>
        <v>14526</v>
      </c>
      <c r="K119" s="40" t="n">
        <f aca="false">IRR($N$122:$AY$122,0.005)</f>
        <v>0.00727642756888269</v>
      </c>
      <c r="L119" s="41" t="n">
        <f aca="false">(1+$K$119)^12-1</f>
        <v>0.0908977543816594</v>
      </c>
    </row>
    <row r="120" customFormat="false" ht="15" hidden="false" customHeight="false" outlineLevel="0" collapsed="false">
      <c r="B120" s="9" t="s">
        <v>185</v>
      </c>
      <c r="N120" s="40" t="n">
        <f aca="false">0</f>
        <v>0</v>
      </c>
      <c r="O120" s="40" t="n">
        <f aca="false">$E$117*(CHOOSE($L$117,Timing!D$7,Timing!D$8)-CHOOSE($L$117,Timing!C$7,Timing!C$8))</f>
        <v>0.1116</v>
      </c>
      <c r="P120" s="40" t="n">
        <f aca="false">$E$117*(CHOOSE($L$117,Timing!E$7,Timing!E$8)-CHOOSE($L$117,Timing!D$7,Timing!D$8))</f>
        <v>0.093</v>
      </c>
      <c r="Q120" s="40" t="n">
        <f aca="false">$E$117*(CHOOSE($L$117,Timing!F$7,Timing!F$8)-CHOOSE($L$117,Timing!E$7,Timing!E$8))</f>
        <v>0.0837</v>
      </c>
      <c r="R120" s="40" t="n">
        <f aca="false">$E$117*(CHOOSE($L$117,Timing!G$7,Timing!G$8)-CHOOSE($L$117,Timing!F$7,Timing!F$8))</f>
        <v>0.0651</v>
      </c>
      <c r="S120" s="40" t="n">
        <f aca="false">$E$117*(CHOOSE($L$117,Timing!H$7,Timing!H$8)-CHOOSE($L$117,Timing!G$7,Timing!G$8))</f>
        <v>0.0651</v>
      </c>
      <c r="T120" s="40" t="n">
        <f aca="false">$E$117*(CHOOSE($L$117,Timing!I$7,Timing!I$8)-CHOOSE($L$117,Timing!H$7,Timing!H$8))</f>
        <v>0.0651</v>
      </c>
      <c r="U120" s="40" t="n">
        <f aca="false">$E$117*(CHOOSE($L$117,Timing!J$7,Timing!J$8)-CHOOSE($L$117,Timing!I$7,Timing!I$8))</f>
        <v>0.0403</v>
      </c>
      <c r="V120" s="40" t="n">
        <f aca="false">$E$117*(CHOOSE($L$117,Timing!K$7,Timing!K$8)-CHOOSE($L$117,Timing!J$7,Timing!J$8))</f>
        <v>0.0403</v>
      </c>
      <c r="W120" s="40" t="n">
        <f aca="false">$E$117*(CHOOSE($L$117,Timing!L$7,Timing!L$8)-CHOOSE($L$117,Timing!K$7,Timing!K$8))</f>
        <v>0.0403</v>
      </c>
      <c r="X120" s="40" t="n">
        <f aca="false">$E$117*(CHOOSE($L$117,Timing!M$7,Timing!M$8)-CHOOSE($L$117,Timing!L$7,Timing!L$8))</f>
        <v>0.0341</v>
      </c>
      <c r="Y120" s="40" t="n">
        <f aca="false">$E$117*(CHOOSE($L$117,Timing!N$7,Timing!N$8)-CHOOSE($L$117,Timing!M$7,Timing!M$8))</f>
        <v>0.0341000000000001</v>
      </c>
      <c r="Z120" s="40" t="n">
        <f aca="false">$E$117*(CHOOSE($L$117,Timing!O$7,Timing!O$8)-CHOOSE($L$117,Timing!N$7,Timing!N$8))</f>
        <v>0.0341</v>
      </c>
      <c r="AA120" s="40" t="n">
        <f aca="false">$E$117*(CHOOSE($L$117,Timing!P$7,Timing!P$8)-CHOOSE($L$117,Timing!O$7,Timing!O$8))</f>
        <v>0.0217</v>
      </c>
      <c r="AB120" s="40" t="n">
        <f aca="false">$E$117*(CHOOSE($L$117,Timing!Q$7,Timing!Q$8)-CHOOSE($L$117,Timing!P$7,Timing!P$8))</f>
        <v>0.0217</v>
      </c>
      <c r="AC120" s="40" t="n">
        <f aca="false">$E$117*(CHOOSE($L$117,Timing!R$7,Timing!R$8)-CHOOSE($L$117,Timing!Q$7,Timing!Q$8))</f>
        <v>0.0217000000000001</v>
      </c>
      <c r="AD120" s="40" t="n">
        <f aca="false">$E$117*(CHOOSE($L$117,Timing!S$7,Timing!S$8)-CHOOSE($L$117,Timing!R$7,Timing!R$8))</f>
        <v>0.0217</v>
      </c>
      <c r="AE120" s="40" t="n">
        <f aca="false">$E$117*(CHOOSE($L$117,Timing!T$7,Timing!T$8)-CHOOSE($L$117,Timing!S$7,Timing!S$8))</f>
        <v>0.0217</v>
      </c>
      <c r="AF120" s="40" t="n">
        <f aca="false">$E$117*(CHOOSE($L$117,Timing!U$7,Timing!U$8)-CHOOSE($L$117,Timing!T$7,Timing!T$8))</f>
        <v>0.0217</v>
      </c>
      <c r="AG120" s="40" t="n">
        <f aca="false">$E$117*(CHOOSE($L$117,Timing!V$7,Timing!V$8)-CHOOSE($L$117,Timing!U$7,Timing!U$8))</f>
        <v>0.0155</v>
      </c>
      <c r="AH120" s="40" t="n">
        <f aca="false">$E$117*(CHOOSE($L$117,Timing!W$7,Timing!W$8)-CHOOSE($L$117,Timing!V$7,Timing!V$8))</f>
        <v>0.0154999999999999</v>
      </c>
      <c r="AI120" s="40" t="n">
        <f aca="false">$E$117*(CHOOSE($L$117,Timing!X$7,Timing!X$8)-CHOOSE($L$117,Timing!W$7,Timing!W$8))</f>
        <v>0.0154999999999999</v>
      </c>
      <c r="AJ120" s="40" t="n">
        <f aca="false">$E$117*(CHOOSE($L$117,Timing!Y$7,Timing!Y$8)-CHOOSE($L$117,Timing!X$7,Timing!X$8))</f>
        <v>0.0155</v>
      </c>
      <c r="AK120" s="40" t="n">
        <f aca="false">$E$117*(CHOOSE($L$117,Timing!Z$7,Timing!Z$8)-CHOOSE($L$117,Timing!Y$7,Timing!Y$8))</f>
        <v>0.0155</v>
      </c>
      <c r="AL120" s="40" t="n">
        <f aca="false">$E$117*(CHOOSE($L$117,Timing!AA$7,Timing!AA$8)-CHOOSE($L$117,Timing!Z$7,Timing!Z$8))</f>
        <v>0.0154999999999999</v>
      </c>
    </row>
    <row r="121" customFormat="false" ht="15" hidden="false" customHeight="false" outlineLevel="0" collapsed="false">
      <c r="B121" s="9" t="s">
        <v>186</v>
      </c>
      <c r="N121" s="42" t="n">
        <f aca="false">0</f>
        <v>0</v>
      </c>
      <c r="O121" s="42" t="n">
        <f aca="false">$D$117*(1+IF($C$117&lt;=0,0,MAX($C$117*O$5/12,Inputs!$C$8)))+$I$117*(O$5&gt;Inputs!$C$12)*$D$117*(1+Inputs!$C$11*(O$5-Inputs!$C$12)/12)</f>
        <v>3780</v>
      </c>
      <c r="P121" s="42" t="n">
        <f aca="false">$D$117*(1+IF($C$117&lt;=0,0,MAX($C$117*P$5/12,Inputs!$C$8)))+$I$117*(P$5&gt;Inputs!$C$12)*$D$117*(1+Inputs!$C$11*(P$5-Inputs!$C$12)/12)</f>
        <v>3780</v>
      </c>
      <c r="Q121" s="42" t="n">
        <f aca="false">$D$117*(1+IF($C$117&lt;=0,0,MAX($C$117*Q$5/12,Inputs!$C$8)))+$I$117*(Q$5&gt;Inputs!$C$12)*$D$117*(1+Inputs!$C$11*(Q$5-Inputs!$C$12)/12)</f>
        <v>3780</v>
      </c>
      <c r="R121" s="42" t="n">
        <f aca="false">$D$117*(1+IF($C$117&lt;=0,0,MAX($C$117*R$5/12,Inputs!$C$8)))+$I$117*(R$5&gt;Inputs!$C$12)*$D$117*(1+Inputs!$C$11*(R$5-Inputs!$C$12)/12)</f>
        <v>3780</v>
      </c>
      <c r="S121" s="42" t="n">
        <f aca="false">$D$117*(1+IF($C$117&lt;=0,0,MAX($C$117*S$5/12,Inputs!$C$8)))+$I$117*(S$5&gt;Inputs!$C$12)*$D$117*(1+Inputs!$C$11*(S$5-Inputs!$C$12)/12)</f>
        <v>3780</v>
      </c>
      <c r="T121" s="42" t="n">
        <f aca="false">$D$117*(1+IF($C$117&lt;=0,0,MAX($C$117*T$5/12,Inputs!$C$8)))+$I$117*(T$5&gt;Inputs!$C$12)*$D$117*(1+Inputs!$C$11*(T$5-Inputs!$C$12)/12)</f>
        <v>3780</v>
      </c>
      <c r="U121" s="42" t="n">
        <f aca="false">$D$117*(1+IF($C$117&lt;=0,0,MAX($C$117*U$5/12,Inputs!$C$8)))+$I$117*(U$5&gt;Inputs!$C$12)*$D$117*(1+Inputs!$C$11*(U$5-Inputs!$C$12)/12)</f>
        <v>3780</v>
      </c>
      <c r="V121" s="42" t="n">
        <f aca="false">$D$117*(1+IF($C$117&lt;=0,0,MAX($C$117*V$5/12,Inputs!$C$8)))+$I$117*(V$5&gt;Inputs!$C$12)*$D$117*(1+Inputs!$C$11*(V$5-Inputs!$C$12)/12)</f>
        <v>3780</v>
      </c>
      <c r="W121" s="42" t="n">
        <f aca="false">$D$117*(1+IF($C$117&lt;=0,0,MAX($C$117*W$5/12,Inputs!$C$8)))+$I$117*(W$5&gt;Inputs!$C$12)*$D$117*(1+Inputs!$C$11*(W$5-Inputs!$C$12)/12)</f>
        <v>3789</v>
      </c>
      <c r="X121" s="42" t="n">
        <f aca="false">$D$117*(1+IF($C$117&lt;=0,0,MAX($C$117*X$5/12,Inputs!$C$8)))+$I$117*(X$5&gt;Inputs!$C$12)*$D$117*(1+Inputs!$C$11*(X$5-Inputs!$C$12)/12)</f>
        <v>3810</v>
      </c>
      <c r="Y121" s="42" t="n">
        <f aca="false">$D$117*(1+IF($C$117&lt;=0,0,MAX($C$117*Y$5/12,Inputs!$C$8)))+$I$117*(Y$5&gt;Inputs!$C$12)*$D$117*(1+Inputs!$C$11*(Y$5-Inputs!$C$12)/12)</f>
        <v>3831</v>
      </c>
      <c r="Z121" s="42" t="n">
        <f aca="false">$D$117*(1+IF($C$117&lt;=0,0,MAX($C$117*Z$5/12,Inputs!$C$8)))+$I$117*(Z$5&gt;Inputs!$C$12)*$D$117*(1+Inputs!$C$11*(Z$5-Inputs!$C$12)/12)</f>
        <v>3852</v>
      </c>
      <c r="AA121" s="42" t="n">
        <f aca="false">$D$117*(1+IF($C$117&lt;=0,0,MAX($C$117*AA$5/12,Inputs!$C$8)))+$I$117*(AA$5&gt;Inputs!$C$12)*$D$117*(1+Inputs!$C$11*(AA$5-Inputs!$C$12)/12)</f>
        <v>7527</v>
      </c>
      <c r="AB121" s="42" t="n">
        <f aca="false">$D$117*(1+IF($C$117&lt;=0,0,MAX($C$117*AB$5/12,Inputs!$C$8)))+$I$117*(AB$5&gt;Inputs!$C$12)*$D$117*(1+Inputs!$C$11*(AB$5-Inputs!$C$12)/12)</f>
        <v>7602</v>
      </c>
      <c r="AC121" s="42" t="n">
        <f aca="false">$D$117*(1+IF($C$117&lt;=0,0,MAX($C$117*AC$5/12,Inputs!$C$8)))+$I$117*(AC$5&gt;Inputs!$C$12)*$D$117*(1+Inputs!$C$11*(AC$5-Inputs!$C$12)/12)</f>
        <v>7677</v>
      </c>
      <c r="AD121" s="42" t="n">
        <f aca="false">$D$117*(1+IF($C$117&lt;=0,0,MAX($C$117*AD$5/12,Inputs!$C$8)))+$I$117*(AD$5&gt;Inputs!$C$12)*$D$117*(1+Inputs!$C$11*(AD$5-Inputs!$C$12)/12)</f>
        <v>7752</v>
      </c>
      <c r="AE121" s="42" t="n">
        <f aca="false">$D$117*(1+IF($C$117&lt;=0,0,MAX($C$117*AE$5/12,Inputs!$C$8)))+$I$117*(AE$5&gt;Inputs!$C$12)*$D$117*(1+Inputs!$C$11*(AE$5-Inputs!$C$12)/12)</f>
        <v>7827</v>
      </c>
      <c r="AF121" s="42" t="n">
        <f aca="false">$D$117*(1+IF($C$117&lt;=0,0,MAX($C$117*AF$5/12,Inputs!$C$8)))+$I$117*(AF$5&gt;Inputs!$C$12)*$D$117*(1+Inputs!$C$11*(AF$5-Inputs!$C$12)/12)</f>
        <v>7902</v>
      </c>
      <c r="AG121" s="42" t="n">
        <f aca="false">$D$117*(1+IF($C$117&lt;=0,0,MAX($C$117*AG$5/12,Inputs!$C$8)))+$I$117*(AG$5&gt;Inputs!$C$12)*$D$117*(1+Inputs!$C$11*(AG$5-Inputs!$C$12)/12)</f>
        <v>7977</v>
      </c>
      <c r="AH121" s="42" t="n">
        <f aca="false">$D$117*(1+IF($C$117&lt;=0,0,MAX($C$117*AH$5/12,Inputs!$C$8)))+$I$117*(AH$5&gt;Inputs!$C$12)*$D$117*(1+Inputs!$C$11*(AH$5-Inputs!$C$12)/12)</f>
        <v>8052</v>
      </c>
      <c r="AI121" s="42" t="n">
        <f aca="false">$D$117*(1+IF($C$117&lt;=0,0,MAX($C$117*AI$5/12,Inputs!$C$8)))+$I$117*(AI$5&gt;Inputs!$C$12)*$D$117*(1+Inputs!$C$11*(AI$5-Inputs!$C$12)/12)</f>
        <v>8127</v>
      </c>
      <c r="AJ121" s="42" t="n">
        <f aca="false">$D$117*(1+IF($C$117&lt;=0,0,MAX($C$117*AJ$5/12,Inputs!$C$8)))+$I$117*(AJ$5&gt;Inputs!$C$12)*$D$117*(1+Inputs!$C$11*(AJ$5-Inputs!$C$12)/12)</f>
        <v>8202</v>
      </c>
      <c r="AK121" s="42" t="n">
        <f aca="false">$D$117*(1+IF($C$117&lt;=0,0,MAX($C$117*AK$5/12,Inputs!$C$8)))+$I$117*(AK$5&gt;Inputs!$C$12)*$D$117*(1+Inputs!$C$11*(AK$5-Inputs!$C$12)/12)</f>
        <v>8277</v>
      </c>
      <c r="AL121" s="42" t="n">
        <f aca="false">$D$117*(1+IF($C$117&lt;=0,0,MAX($C$117*AL$5/12,Inputs!$C$8)))+$I$117*(AL$5&gt;Inputs!$C$12)*$D$117*(1+Inputs!$C$11*(AL$5-Inputs!$C$12)/12)</f>
        <v>8352</v>
      </c>
    </row>
    <row r="122" customFormat="false" ht="15" hidden="false" customHeight="false" outlineLevel="0" collapsed="false">
      <c r="B122" s="31" t="s">
        <v>187</v>
      </c>
      <c r="N122" s="42" t="n">
        <f aca="false">-($D$117+$J$117)*(N$5=0)+IF(AND(N$5-$K$117&gt;=1,N$5-$K$117&lt;=Inputs!$C$13),INDEX($N$120:$AL$120,1,N$5-$K$117+1)*INDEX($N$121:$AL$121,1,N$5-$K$117+1),0)-$I$117*((N$5=Inputs!$C$12)*$C$119*$D$117+(N$5=Inputs!$C$13)*$D$119*($D$117+Inputs!$C$14))+$I$117*((N$5=Inputs!$C$15+$K$117)*$E$119*$I$119+(N$5=Inputs!$C$16+$K$117)*$F$119*$J$119+(N$5=Inputs!$C$17)*$G$119*$H$117*$H$119)</f>
        <v>-3610</v>
      </c>
      <c r="O122" s="42" t="n">
        <f aca="false">-($D$117+$J$117)*(O$5=0)+IF(AND(O$5-$K$117&gt;=1,O$5-$K$117&lt;=Inputs!$C$13),INDEX($N$120:$AL$120,1,O$5-$K$117+1)*INDEX($N$121:$AL$121,1,O$5-$K$117+1),0)-$I$117*((O$5=Inputs!$C$12)*$C$119*$D$117+(O$5=Inputs!$C$13)*$D$119*($D$117+Inputs!$C$14))+$I$117*((O$5=Inputs!$C$15+$K$117)*$E$119*$I$119+(O$5=Inputs!$C$16+$K$117)*$F$119*$J$119+(O$5=Inputs!$C$17)*$G$119*$H$117*$H$119)</f>
        <v>0</v>
      </c>
      <c r="P122" s="42" t="n">
        <f aca="false">-($D$117+$J$117)*(P$5=0)+IF(AND(P$5-$K$117&gt;=1,P$5-$K$117&lt;=Inputs!$C$13),INDEX($N$120:$AL$120,1,P$5-$K$117+1)*INDEX($N$121:$AL$121,1,P$5-$K$117+1),0)-$I$117*((P$5=Inputs!$C$12)*$C$119*$D$117+(P$5=Inputs!$C$13)*$D$119*($D$117+Inputs!$C$14))+$I$117*((P$5=Inputs!$C$15+$K$117)*$E$119*$I$119+(P$5=Inputs!$C$16+$K$117)*$F$119*$J$119+(P$5=Inputs!$C$17)*$G$119*$H$117*$H$119)</f>
        <v>421.848</v>
      </c>
      <c r="Q122" s="42" t="n">
        <f aca="false">-($D$117+$J$117)*(Q$5=0)+IF(AND(Q$5-$K$117&gt;=1,Q$5-$K$117&lt;=Inputs!$C$13),INDEX($N$120:$AL$120,1,Q$5-$K$117+1)*INDEX($N$121:$AL$121,1,Q$5-$K$117+1),0)-$I$117*((Q$5=Inputs!$C$12)*$C$119*$D$117+(Q$5=Inputs!$C$13)*$D$119*($D$117+Inputs!$C$14))+$I$117*((Q$5=Inputs!$C$15+$K$117)*$E$119*$I$119+(Q$5=Inputs!$C$16+$K$117)*$F$119*$J$119+(Q$5=Inputs!$C$17)*$G$119*$H$117*$H$119)</f>
        <v>351.54</v>
      </c>
      <c r="R122" s="42" t="n">
        <f aca="false">-($D$117+$J$117)*(R$5=0)+IF(AND(R$5-$K$117&gt;=1,R$5-$K$117&lt;=Inputs!$C$13),INDEX($N$120:$AL$120,1,R$5-$K$117+1)*INDEX($N$121:$AL$121,1,R$5-$K$117+1),0)-$I$117*((R$5=Inputs!$C$12)*$C$119*$D$117+(R$5=Inputs!$C$13)*$D$119*($D$117+Inputs!$C$14))+$I$117*((R$5=Inputs!$C$15+$K$117)*$E$119*$I$119+(R$5=Inputs!$C$16+$K$117)*$F$119*$J$119+(R$5=Inputs!$C$17)*$G$119*$H$117*$H$119)</f>
        <v>316.386</v>
      </c>
      <c r="S122" s="42" t="n">
        <f aca="false">-($D$117+$J$117)*(S$5=0)+IF(AND(S$5-$K$117&gt;=1,S$5-$K$117&lt;=Inputs!$C$13),INDEX($N$120:$AL$120,1,S$5-$K$117+1)*INDEX($N$121:$AL$121,1,S$5-$K$117+1),0)-$I$117*((S$5=Inputs!$C$12)*$C$119*$D$117+(S$5=Inputs!$C$13)*$D$119*($D$117+Inputs!$C$14))+$I$117*((S$5=Inputs!$C$15+$K$117)*$E$119*$I$119+(S$5=Inputs!$C$16+$K$117)*$F$119*$J$119+(S$5=Inputs!$C$17)*$G$119*$H$117*$H$119)</f>
        <v>246.078</v>
      </c>
      <c r="T122" s="42" t="n">
        <f aca="false">-($D$117+$J$117)*(T$5=0)+IF(AND(T$5-$K$117&gt;=1,T$5-$K$117&lt;=Inputs!$C$13),INDEX($N$120:$AL$120,1,T$5-$K$117+1)*INDEX($N$121:$AL$121,1,T$5-$K$117+1),0)-$I$117*((T$5=Inputs!$C$12)*$C$119*$D$117+(T$5=Inputs!$C$13)*$D$119*($D$117+Inputs!$C$14))+$I$117*((T$5=Inputs!$C$15+$K$117)*$E$119*$I$119+(T$5=Inputs!$C$16+$K$117)*$F$119*$J$119+(T$5=Inputs!$C$17)*$G$119*$H$117*$H$119)</f>
        <v>246.078</v>
      </c>
      <c r="U122" s="42" t="n">
        <f aca="false">-($D$117+$J$117)*(U$5=0)+IF(AND(U$5-$K$117&gt;=1,U$5-$K$117&lt;=Inputs!$C$13),INDEX($N$120:$AL$120,1,U$5-$K$117+1)*INDEX($N$121:$AL$121,1,U$5-$K$117+1),0)-$I$117*((U$5=Inputs!$C$12)*$C$119*$D$117+(U$5=Inputs!$C$13)*$D$119*($D$117+Inputs!$C$14))+$I$117*((U$5=Inputs!$C$15+$K$117)*$E$119*$I$119+(U$5=Inputs!$C$16+$K$117)*$F$119*$J$119+(U$5=Inputs!$C$17)*$G$119*$H$117*$H$119)</f>
        <v>246.078</v>
      </c>
      <c r="V122" s="42" t="n">
        <f aca="false">-($D$117+$J$117)*(V$5=0)+IF(AND(V$5-$K$117&gt;=1,V$5-$K$117&lt;=Inputs!$C$13),INDEX($N$120:$AL$120,1,V$5-$K$117+1)*INDEX($N$121:$AL$121,1,V$5-$K$117+1),0)-$I$117*((V$5=Inputs!$C$12)*$C$119*$D$117+(V$5=Inputs!$C$13)*$D$119*($D$117+Inputs!$C$14))+$I$117*((V$5=Inputs!$C$15+$K$117)*$E$119*$I$119+(V$5=Inputs!$C$16+$K$117)*$F$119*$J$119+(V$5=Inputs!$C$17)*$G$119*$H$117*$H$119)</f>
        <v>152.334</v>
      </c>
      <c r="W122" s="42" t="n">
        <f aca="false">-($D$117+$J$117)*(W$5=0)+IF(AND(W$5-$K$117&gt;=1,W$5-$K$117&lt;=Inputs!$C$13),INDEX($N$120:$AL$120,1,W$5-$K$117+1)*INDEX($N$121:$AL$121,1,W$5-$K$117+1),0)-$I$117*((W$5=Inputs!$C$12)*$C$119*$D$117+(W$5=Inputs!$C$13)*$D$119*($D$117+Inputs!$C$14))+$I$117*((W$5=Inputs!$C$15+$K$117)*$E$119*$I$119+(W$5=Inputs!$C$16+$K$117)*$F$119*$J$119+(W$5=Inputs!$C$17)*$G$119*$H$117*$H$119)</f>
        <v>152.334</v>
      </c>
      <c r="X122" s="42" t="n">
        <f aca="false">-($D$117+$J$117)*(X$5=0)+IF(AND(X$5-$K$117&gt;=1,X$5-$K$117&lt;=Inputs!$C$13),INDEX($N$120:$AL$120,1,X$5-$K$117+1)*INDEX($N$121:$AL$121,1,X$5-$K$117+1),0)-$I$117*((X$5=Inputs!$C$12)*$C$119*$D$117+(X$5=Inputs!$C$13)*$D$119*($D$117+Inputs!$C$14))+$I$117*((X$5=Inputs!$C$15+$K$117)*$E$119*$I$119+(X$5=Inputs!$C$16+$K$117)*$F$119*$J$119+(X$5=Inputs!$C$17)*$G$119*$H$117*$H$119)</f>
        <v>152.6967</v>
      </c>
      <c r="Y122" s="42" t="n">
        <f aca="false">-($D$117+$J$117)*(Y$5=0)+IF(AND(Y$5-$K$117&gt;=1,Y$5-$K$117&lt;=Inputs!$C$13),INDEX($N$120:$AL$120,1,Y$5-$K$117+1)*INDEX($N$121:$AL$121,1,Y$5-$K$117+1),0)-$I$117*((Y$5=Inputs!$C$12)*$C$119*$D$117+(Y$5=Inputs!$C$13)*$D$119*($D$117+Inputs!$C$14))+$I$117*((Y$5=Inputs!$C$15+$K$117)*$E$119*$I$119+(Y$5=Inputs!$C$16+$K$117)*$F$119*$J$119+(Y$5=Inputs!$C$17)*$G$119*$H$117*$H$119)</f>
        <v>129.921</v>
      </c>
      <c r="Z122" s="42" t="n">
        <f aca="false">-($D$117+$J$117)*(Z$5=0)+IF(AND(Z$5-$K$117&gt;=1,Z$5-$K$117&lt;=Inputs!$C$13),INDEX($N$120:$AL$120,1,Z$5-$K$117+1)*INDEX($N$121:$AL$121,1,Z$5-$K$117+1),0)-$I$117*((Z$5=Inputs!$C$12)*$C$119*$D$117+(Z$5=Inputs!$C$13)*$D$119*($D$117+Inputs!$C$14))+$I$117*((Z$5=Inputs!$C$15+$K$117)*$E$119*$I$119+(Z$5=Inputs!$C$16+$K$117)*$F$119*$J$119+(Z$5=Inputs!$C$17)*$G$119*$H$117*$H$119)</f>
        <v>-924.8829</v>
      </c>
      <c r="AA122" s="42" t="n">
        <f aca="false">-($D$117+$J$117)*(AA$5=0)+IF(AND(AA$5-$K$117&gt;=1,AA$5-$K$117&lt;=Inputs!$C$13),INDEX($N$120:$AL$120,1,AA$5-$K$117+1)*INDEX($N$121:$AL$121,1,AA$5-$K$117+1),0)-$I$117*((AA$5=Inputs!$C$12)*$C$119*$D$117+(AA$5=Inputs!$C$13)*$D$119*($D$117+Inputs!$C$14))+$I$117*((AA$5=Inputs!$C$15+$K$117)*$E$119*$I$119+(AA$5=Inputs!$C$16+$K$117)*$F$119*$J$119+(AA$5=Inputs!$C$17)*$G$119*$H$117*$H$119)</f>
        <v>131.3532</v>
      </c>
      <c r="AB122" s="42" t="n">
        <f aca="false">-($D$117+$J$117)*(AB$5=0)+IF(AND(AB$5-$K$117&gt;=1,AB$5-$K$117&lt;=Inputs!$C$13),INDEX($N$120:$AL$120,1,AB$5-$K$117+1)*INDEX($N$121:$AL$121,1,AB$5-$K$117+1),0)-$I$117*((AB$5=Inputs!$C$12)*$C$119*$D$117+(AB$5=Inputs!$C$13)*$D$119*($D$117+Inputs!$C$14))+$I$117*((AB$5=Inputs!$C$15+$K$117)*$E$119*$I$119+(AB$5=Inputs!$C$16+$K$117)*$F$119*$J$119+(AB$5=Inputs!$C$17)*$G$119*$H$117*$H$119)</f>
        <v>163.3359</v>
      </c>
      <c r="AC122" s="42" t="n">
        <f aca="false">-($D$117+$J$117)*(AC$5=0)+IF(AND(AC$5-$K$117&gt;=1,AC$5-$K$117&lt;=Inputs!$C$13),INDEX($N$120:$AL$120,1,AC$5-$K$117+1)*INDEX($N$121:$AL$121,1,AC$5-$K$117+1),0)-$I$117*((AC$5=Inputs!$C$12)*$C$119*$D$117+(AC$5=Inputs!$C$13)*$D$119*($D$117+Inputs!$C$14))+$I$117*((AC$5=Inputs!$C$15+$K$117)*$E$119*$I$119+(AC$5=Inputs!$C$16+$K$117)*$F$119*$J$119+(AC$5=Inputs!$C$17)*$G$119*$H$117*$H$119)</f>
        <v>164.9634</v>
      </c>
      <c r="AD122" s="42" t="n">
        <f aca="false">-($D$117+$J$117)*(AD$5=0)+IF(AND(AD$5-$K$117&gt;=1,AD$5-$K$117&lt;=Inputs!$C$13),INDEX($N$120:$AL$120,1,AD$5-$K$117+1)*INDEX($N$121:$AL$121,1,AD$5-$K$117+1),0)-$I$117*((AD$5=Inputs!$C$12)*$C$119*$D$117+(AD$5=Inputs!$C$13)*$D$119*($D$117+Inputs!$C$14))+$I$117*((AD$5=Inputs!$C$15+$K$117)*$E$119*$I$119+(AD$5=Inputs!$C$16+$K$117)*$F$119*$J$119+(AD$5=Inputs!$C$17)*$G$119*$H$117*$H$119)</f>
        <v>166.590900000001</v>
      </c>
      <c r="AE122" s="42" t="n">
        <f aca="false">-($D$117+$J$117)*(AE$5=0)+IF(AND(AE$5-$K$117&gt;=1,AE$5-$K$117&lt;=Inputs!$C$13),INDEX($N$120:$AL$120,1,AE$5-$K$117+1)*INDEX($N$121:$AL$121,1,AE$5-$K$117+1),0)-$I$117*((AE$5=Inputs!$C$12)*$C$119*$D$117+(AE$5=Inputs!$C$13)*$D$119*($D$117+Inputs!$C$14))+$I$117*((AE$5=Inputs!$C$15+$K$117)*$E$119*$I$119+(AE$5=Inputs!$C$16+$K$117)*$F$119*$J$119+(AE$5=Inputs!$C$17)*$G$119*$H$117*$H$119)</f>
        <v>168.2184</v>
      </c>
      <c r="AF122" s="42" t="n">
        <f aca="false">-($D$117+$J$117)*(AF$5=0)+IF(AND(AF$5-$K$117&gt;=1,AF$5-$K$117&lt;=Inputs!$C$13),INDEX($N$120:$AL$120,1,AF$5-$K$117+1)*INDEX($N$121:$AL$121,1,AF$5-$K$117+1),0)-$I$117*((AF$5=Inputs!$C$12)*$C$119*$D$117+(AF$5=Inputs!$C$13)*$D$119*($D$117+Inputs!$C$14))+$I$117*((AF$5=Inputs!$C$15+$K$117)*$E$119*$I$119+(AF$5=Inputs!$C$16+$K$117)*$F$119*$J$119+(AF$5=Inputs!$C$17)*$G$119*$H$117*$H$119)</f>
        <v>169.8459</v>
      </c>
      <c r="AG122" s="42" t="n">
        <f aca="false">-($D$117+$J$117)*(AG$5=0)+IF(AND(AG$5-$K$117&gt;=1,AG$5-$K$117&lt;=Inputs!$C$13),INDEX($N$120:$AL$120,1,AG$5-$K$117+1)*INDEX($N$121:$AL$121,1,AG$5-$K$117+1),0)-$I$117*((AG$5=Inputs!$C$12)*$C$119*$D$117+(AG$5=Inputs!$C$13)*$D$119*($D$117+Inputs!$C$14))+$I$117*((AG$5=Inputs!$C$15+$K$117)*$E$119*$I$119+(AG$5=Inputs!$C$16+$K$117)*$F$119*$J$119+(AG$5=Inputs!$C$17)*$G$119*$H$117*$H$119)</f>
        <v>171.4734</v>
      </c>
      <c r="AH122" s="42" t="n">
        <f aca="false">-($D$117+$J$117)*(AH$5=0)+IF(AND(AH$5-$K$117&gt;=1,AH$5-$K$117&lt;=Inputs!$C$13),INDEX($N$120:$AL$120,1,AH$5-$K$117+1)*INDEX($N$121:$AL$121,1,AH$5-$K$117+1),0)-$I$117*((AH$5=Inputs!$C$12)*$C$119*$D$117+(AH$5=Inputs!$C$13)*$D$119*($D$117+Inputs!$C$14))+$I$117*((AH$5=Inputs!$C$15+$K$117)*$E$119*$I$119+(AH$5=Inputs!$C$16+$K$117)*$F$119*$J$119+(AH$5=Inputs!$C$17)*$G$119*$H$117*$H$119)</f>
        <v>123.6435</v>
      </c>
      <c r="AI122" s="42" t="n">
        <f aca="false">-($D$117+$J$117)*(AI$5=0)+IF(AND(AI$5-$K$117&gt;=1,AI$5-$K$117&lt;=Inputs!$C$13),INDEX($N$120:$AL$120,1,AI$5-$K$117+1)*INDEX($N$121:$AL$121,1,AI$5-$K$117+1),0)-$I$117*((AI$5=Inputs!$C$12)*$C$119*$D$117+(AI$5=Inputs!$C$13)*$D$119*($D$117+Inputs!$C$14))+$I$117*((AI$5=Inputs!$C$15+$K$117)*$E$119*$I$119+(AI$5=Inputs!$C$16+$K$117)*$F$119*$J$119+(AI$5=Inputs!$C$17)*$G$119*$H$117*$H$119)</f>
        <v>124.806</v>
      </c>
      <c r="AJ122" s="42" t="n">
        <f aca="false">-($D$117+$J$117)*(AJ$5=0)+IF(AND(AJ$5-$K$117&gt;=1,AJ$5-$K$117&lt;=Inputs!$C$13),INDEX($N$120:$AL$120,1,AJ$5-$K$117+1)*INDEX($N$121:$AL$121,1,AJ$5-$K$117+1),0)-$I$117*((AJ$5=Inputs!$C$12)*$C$119*$D$117+(AJ$5=Inputs!$C$13)*$D$119*($D$117+Inputs!$C$14))+$I$117*((AJ$5=Inputs!$C$15+$K$117)*$E$119*$I$119+(AJ$5=Inputs!$C$16+$K$117)*$F$119*$J$119+(AJ$5=Inputs!$C$17)*$G$119*$H$117*$H$119)</f>
        <v>125.9685</v>
      </c>
      <c r="AK122" s="42" t="n">
        <f aca="false">-($D$117+$J$117)*(AK$5=0)+IF(AND(AK$5-$K$117&gt;=1,AK$5-$K$117&lt;=Inputs!$C$13),INDEX($N$120:$AL$120,1,AK$5-$K$117+1)*INDEX($N$121:$AL$121,1,AK$5-$K$117+1),0)-$I$117*((AK$5=Inputs!$C$12)*$C$119*$D$117+(AK$5=Inputs!$C$13)*$D$119*($D$117+Inputs!$C$14))+$I$117*((AK$5=Inputs!$C$15+$K$117)*$E$119*$I$119+(AK$5=Inputs!$C$16+$K$117)*$F$119*$J$119+(AK$5=Inputs!$C$17)*$G$119*$H$117*$H$119)</f>
        <v>127.131</v>
      </c>
      <c r="AL122" s="42" t="n">
        <f aca="false">-($D$117+$J$117)*(AL$5=0)+IF(AND(AL$5-$K$117&gt;=1,AL$5-$K$117&lt;=Inputs!$C$13),INDEX($N$120:$AL$120,1,AL$5-$K$117+1)*INDEX($N$121:$AL$121,1,AL$5-$K$117+1),0)-$I$117*((AL$5=Inputs!$C$12)*$C$119*$D$117+(AL$5=Inputs!$C$13)*$D$119*($D$117+Inputs!$C$14))+$I$117*((AL$5=Inputs!$C$15+$K$117)*$E$119*$I$119+(AL$5=Inputs!$C$16+$K$117)*$F$119*$J$119+(AL$5=Inputs!$C$17)*$G$119*$H$117*$H$119)</f>
        <v>-249.706499999999</v>
      </c>
      <c r="AM122" s="42" t="n">
        <f aca="false">-($D$117+$J$117)*(AM$5=0)+IF(AND(AM$5-$K$117&gt;=1,AM$5-$K$117&lt;=Inputs!$C$13),INDEX($N$120:$AL$120,1,AM$5-$K$117+1)*INDEX($N$121:$AL$121,1,AM$5-$K$117+1),0)-$I$117*((AM$5=Inputs!$C$12)*$C$119*$D$117+(AM$5=Inputs!$C$13)*$D$119*($D$117+Inputs!$C$14))+$I$117*((AM$5=Inputs!$C$15+$K$117)*$E$119*$I$119+(AM$5=Inputs!$C$16+$K$117)*$F$119*$J$119+(AM$5=Inputs!$C$17)*$G$119*$H$117*$H$119)</f>
        <v>129.456</v>
      </c>
      <c r="AN122" s="42" t="n">
        <f aca="false">-($D$117+$J$117)*(AN$5=0)+IF(AND(AN$5-$K$117&gt;=1,AN$5-$K$117&lt;=Inputs!$C$13),INDEX($N$120:$AL$120,1,AN$5-$K$117+1)*INDEX($N$121:$AL$121,1,AN$5-$K$117+1),0)-$I$117*((AN$5=Inputs!$C$12)*$C$119*$D$117+(AN$5=Inputs!$C$13)*$D$119*($D$117+Inputs!$C$14))+$I$117*((AN$5=Inputs!$C$15+$K$117)*$E$119*$I$119+(AN$5=Inputs!$C$16+$K$117)*$F$119*$J$119+(AN$5=Inputs!$C$17)*$G$119*$H$117*$H$119)</f>
        <v>0</v>
      </c>
      <c r="AO122" s="42" t="n">
        <f aca="false">-($D$117+$J$117)*(AO$5=0)+IF(AND(AO$5-$K$117&gt;=1,AO$5-$K$117&lt;=Inputs!$C$13),INDEX($N$120:$AL$120,1,AO$5-$K$117+1)*INDEX($N$121:$AL$121,1,AO$5-$K$117+1),0)-$I$117*((AO$5=Inputs!$C$12)*$C$119*$D$117+(AO$5=Inputs!$C$13)*$D$119*($D$117+Inputs!$C$14))+$I$117*((AO$5=Inputs!$C$15+$K$117)*$E$119*$I$119+(AO$5=Inputs!$C$16+$K$117)*$F$119*$J$119+(AO$5=Inputs!$C$17)*$G$119*$H$117*$H$119)</f>
        <v>0</v>
      </c>
      <c r="AP122" s="42" t="n">
        <f aca="false">-($D$117+$J$117)*(AP$5=0)+IF(AND(AP$5-$K$117&gt;=1,AP$5-$K$117&lt;=Inputs!$C$13),INDEX($N$120:$AL$120,1,AP$5-$K$117+1)*INDEX($N$121:$AL$121,1,AP$5-$K$117+1),0)-$I$117*((AP$5=Inputs!$C$12)*$C$119*$D$117+(AP$5=Inputs!$C$13)*$D$119*($D$117+Inputs!$C$14))+$I$117*((AP$5=Inputs!$C$15+$K$117)*$E$119*$I$119+(AP$5=Inputs!$C$16+$K$117)*$F$119*$J$119+(AP$5=Inputs!$C$17)*$G$119*$H$117*$H$119)</f>
        <v>593.838</v>
      </c>
      <c r="AQ122" s="42" t="n">
        <f aca="false">-($D$117+$J$117)*(AQ$5=0)+IF(AND(AQ$5-$K$117&gt;=1,AQ$5-$K$117&lt;=Inputs!$C$13),INDEX($N$120:$AL$120,1,AQ$5-$K$117+1)*INDEX($N$121:$AL$121,1,AQ$5-$K$117+1),0)-$I$117*((AQ$5=Inputs!$C$12)*$C$119*$D$117+(AQ$5=Inputs!$C$13)*$D$119*($D$117+Inputs!$C$14))+$I$117*((AQ$5=Inputs!$C$15+$K$117)*$E$119*$I$119+(AQ$5=Inputs!$C$16+$K$117)*$F$119*$J$119+(AQ$5=Inputs!$C$17)*$G$119*$H$117*$H$119)</f>
        <v>0</v>
      </c>
      <c r="AR122" s="42" t="n">
        <f aca="false">-($D$117+$J$117)*(AR$5=0)+IF(AND(AR$5-$K$117&gt;=1,AR$5-$K$117&lt;=Inputs!$C$13),INDEX($N$120:$AL$120,1,AR$5-$K$117+1)*INDEX($N$121:$AL$121,1,AR$5-$K$117+1),0)-$I$117*((AR$5=Inputs!$C$12)*$C$119*$D$117+(AR$5=Inputs!$C$13)*$D$119*($D$117+Inputs!$C$14))+$I$117*((AR$5=Inputs!$C$15+$K$117)*$E$119*$I$119+(AR$5=Inputs!$C$16+$K$117)*$F$119*$J$119+(AR$5=Inputs!$C$17)*$G$119*$H$117*$H$119)</f>
        <v>0</v>
      </c>
      <c r="AS122" s="42" t="n">
        <f aca="false">-($D$117+$J$117)*(AS$5=0)+IF(AND(AS$5-$K$117&gt;=1,AS$5-$K$117&lt;=Inputs!$C$13),INDEX($N$120:$AL$120,1,AS$5-$K$117+1)*INDEX($N$121:$AL$121,1,AS$5-$K$117+1),0)-$I$117*((AS$5=Inputs!$C$12)*$C$119*$D$117+(AS$5=Inputs!$C$13)*$D$119*($D$117+Inputs!$C$14))+$I$117*((AS$5=Inputs!$C$15+$K$117)*$E$119*$I$119+(AS$5=Inputs!$C$16+$K$117)*$F$119*$J$119+(AS$5=Inputs!$C$17)*$G$119*$H$117*$H$119)</f>
        <v>345.7188</v>
      </c>
      <c r="AT122" s="42" t="n">
        <f aca="false">-($D$117+$J$117)*(AT$5=0)+IF(AND(AT$5-$K$117&gt;=1,AT$5-$K$117&lt;=Inputs!$C$13),INDEX($N$120:$AL$120,1,AT$5-$K$117+1)*INDEX($N$121:$AL$121,1,AT$5-$K$117+1),0)-$I$117*((AT$5=Inputs!$C$12)*$C$119*$D$117+(AT$5=Inputs!$C$13)*$D$119*($D$117+Inputs!$C$14))+$I$117*((AT$5=Inputs!$C$15+$K$117)*$E$119*$I$119+(AT$5=Inputs!$C$16+$K$117)*$F$119*$J$119+(AT$5=Inputs!$C$17)*$G$119*$H$117*$H$119)</f>
        <v>0</v>
      </c>
      <c r="AU122" s="42" t="n">
        <f aca="false">-($D$117+$J$117)*(AU$5=0)+IF(AND(AU$5-$K$117&gt;=1,AU$5-$K$117&lt;=Inputs!$C$13),INDEX($N$120:$AL$120,1,AU$5-$K$117+1)*INDEX($N$121:$AL$121,1,AU$5-$K$117+1),0)-$I$117*((AU$5=Inputs!$C$12)*$C$119*$D$117+(AU$5=Inputs!$C$13)*$D$119*($D$117+Inputs!$C$14))+$I$117*((AU$5=Inputs!$C$15+$K$117)*$E$119*$I$119+(AU$5=Inputs!$C$16+$K$117)*$F$119*$J$119+(AU$5=Inputs!$C$17)*$G$119*$H$117*$H$119)</f>
        <v>0</v>
      </c>
      <c r="AV122" s="42" t="n">
        <f aca="false">-($D$117+$J$117)*(AV$5=0)+IF(AND(AV$5-$K$117&gt;=1,AV$5-$K$117&lt;=Inputs!$C$13),INDEX($N$120:$AL$120,1,AV$5-$K$117+1)*INDEX($N$121:$AL$121,1,AV$5-$K$117+1),0)-$I$117*((AV$5=Inputs!$C$12)*$C$119*$D$117+(AV$5=Inputs!$C$13)*$D$119*($D$117+Inputs!$C$14))+$I$117*((AV$5=Inputs!$C$15+$K$117)*$E$119*$I$119+(AV$5=Inputs!$C$16+$K$117)*$F$119*$J$119+(AV$5=Inputs!$C$17)*$G$119*$H$117*$H$119)</f>
        <v>0</v>
      </c>
      <c r="AW122" s="42" t="n">
        <f aca="false">-($D$117+$J$117)*(AW$5=0)+IF(AND(AW$5-$K$117&gt;=1,AW$5-$K$117&lt;=Inputs!$C$13),INDEX($N$120:$AL$120,1,AW$5-$K$117+1)*INDEX($N$121:$AL$121,1,AW$5-$K$117+1),0)-$I$117*((AW$5=Inputs!$C$12)*$C$119*$D$117+(AW$5=Inputs!$C$13)*$D$119*($D$117+Inputs!$C$14))+$I$117*((AW$5=Inputs!$C$15+$K$117)*$E$119*$I$119+(AW$5=Inputs!$C$16+$K$117)*$F$119*$J$119+(AW$5=Inputs!$C$17)*$G$119*$H$117*$H$119)</f>
        <v>0</v>
      </c>
      <c r="AX122" s="42" t="n">
        <f aca="false">-($D$117+$J$117)*(AX$5=0)+IF(AND(AX$5-$K$117&gt;=1,AX$5-$K$117&lt;=Inputs!$C$13),INDEX($N$120:$AL$120,1,AX$5-$K$117+1)*INDEX($N$121:$AL$121,1,AX$5-$K$117+1),0)-$I$117*((AX$5=Inputs!$C$12)*$C$119*$D$117+(AX$5=Inputs!$C$13)*$D$119*($D$117+Inputs!$C$14))+$I$117*((AX$5=Inputs!$C$15+$K$117)*$E$119*$I$119+(AX$5=Inputs!$C$16+$K$117)*$F$119*$J$119+(AX$5=Inputs!$C$17)*$G$119*$H$117*$H$119)</f>
        <v>47.628</v>
      </c>
      <c r="AY122" s="42" t="n">
        <f aca="false">-($D$117+$J$117)*(AY$5=0)+IF(AND(AY$5-$K$117&gt;=1,AY$5-$K$117&lt;=Inputs!$C$13),INDEX($N$120:$AL$120,1,AY$5-$K$117+1)*INDEX($N$121:$AL$121,1,AY$5-$K$117+1),0)-$I$117*((AY$5=Inputs!$C$12)*$C$119*$D$117+(AY$5=Inputs!$C$13)*$D$119*($D$117+Inputs!$C$14))+$I$117*((AY$5=Inputs!$C$15+$K$117)*$E$119*$I$119+(AY$5=Inputs!$C$16+$K$117)*$F$119*$J$119+(AY$5=Inputs!$C$17)*$G$119*$H$117*$H$119)</f>
        <v>0</v>
      </c>
    </row>
    <row r="124" customFormat="false" ht="15" hidden="false" customHeight="false" outlineLevel="0" collapsed="false">
      <c r="B124" s="7" t="s">
        <v>200</v>
      </c>
      <c r="C124" s="8"/>
      <c r="D124" s="8"/>
      <c r="E124" s="8"/>
      <c r="F124" s="8"/>
      <c r="G124" s="8"/>
      <c r="H124" s="8"/>
      <c r="I124" s="8"/>
      <c r="J124" s="8"/>
      <c r="K124" s="8"/>
      <c r="L124" s="8"/>
    </row>
    <row r="125" customFormat="false" ht="30" hidden="false" customHeight="true" outlineLevel="0" collapsed="false">
      <c r="B125" s="37"/>
      <c r="C125" s="38" t="s">
        <v>169</v>
      </c>
      <c r="D125" s="38" t="s">
        <v>170</v>
      </c>
      <c r="E125" s="38" t="s">
        <v>171</v>
      </c>
      <c r="F125" s="38" t="s">
        <v>43</v>
      </c>
      <c r="G125" s="38" t="s">
        <v>44</v>
      </c>
      <c r="H125" s="38" t="s">
        <v>45</v>
      </c>
      <c r="I125" s="38" t="s">
        <v>172</v>
      </c>
      <c r="J125" s="38" t="s">
        <v>90</v>
      </c>
      <c r="K125" s="38" t="s">
        <v>89</v>
      </c>
      <c r="L125" s="38" t="s">
        <v>173</v>
      </c>
    </row>
    <row r="126" customFormat="false" ht="15" hidden="false" customHeight="false" outlineLevel="0" collapsed="false">
      <c r="B126" s="39" t="s">
        <v>174</v>
      </c>
      <c r="C126" s="26" t="n">
        <f aca="false">Class_IRR!$H$5</f>
        <v>0.09</v>
      </c>
      <c r="D126" s="30" t="n">
        <f aca="false">Inputs!$E$24</f>
        <v>3600</v>
      </c>
      <c r="E126" s="26" t="n">
        <f aca="false">Inputs!$F$24</f>
        <v>0.93</v>
      </c>
      <c r="F126" s="25" t="n">
        <f aca="false">Inputs!$G$24</f>
        <v>0.6</v>
      </c>
      <c r="G126" s="25" t="n">
        <f aca="false">Inputs!$H$24</f>
        <v>0.85</v>
      </c>
      <c r="H126" s="25" t="n">
        <f aca="false">Inputs!$I$24</f>
        <v>0.9</v>
      </c>
      <c r="I126" s="22" t="n">
        <f aca="false">Inputs!$J$24</f>
        <v>1</v>
      </c>
      <c r="J126" s="23" t="n">
        <f aca="false">Inputs!$C$9</f>
        <v>10</v>
      </c>
      <c r="K126" s="22" t="n">
        <f aca="false">Inputs!$C$10</f>
        <v>1</v>
      </c>
      <c r="L126" s="22" t="n">
        <f aca="false">1</f>
        <v>1</v>
      </c>
    </row>
    <row r="127" customFormat="false" ht="30" hidden="false" customHeight="true" outlineLevel="0" collapsed="false">
      <c r="B127" s="37"/>
      <c r="C127" s="38" t="s">
        <v>175</v>
      </c>
      <c r="D127" s="38" t="s">
        <v>176</v>
      </c>
      <c r="E127" s="38" t="s">
        <v>177</v>
      </c>
      <c r="F127" s="38" t="s">
        <v>178</v>
      </c>
      <c r="G127" s="38" t="s">
        <v>112</v>
      </c>
      <c r="H127" s="38" t="s">
        <v>179</v>
      </c>
      <c r="I127" s="38" t="s">
        <v>180</v>
      </c>
      <c r="J127" s="38" t="s">
        <v>181</v>
      </c>
      <c r="K127" s="38" t="s">
        <v>182</v>
      </c>
      <c r="L127" s="38" t="s">
        <v>183</v>
      </c>
    </row>
    <row r="128" customFormat="false" ht="15" hidden="false" customHeight="false" outlineLevel="0" collapsed="false">
      <c r="B128" s="39" t="s">
        <v>184</v>
      </c>
      <c r="C128" s="40" t="n">
        <f aca="false">1-$E$126*CHOOSE($L$126,INDEX(Timing!$C$7:$AA$7,1,Inputs!$C$12+1),INDEX(Timing!$C$8:$AA$8,1,Inputs!$C$12+1))</f>
        <v>0.2932</v>
      </c>
      <c r="D128" s="40" t="n">
        <f aca="false">1-$E$126*CHOOSE($L$126,INDEX(Timing!$C$7:$AA$7,1,Inputs!$C$13+1),INDEX(Timing!$C$8:$AA$8,1,Inputs!$C$13+1))</f>
        <v>0.07</v>
      </c>
      <c r="E128" s="40" t="n">
        <f aca="false">$I$126*$D$128*$F$126</f>
        <v>0.042</v>
      </c>
      <c r="F128" s="40" t="n">
        <f aca="false">$I$126*($D$128-$E$128)*$G$126</f>
        <v>0.0238</v>
      </c>
      <c r="G128" s="40" t="n">
        <f aca="false">$I$126*($D$128-$E$128-$F$128)</f>
        <v>0.0042</v>
      </c>
      <c r="H128" s="23" t="n">
        <f aca="false">$I$126*(3*$D$126+Inputs!$C$14)</f>
        <v>12600</v>
      </c>
      <c r="I128" s="23" t="n">
        <f aca="false">$I$126*($D$126*(1+IF($C$126&lt;=0,0,MAX($C$126*Inputs!$C$15/12,Inputs!$C$8)))+$D$126*(1+Inputs!$C$11*(Inputs!$C$15-Inputs!$C$12)/12)+$D$126*(1+Inputs!$C$11*(Inputs!$C$15-Inputs!$C$13)/12)+Inputs!$C$14)</f>
        <v>14301</v>
      </c>
      <c r="J128" s="23" t="n">
        <f aca="false">$I$126*($D$126*(1+IF($C$126&lt;=0,0,MAX($C$126*Inputs!$C$16/12,Inputs!$C$8)))+$D$126*(1+Inputs!$C$11*(Inputs!$C$16-Inputs!$C$12)/12)+$D$126*(1+Inputs!$C$11*(Inputs!$C$16-Inputs!$C$13)/12)+Inputs!$C$14)</f>
        <v>14706</v>
      </c>
      <c r="K128" s="40" t="n">
        <f aca="false">IRR($N$131:$AY$131,0.005)</f>
        <v>0.00809017526803636</v>
      </c>
      <c r="L128" s="41" t="n">
        <f aca="false">(1+$K$128)^12-1</f>
        <v>0.101520505285589</v>
      </c>
    </row>
    <row r="129" customFormat="false" ht="15" hidden="false" customHeight="false" outlineLevel="0" collapsed="false">
      <c r="B129" s="9" t="s">
        <v>185</v>
      </c>
      <c r="N129" s="40" t="n">
        <f aca="false">0</f>
        <v>0</v>
      </c>
      <c r="O129" s="40" t="n">
        <f aca="false">$E$126*(CHOOSE($L$126,Timing!D$7,Timing!D$8)-CHOOSE($L$126,Timing!C$7,Timing!C$8))</f>
        <v>0.1116</v>
      </c>
      <c r="P129" s="40" t="n">
        <f aca="false">$E$126*(CHOOSE($L$126,Timing!E$7,Timing!E$8)-CHOOSE($L$126,Timing!D$7,Timing!D$8))</f>
        <v>0.093</v>
      </c>
      <c r="Q129" s="40" t="n">
        <f aca="false">$E$126*(CHOOSE($L$126,Timing!F$7,Timing!F$8)-CHOOSE($L$126,Timing!E$7,Timing!E$8))</f>
        <v>0.0837</v>
      </c>
      <c r="R129" s="40" t="n">
        <f aca="false">$E$126*(CHOOSE($L$126,Timing!G$7,Timing!G$8)-CHOOSE($L$126,Timing!F$7,Timing!F$8))</f>
        <v>0.0651</v>
      </c>
      <c r="S129" s="40" t="n">
        <f aca="false">$E$126*(CHOOSE($L$126,Timing!H$7,Timing!H$8)-CHOOSE($L$126,Timing!G$7,Timing!G$8))</f>
        <v>0.0651</v>
      </c>
      <c r="T129" s="40" t="n">
        <f aca="false">$E$126*(CHOOSE($L$126,Timing!I$7,Timing!I$8)-CHOOSE($L$126,Timing!H$7,Timing!H$8))</f>
        <v>0.0651</v>
      </c>
      <c r="U129" s="40" t="n">
        <f aca="false">$E$126*(CHOOSE($L$126,Timing!J$7,Timing!J$8)-CHOOSE($L$126,Timing!I$7,Timing!I$8))</f>
        <v>0.0403</v>
      </c>
      <c r="V129" s="40" t="n">
        <f aca="false">$E$126*(CHOOSE($L$126,Timing!K$7,Timing!K$8)-CHOOSE($L$126,Timing!J$7,Timing!J$8))</f>
        <v>0.0403</v>
      </c>
      <c r="W129" s="40" t="n">
        <f aca="false">$E$126*(CHOOSE($L$126,Timing!L$7,Timing!L$8)-CHOOSE($L$126,Timing!K$7,Timing!K$8))</f>
        <v>0.0403</v>
      </c>
      <c r="X129" s="40" t="n">
        <f aca="false">$E$126*(CHOOSE($L$126,Timing!M$7,Timing!M$8)-CHOOSE($L$126,Timing!L$7,Timing!L$8))</f>
        <v>0.0341</v>
      </c>
      <c r="Y129" s="40" t="n">
        <f aca="false">$E$126*(CHOOSE($L$126,Timing!N$7,Timing!N$8)-CHOOSE($L$126,Timing!M$7,Timing!M$8))</f>
        <v>0.0341000000000001</v>
      </c>
      <c r="Z129" s="40" t="n">
        <f aca="false">$E$126*(CHOOSE($L$126,Timing!O$7,Timing!O$8)-CHOOSE($L$126,Timing!N$7,Timing!N$8))</f>
        <v>0.0341</v>
      </c>
      <c r="AA129" s="40" t="n">
        <f aca="false">$E$126*(CHOOSE($L$126,Timing!P$7,Timing!P$8)-CHOOSE($L$126,Timing!O$7,Timing!O$8))</f>
        <v>0.0217</v>
      </c>
      <c r="AB129" s="40" t="n">
        <f aca="false">$E$126*(CHOOSE($L$126,Timing!Q$7,Timing!Q$8)-CHOOSE($L$126,Timing!P$7,Timing!P$8))</f>
        <v>0.0217</v>
      </c>
      <c r="AC129" s="40" t="n">
        <f aca="false">$E$126*(CHOOSE($L$126,Timing!R$7,Timing!R$8)-CHOOSE($L$126,Timing!Q$7,Timing!Q$8))</f>
        <v>0.0217000000000001</v>
      </c>
      <c r="AD129" s="40" t="n">
        <f aca="false">$E$126*(CHOOSE($L$126,Timing!S$7,Timing!S$8)-CHOOSE($L$126,Timing!R$7,Timing!R$8))</f>
        <v>0.0217</v>
      </c>
      <c r="AE129" s="40" t="n">
        <f aca="false">$E$126*(CHOOSE($L$126,Timing!T$7,Timing!T$8)-CHOOSE($L$126,Timing!S$7,Timing!S$8))</f>
        <v>0.0217</v>
      </c>
      <c r="AF129" s="40" t="n">
        <f aca="false">$E$126*(CHOOSE($L$126,Timing!U$7,Timing!U$8)-CHOOSE($L$126,Timing!T$7,Timing!T$8))</f>
        <v>0.0217</v>
      </c>
      <c r="AG129" s="40" t="n">
        <f aca="false">$E$126*(CHOOSE($L$126,Timing!V$7,Timing!V$8)-CHOOSE($L$126,Timing!U$7,Timing!U$8))</f>
        <v>0.0155</v>
      </c>
      <c r="AH129" s="40" t="n">
        <f aca="false">$E$126*(CHOOSE($L$126,Timing!W$7,Timing!W$8)-CHOOSE($L$126,Timing!V$7,Timing!V$8))</f>
        <v>0.0154999999999999</v>
      </c>
      <c r="AI129" s="40" t="n">
        <f aca="false">$E$126*(CHOOSE($L$126,Timing!X$7,Timing!X$8)-CHOOSE($L$126,Timing!W$7,Timing!W$8))</f>
        <v>0.0154999999999999</v>
      </c>
      <c r="AJ129" s="40" t="n">
        <f aca="false">$E$126*(CHOOSE($L$126,Timing!Y$7,Timing!Y$8)-CHOOSE($L$126,Timing!X$7,Timing!X$8))</f>
        <v>0.0155</v>
      </c>
      <c r="AK129" s="40" t="n">
        <f aca="false">$E$126*(CHOOSE($L$126,Timing!Z$7,Timing!Z$8)-CHOOSE($L$126,Timing!Y$7,Timing!Y$8))</f>
        <v>0.0155</v>
      </c>
      <c r="AL129" s="40" t="n">
        <f aca="false">$E$126*(CHOOSE($L$126,Timing!AA$7,Timing!AA$8)-CHOOSE($L$126,Timing!Z$7,Timing!Z$8))</f>
        <v>0.0154999999999999</v>
      </c>
    </row>
    <row r="130" customFormat="false" ht="15" hidden="false" customHeight="false" outlineLevel="0" collapsed="false">
      <c r="B130" s="9" t="s">
        <v>186</v>
      </c>
      <c r="N130" s="42" t="n">
        <f aca="false">0</f>
        <v>0</v>
      </c>
      <c r="O130" s="42" t="n">
        <f aca="false">$D$126*(1+IF($C$126&lt;=0,0,MAX($C$126*O$5/12,Inputs!$C$8)))+$I$126*(O$5&gt;Inputs!$C$12)*$D$126*(1+Inputs!$C$11*(O$5-Inputs!$C$12)/12)</f>
        <v>3780</v>
      </c>
      <c r="P130" s="42" t="n">
        <f aca="false">$D$126*(1+IF($C$126&lt;=0,0,MAX($C$126*P$5/12,Inputs!$C$8)))+$I$126*(P$5&gt;Inputs!$C$12)*$D$126*(1+Inputs!$C$11*(P$5-Inputs!$C$12)/12)</f>
        <v>3780</v>
      </c>
      <c r="Q130" s="42" t="n">
        <f aca="false">$D$126*(1+IF($C$126&lt;=0,0,MAX($C$126*Q$5/12,Inputs!$C$8)))+$I$126*(Q$5&gt;Inputs!$C$12)*$D$126*(1+Inputs!$C$11*(Q$5-Inputs!$C$12)/12)</f>
        <v>3780</v>
      </c>
      <c r="R130" s="42" t="n">
        <f aca="false">$D$126*(1+IF($C$126&lt;=0,0,MAX($C$126*R$5/12,Inputs!$C$8)))+$I$126*(R$5&gt;Inputs!$C$12)*$D$126*(1+Inputs!$C$11*(R$5-Inputs!$C$12)/12)</f>
        <v>3780</v>
      </c>
      <c r="S130" s="42" t="n">
        <f aca="false">$D$126*(1+IF($C$126&lt;=0,0,MAX($C$126*S$5/12,Inputs!$C$8)))+$I$126*(S$5&gt;Inputs!$C$12)*$D$126*(1+Inputs!$C$11*(S$5-Inputs!$C$12)/12)</f>
        <v>3780</v>
      </c>
      <c r="T130" s="42" t="n">
        <f aca="false">$D$126*(1+IF($C$126&lt;=0,0,MAX($C$126*T$5/12,Inputs!$C$8)))+$I$126*(T$5&gt;Inputs!$C$12)*$D$126*(1+Inputs!$C$11*(T$5-Inputs!$C$12)/12)</f>
        <v>3780</v>
      </c>
      <c r="U130" s="42" t="n">
        <f aca="false">$D$126*(1+IF($C$126&lt;=0,0,MAX($C$126*U$5/12,Inputs!$C$8)))+$I$126*(U$5&gt;Inputs!$C$12)*$D$126*(1+Inputs!$C$11*(U$5-Inputs!$C$12)/12)</f>
        <v>3789</v>
      </c>
      <c r="V130" s="42" t="n">
        <f aca="false">$D$126*(1+IF($C$126&lt;=0,0,MAX($C$126*V$5/12,Inputs!$C$8)))+$I$126*(V$5&gt;Inputs!$C$12)*$D$126*(1+Inputs!$C$11*(V$5-Inputs!$C$12)/12)</f>
        <v>3816</v>
      </c>
      <c r="W130" s="42" t="n">
        <f aca="false">$D$126*(1+IF($C$126&lt;=0,0,MAX($C$126*W$5/12,Inputs!$C$8)))+$I$126*(W$5&gt;Inputs!$C$12)*$D$126*(1+Inputs!$C$11*(W$5-Inputs!$C$12)/12)</f>
        <v>3843</v>
      </c>
      <c r="X130" s="42" t="n">
        <f aca="false">$D$126*(1+IF($C$126&lt;=0,0,MAX($C$126*X$5/12,Inputs!$C$8)))+$I$126*(X$5&gt;Inputs!$C$12)*$D$126*(1+Inputs!$C$11*(X$5-Inputs!$C$12)/12)</f>
        <v>3870</v>
      </c>
      <c r="Y130" s="42" t="n">
        <f aca="false">$D$126*(1+IF($C$126&lt;=0,0,MAX($C$126*Y$5/12,Inputs!$C$8)))+$I$126*(Y$5&gt;Inputs!$C$12)*$D$126*(1+Inputs!$C$11*(Y$5-Inputs!$C$12)/12)</f>
        <v>3897</v>
      </c>
      <c r="Z130" s="42" t="n">
        <f aca="false">$D$126*(1+IF($C$126&lt;=0,0,MAX($C$126*Z$5/12,Inputs!$C$8)))+$I$126*(Z$5&gt;Inputs!$C$12)*$D$126*(1+Inputs!$C$11*(Z$5-Inputs!$C$12)/12)</f>
        <v>3924</v>
      </c>
      <c r="AA130" s="42" t="n">
        <f aca="false">$D$126*(1+IF($C$126&lt;=0,0,MAX($C$126*AA$5/12,Inputs!$C$8)))+$I$126*(AA$5&gt;Inputs!$C$12)*$D$126*(1+Inputs!$C$11*(AA$5-Inputs!$C$12)/12)</f>
        <v>7605</v>
      </c>
      <c r="AB130" s="42" t="n">
        <f aca="false">$D$126*(1+IF($C$126&lt;=0,0,MAX($C$126*AB$5/12,Inputs!$C$8)))+$I$126*(AB$5&gt;Inputs!$C$12)*$D$126*(1+Inputs!$C$11*(AB$5-Inputs!$C$12)/12)</f>
        <v>7686</v>
      </c>
      <c r="AC130" s="42" t="n">
        <f aca="false">$D$126*(1+IF($C$126&lt;=0,0,MAX($C$126*AC$5/12,Inputs!$C$8)))+$I$126*(AC$5&gt;Inputs!$C$12)*$D$126*(1+Inputs!$C$11*(AC$5-Inputs!$C$12)/12)</f>
        <v>7767</v>
      </c>
      <c r="AD130" s="42" t="n">
        <f aca="false">$D$126*(1+IF($C$126&lt;=0,0,MAX($C$126*AD$5/12,Inputs!$C$8)))+$I$126*(AD$5&gt;Inputs!$C$12)*$D$126*(1+Inputs!$C$11*(AD$5-Inputs!$C$12)/12)</f>
        <v>7848</v>
      </c>
      <c r="AE130" s="42" t="n">
        <f aca="false">$D$126*(1+IF($C$126&lt;=0,0,MAX($C$126*AE$5/12,Inputs!$C$8)))+$I$126*(AE$5&gt;Inputs!$C$12)*$D$126*(1+Inputs!$C$11*(AE$5-Inputs!$C$12)/12)</f>
        <v>7929</v>
      </c>
      <c r="AF130" s="42" t="n">
        <f aca="false">$D$126*(1+IF($C$126&lt;=0,0,MAX($C$126*AF$5/12,Inputs!$C$8)))+$I$126*(AF$5&gt;Inputs!$C$12)*$D$126*(1+Inputs!$C$11*(AF$5-Inputs!$C$12)/12)</f>
        <v>8010</v>
      </c>
      <c r="AG130" s="42" t="n">
        <f aca="false">$D$126*(1+IF($C$126&lt;=0,0,MAX($C$126*AG$5/12,Inputs!$C$8)))+$I$126*(AG$5&gt;Inputs!$C$12)*$D$126*(1+Inputs!$C$11*(AG$5-Inputs!$C$12)/12)</f>
        <v>8091</v>
      </c>
      <c r="AH130" s="42" t="n">
        <f aca="false">$D$126*(1+IF($C$126&lt;=0,0,MAX($C$126*AH$5/12,Inputs!$C$8)))+$I$126*(AH$5&gt;Inputs!$C$12)*$D$126*(1+Inputs!$C$11*(AH$5-Inputs!$C$12)/12)</f>
        <v>8172</v>
      </c>
      <c r="AI130" s="42" t="n">
        <f aca="false">$D$126*(1+IF($C$126&lt;=0,0,MAX($C$126*AI$5/12,Inputs!$C$8)))+$I$126*(AI$5&gt;Inputs!$C$12)*$D$126*(1+Inputs!$C$11*(AI$5-Inputs!$C$12)/12)</f>
        <v>8253</v>
      </c>
      <c r="AJ130" s="42" t="n">
        <f aca="false">$D$126*(1+IF($C$126&lt;=0,0,MAX($C$126*AJ$5/12,Inputs!$C$8)))+$I$126*(AJ$5&gt;Inputs!$C$12)*$D$126*(1+Inputs!$C$11*(AJ$5-Inputs!$C$12)/12)</f>
        <v>8334</v>
      </c>
      <c r="AK130" s="42" t="n">
        <f aca="false">$D$126*(1+IF($C$126&lt;=0,0,MAX($C$126*AK$5/12,Inputs!$C$8)))+$I$126*(AK$5&gt;Inputs!$C$12)*$D$126*(1+Inputs!$C$11*(AK$5-Inputs!$C$12)/12)</f>
        <v>8415</v>
      </c>
      <c r="AL130" s="42" t="n">
        <f aca="false">$D$126*(1+IF($C$126&lt;=0,0,MAX($C$126*AL$5/12,Inputs!$C$8)))+$I$126*(AL$5&gt;Inputs!$C$12)*$D$126*(1+Inputs!$C$11*(AL$5-Inputs!$C$12)/12)</f>
        <v>8496</v>
      </c>
    </row>
    <row r="131" customFormat="false" ht="15" hidden="false" customHeight="false" outlineLevel="0" collapsed="false">
      <c r="B131" s="31" t="s">
        <v>187</v>
      </c>
      <c r="N131" s="42" t="n">
        <f aca="false">-($D$126+$J$126)*(N$5=0)+IF(AND(N$5-$K$126&gt;=1,N$5-$K$126&lt;=Inputs!$C$13),INDEX($N$129:$AL$129,1,N$5-$K$126+1)*INDEX($N$130:$AL$130,1,N$5-$K$126+1),0)-$I$126*((N$5=Inputs!$C$12)*$C$128*$D$126+(N$5=Inputs!$C$13)*$D$128*($D$126+Inputs!$C$14))+$I$126*((N$5=Inputs!$C$15+$K$126)*$E$128*$I$128+(N$5=Inputs!$C$16+$K$126)*$F$128*$J$128+(N$5=Inputs!$C$17)*$G$128*$H$126*$H$128)</f>
        <v>-3610</v>
      </c>
      <c r="O131" s="42" t="n">
        <f aca="false">-($D$126+$J$126)*(O$5=0)+IF(AND(O$5-$K$126&gt;=1,O$5-$K$126&lt;=Inputs!$C$13),INDEX($N$129:$AL$129,1,O$5-$K$126+1)*INDEX($N$130:$AL$130,1,O$5-$K$126+1),0)-$I$126*((O$5=Inputs!$C$12)*$C$128*$D$126+(O$5=Inputs!$C$13)*$D$128*($D$126+Inputs!$C$14))+$I$126*((O$5=Inputs!$C$15+$K$126)*$E$128*$I$128+(O$5=Inputs!$C$16+$K$126)*$F$128*$J$128+(O$5=Inputs!$C$17)*$G$128*$H$126*$H$128)</f>
        <v>0</v>
      </c>
      <c r="P131" s="42" t="n">
        <f aca="false">-($D$126+$J$126)*(P$5=0)+IF(AND(P$5-$K$126&gt;=1,P$5-$K$126&lt;=Inputs!$C$13),INDEX($N$129:$AL$129,1,P$5-$K$126+1)*INDEX($N$130:$AL$130,1,P$5-$K$126+1),0)-$I$126*((P$5=Inputs!$C$12)*$C$128*$D$126+(P$5=Inputs!$C$13)*$D$128*($D$126+Inputs!$C$14))+$I$126*((P$5=Inputs!$C$15+$K$126)*$E$128*$I$128+(P$5=Inputs!$C$16+$K$126)*$F$128*$J$128+(P$5=Inputs!$C$17)*$G$128*$H$126*$H$128)</f>
        <v>421.848</v>
      </c>
      <c r="Q131" s="42" t="n">
        <f aca="false">-($D$126+$J$126)*(Q$5=0)+IF(AND(Q$5-$K$126&gt;=1,Q$5-$K$126&lt;=Inputs!$C$13),INDEX($N$129:$AL$129,1,Q$5-$K$126+1)*INDEX($N$130:$AL$130,1,Q$5-$K$126+1),0)-$I$126*((Q$5=Inputs!$C$12)*$C$128*$D$126+(Q$5=Inputs!$C$13)*$D$128*($D$126+Inputs!$C$14))+$I$126*((Q$5=Inputs!$C$15+$K$126)*$E$128*$I$128+(Q$5=Inputs!$C$16+$K$126)*$F$128*$J$128+(Q$5=Inputs!$C$17)*$G$128*$H$126*$H$128)</f>
        <v>351.54</v>
      </c>
      <c r="R131" s="42" t="n">
        <f aca="false">-($D$126+$J$126)*(R$5=0)+IF(AND(R$5-$K$126&gt;=1,R$5-$K$126&lt;=Inputs!$C$13),INDEX($N$129:$AL$129,1,R$5-$K$126+1)*INDEX($N$130:$AL$130,1,R$5-$K$126+1),0)-$I$126*((R$5=Inputs!$C$12)*$C$128*$D$126+(R$5=Inputs!$C$13)*$D$128*($D$126+Inputs!$C$14))+$I$126*((R$5=Inputs!$C$15+$K$126)*$E$128*$I$128+(R$5=Inputs!$C$16+$K$126)*$F$128*$J$128+(R$5=Inputs!$C$17)*$G$128*$H$126*$H$128)</f>
        <v>316.386</v>
      </c>
      <c r="S131" s="42" t="n">
        <f aca="false">-($D$126+$J$126)*(S$5=0)+IF(AND(S$5-$K$126&gt;=1,S$5-$K$126&lt;=Inputs!$C$13),INDEX($N$129:$AL$129,1,S$5-$K$126+1)*INDEX($N$130:$AL$130,1,S$5-$K$126+1),0)-$I$126*((S$5=Inputs!$C$12)*$C$128*$D$126+(S$5=Inputs!$C$13)*$D$128*($D$126+Inputs!$C$14))+$I$126*((S$5=Inputs!$C$15+$K$126)*$E$128*$I$128+(S$5=Inputs!$C$16+$K$126)*$F$128*$J$128+(S$5=Inputs!$C$17)*$G$128*$H$126*$H$128)</f>
        <v>246.078</v>
      </c>
      <c r="T131" s="42" t="n">
        <f aca="false">-($D$126+$J$126)*(T$5=0)+IF(AND(T$5-$K$126&gt;=1,T$5-$K$126&lt;=Inputs!$C$13),INDEX($N$129:$AL$129,1,T$5-$K$126+1)*INDEX($N$130:$AL$130,1,T$5-$K$126+1),0)-$I$126*((T$5=Inputs!$C$12)*$C$128*$D$126+(T$5=Inputs!$C$13)*$D$128*($D$126+Inputs!$C$14))+$I$126*((T$5=Inputs!$C$15+$K$126)*$E$128*$I$128+(T$5=Inputs!$C$16+$K$126)*$F$128*$J$128+(T$5=Inputs!$C$17)*$G$128*$H$126*$H$128)</f>
        <v>246.078</v>
      </c>
      <c r="U131" s="42" t="n">
        <f aca="false">-($D$126+$J$126)*(U$5=0)+IF(AND(U$5-$K$126&gt;=1,U$5-$K$126&lt;=Inputs!$C$13),INDEX($N$129:$AL$129,1,U$5-$K$126+1)*INDEX($N$130:$AL$130,1,U$5-$K$126+1),0)-$I$126*((U$5=Inputs!$C$12)*$C$128*$D$126+(U$5=Inputs!$C$13)*$D$128*($D$126+Inputs!$C$14))+$I$126*((U$5=Inputs!$C$15+$K$126)*$E$128*$I$128+(U$5=Inputs!$C$16+$K$126)*$F$128*$J$128+(U$5=Inputs!$C$17)*$G$128*$H$126*$H$128)</f>
        <v>246.078</v>
      </c>
      <c r="V131" s="42" t="n">
        <f aca="false">-($D$126+$J$126)*(V$5=0)+IF(AND(V$5-$K$126&gt;=1,V$5-$K$126&lt;=Inputs!$C$13),INDEX($N$129:$AL$129,1,V$5-$K$126+1)*INDEX($N$130:$AL$130,1,V$5-$K$126+1),0)-$I$126*((V$5=Inputs!$C$12)*$C$128*$D$126+(V$5=Inputs!$C$13)*$D$128*($D$126+Inputs!$C$14))+$I$126*((V$5=Inputs!$C$15+$K$126)*$E$128*$I$128+(V$5=Inputs!$C$16+$K$126)*$F$128*$J$128+(V$5=Inputs!$C$17)*$G$128*$H$126*$H$128)</f>
        <v>152.6967</v>
      </c>
      <c r="W131" s="42" t="n">
        <f aca="false">-($D$126+$J$126)*(W$5=0)+IF(AND(W$5-$K$126&gt;=1,W$5-$K$126&lt;=Inputs!$C$13),INDEX($N$129:$AL$129,1,W$5-$K$126+1)*INDEX($N$130:$AL$130,1,W$5-$K$126+1),0)-$I$126*((W$5=Inputs!$C$12)*$C$128*$D$126+(W$5=Inputs!$C$13)*$D$128*($D$126+Inputs!$C$14))+$I$126*((W$5=Inputs!$C$15+$K$126)*$E$128*$I$128+(W$5=Inputs!$C$16+$K$126)*$F$128*$J$128+(W$5=Inputs!$C$17)*$G$128*$H$126*$H$128)</f>
        <v>153.7848</v>
      </c>
      <c r="X131" s="42" t="n">
        <f aca="false">-($D$126+$J$126)*(X$5=0)+IF(AND(X$5-$K$126&gt;=1,X$5-$K$126&lt;=Inputs!$C$13),INDEX($N$129:$AL$129,1,X$5-$K$126+1)*INDEX($N$130:$AL$130,1,X$5-$K$126+1),0)-$I$126*((X$5=Inputs!$C$12)*$C$128*$D$126+(X$5=Inputs!$C$13)*$D$128*($D$126+Inputs!$C$14))+$I$126*((X$5=Inputs!$C$15+$K$126)*$E$128*$I$128+(X$5=Inputs!$C$16+$K$126)*$F$128*$J$128+(X$5=Inputs!$C$17)*$G$128*$H$126*$H$128)</f>
        <v>154.8729</v>
      </c>
      <c r="Y131" s="42" t="n">
        <f aca="false">-($D$126+$J$126)*(Y$5=0)+IF(AND(Y$5-$K$126&gt;=1,Y$5-$K$126&lt;=Inputs!$C$13),INDEX($N$129:$AL$129,1,Y$5-$K$126+1)*INDEX($N$130:$AL$130,1,Y$5-$K$126+1),0)-$I$126*((Y$5=Inputs!$C$12)*$C$128*$D$126+(Y$5=Inputs!$C$13)*$D$128*($D$126+Inputs!$C$14))+$I$126*((Y$5=Inputs!$C$15+$K$126)*$E$128*$I$128+(Y$5=Inputs!$C$16+$K$126)*$F$128*$J$128+(Y$5=Inputs!$C$17)*$G$128*$H$126*$H$128)</f>
        <v>131.967</v>
      </c>
      <c r="Z131" s="42" t="n">
        <f aca="false">-($D$126+$J$126)*(Z$5=0)+IF(AND(Z$5-$K$126&gt;=1,Z$5-$K$126&lt;=Inputs!$C$13),INDEX($N$129:$AL$129,1,Z$5-$K$126+1)*INDEX($N$130:$AL$130,1,Z$5-$K$126+1),0)-$I$126*((Z$5=Inputs!$C$12)*$C$128*$D$126+(Z$5=Inputs!$C$13)*$D$128*($D$126+Inputs!$C$14))+$I$126*((Z$5=Inputs!$C$15+$K$126)*$E$128*$I$128+(Z$5=Inputs!$C$16+$K$126)*$F$128*$J$128+(Z$5=Inputs!$C$17)*$G$128*$H$126*$H$128)</f>
        <v>-922.6323</v>
      </c>
      <c r="AA131" s="42" t="n">
        <f aca="false">-($D$126+$J$126)*(AA$5=0)+IF(AND(AA$5-$K$126&gt;=1,AA$5-$K$126&lt;=Inputs!$C$13),INDEX($N$129:$AL$129,1,AA$5-$K$126+1)*INDEX($N$130:$AL$130,1,AA$5-$K$126+1),0)-$I$126*((AA$5=Inputs!$C$12)*$C$128*$D$126+(AA$5=Inputs!$C$13)*$D$128*($D$126+Inputs!$C$14))+$I$126*((AA$5=Inputs!$C$15+$K$126)*$E$128*$I$128+(AA$5=Inputs!$C$16+$K$126)*$F$128*$J$128+(AA$5=Inputs!$C$17)*$G$128*$H$126*$H$128)</f>
        <v>133.8084</v>
      </c>
      <c r="AB131" s="42" t="n">
        <f aca="false">-($D$126+$J$126)*(AB$5=0)+IF(AND(AB$5-$K$126&gt;=1,AB$5-$K$126&lt;=Inputs!$C$13),INDEX($N$129:$AL$129,1,AB$5-$K$126+1)*INDEX($N$130:$AL$130,1,AB$5-$K$126+1),0)-$I$126*((AB$5=Inputs!$C$12)*$C$128*$D$126+(AB$5=Inputs!$C$13)*$D$128*($D$126+Inputs!$C$14))+$I$126*((AB$5=Inputs!$C$15+$K$126)*$E$128*$I$128+(AB$5=Inputs!$C$16+$K$126)*$F$128*$J$128+(AB$5=Inputs!$C$17)*$G$128*$H$126*$H$128)</f>
        <v>165.0285</v>
      </c>
      <c r="AC131" s="42" t="n">
        <f aca="false">-($D$126+$J$126)*(AC$5=0)+IF(AND(AC$5-$K$126&gt;=1,AC$5-$K$126&lt;=Inputs!$C$13),INDEX($N$129:$AL$129,1,AC$5-$K$126+1)*INDEX($N$130:$AL$130,1,AC$5-$K$126+1),0)-$I$126*((AC$5=Inputs!$C$12)*$C$128*$D$126+(AC$5=Inputs!$C$13)*$D$128*($D$126+Inputs!$C$14))+$I$126*((AC$5=Inputs!$C$15+$K$126)*$E$128*$I$128+(AC$5=Inputs!$C$16+$K$126)*$F$128*$J$128+(AC$5=Inputs!$C$17)*$G$128*$H$126*$H$128)</f>
        <v>166.7862</v>
      </c>
      <c r="AD131" s="42" t="n">
        <f aca="false">-($D$126+$J$126)*(AD$5=0)+IF(AND(AD$5-$K$126&gt;=1,AD$5-$K$126&lt;=Inputs!$C$13),INDEX($N$129:$AL$129,1,AD$5-$K$126+1)*INDEX($N$130:$AL$130,1,AD$5-$K$126+1),0)-$I$126*((AD$5=Inputs!$C$12)*$C$128*$D$126+(AD$5=Inputs!$C$13)*$D$128*($D$126+Inputs!$C$14))+$I$126*((AD$5=Inputs!$C$15+$K$126)*$E$128*$I$128+(AD$5=Inputs!$C$16+$K$126)*$F$128*$J$128+(AD$5=Inputs!$C$17)*$G$128*$H$126*$H$128)</f>
        <v>168.543900000001</v>
      </c>
      <c r="AE131" s="42" t="n">
        <f aca="false">-($D$126+$J$126)*(AE$5=0)+IF(AND(AE$5-$K$126&gt;=1,AE$5-$K$126&lt;=Inputs!$C$13),INDEX($N$129:$AL$129,1,AE$5-$K$126+1)*INDEX($N$130:$AL$130,1,AE$5-$K$126+1),0)-$I$126*((AE$5=Inputs!$C$12)*$C$128*$D$126+(AE$5=Inputs!$C$13)*$D$128*($D$126+Inputs!$C$14))+$I$126*((AE$5=Inputs!$C$15+$K$126)*$E$128*$I$128+(AE$5=Inputs!$C$16+$K$126)*$F$128*$J$128+(AE$5=Inputs!$C$17)*$G$128*$H$126*$H$128)</f>
        <v>170.3016</v>
      </c>
      <c r="AF131" s="42" t="n">
        <f aca="false">-($D$126+$J$126)*(AF$5=0)+IF(AND(AF$5-$K$126&gt;=1,AF$5-$K$126&lt;=Inputs!$C$13),INDEX($N$129:$AL$129,1,AF$5-$K$126+1)*INDEX($N$130:$AL$130,1,AF$5-$K$126+1),0)-$I$126*((AF$5=Inputs!$C$12)*$C$128*$D$126+(AF$5=Inputs!$C$13)*$D$128*($D$126+Inputs!$C$14))+$I$126*((AF$5=Inputs!$C$15+$K$126)*$E$128*$I$128+(AF$5=Inputs!$C$16+$K$126)*$F$128*$J$128+(AF$5=Inputs!$C$17)*$G$128*$H$126*$H$128)</f>
        <v>172.0593</v>
      </c>
      <c r="AG131" s="42" t="n">
        <f aca="false">-($D$126+$J$126)*(AG$5=0)+IF(AND(AG$5-$K$126&gt;=1,AG$5-$K$126&lt;=Inputs!$C$13),INDEX($N$129:$AL$129,1,AG$5-$K$126+1)*INDEX($N$130:$AL$130,1,AG$5-$K$126+1),0)-$I$126*((AG$5=Inputs!$C$12)*$C$128*$D$126+(AG$5=Inputs!$C$13)*$D$128*($D$126+Inputs!$C$14))+$I$126*((AG$5=Inputs!$C$15+$K$126)*$E$128*$I$128+(AG$5=Inputs!$C$16+$K$126)*$F$128*$J$128+(AG$5=Inputs!$C$17)*$G$128*$H$126*$H$128)</f>
        <v>173.817</v>
      </c>
      <c r="AH131" s="42" t="n">
        <f aca="false">-($D$126+$J$126)*(AH$5=0)+IF(AND(AH$5-$K$126&gt;=1,AH$5-$K$126&lt;=Inputs!$C$13),INDEX($N$129:$AL$129,1,AH$5-$K$126+1)*INDEX($N$130:$AL$130,1,AH$5-$K$126+1),0)-$I$126*((AH$5=Inputs!$C$12)*$C$128*$D$126+(AH$5=Inputs!$C$13)*$D$128*($D$126+Inputs!$C$14))+$I$126*((AH$5=Inputs!$C$15+$K$126)*$E$128*$I$128+(AH$5=Inputs!$C$16+$K$126)*$F$128*$J$128+(AH$5=Inputs!$C$17)*$G$128*$H$126*$H$128)</f>
        <v>125.4105</v>
      </c>
      <c r="AI131" s="42" t="n">
        <f aca="false">-($D$126+$J$126)*(AI$5=0)+IF(AND(AI$5-$K$126&gt;=1,AI$5-$K$126&lt;=Inputs!$C$13),INDEX($N$129:$AL$129,1,AI$5-$K$126+1)*INDEX($N$130:$AL$130,1,AI$5-$K$126+1),0)-$I$126*((AI$5=Inputs!$C$12)*$C$128*$D$126+(AI$5=Inputs!$C$13)*$D$128*($D$126+Inputs!$C$14))+$I$126*((AI$5=Inputs!$C$15+$K$126)*$E$128*$I$128+(AI$5=Inputs!$C$16+$K$126)*$F$128*$J$128+(AI$5=Inputs!$C$17)*$G$128*$H$126*$H$128)</f>
        <v>126.666</v>
      </c>
      <c r="AJ131" s="42" t="n">
        <f aca="false">-($D$126+$J$126)*(AJ$5=0)+IF(AND(AJ$5-$K$126&gt;=1,AJ$5-$K$126&lt;=Inputs!$C$13),INDEX($N$129:$AL$129,1,AJ$5-$K$126+1)*INDEX($N$130:$AL$130,1,AJ$5-$K$126+1),0)-$I$126*((AJ$5=Inputs!$C$12)*$C$128*$D$126+(AJ$5=Inputs!$C$13)*$D$128*($D$126+Inputs!$C$14))+$I$126*((AJ$5=Inputs!$C$15+$K$126)*$E$128*$I$128+(AJ$5=Inputs!$C$16+$K$126)*$F$128*$J$128+(AJ$5=Inputs!$C$17)*$G$128*$H$126*$H$128)</f>
        <v>127.9215</v>
      </c>
      <c r="AK131" s="42" t="n">
        <f aca="false">-($D$126+$J$126)*(AK$5=0)+IF(AND(AK$5-$K$126&gt;=1,AK$5-$K$126&lt;=Inputs!$C$13),INDEX($N$129:$AL$129,1,AK$5-$K$126+1)*INDEX($N$130:$AL$130,1,AK$5-$K$126+1),0)-$I$126*((AK$5=Inputs!$C$12)*$C$128*$D$126+(AK$5=Inputs!$C$13)*$D$128*($D$126+Inputs!$C$14))+$I$126*((AK$5=Inputs!$C$15+$K$126)*$E$128*$I$128+(AK$5=Inputs!$C$16+$K$126)*$F$128*$J$128+(AK$5=Inputs!$C$17)*$G$128*$H$126*$H$128)</f>
        <v>129.177</v>
      </c>
      <c r="AL131" s="42" t="n">
        <f aca="false">-($D$126+$J$126)*(AL$5=0)+IF(AND(AL$5-$K$126&gt;=1,AL$5-$K$126&lt;=Inputs!$C$13),INDEX($N$129:$AL$129,1,AL$5-$K$126+1)*INDEX($N$130:$AL$130,1,AL$5-$K$126+1),0)-$I$126*((AL$5=Inputs!$C$12)*$C$128*$D$126+(AL$5=Inputs!$C$13)*$D$128*($D$126+Inputs!$C$14))+$I$126*((AL$5=Inputs!$C$15+$K$126)*$E$128*$I$128+(AL$5=Inputs!$C$16+$K$126)*$F$128*$J$128+(AL$5=Inputs!$C$17)*$G$128*$H$126*$H$128)</f>
        <v>-247.567499999999</v>
      </c>
      <c r="AM131" s="42" t="n">
        <f aca="false">-($D$126+$J$126)*(AM$5=0)+IF(AND(AM$5-$K$126&gt;=1,AM$5-$K$126&lt;=Inputs!$C$13),INDEX($N$129:$AL$129,1,AM$5-$K$126+1)*INDEX($N$130:$AL$130,1,AM$5-$K$126+1),0)-$I$126*((AM$5=Inputs!$C$12)*$C$128*$D$126+(AM$5=Inputs!$C$13)*$D$128*($D$126+Inputs!$C$14))+$I$126*((AM$5=Inputs!$C$15+$K$126)*$E$128*$I$128+(AM$5=Inputs!$C$16+$K$126)*$F$128*$J$128+(AM$5=Inputs!$C$17)*$G$128*$H$126*$H$128)</f>
        <v>131.688</v>
      </c>
      <c r="AN131" s="42" t="n">
        <f aca="false">-($D$126+$J$126)*(AN$5=0)+IF(AND(AN$5-$K$126&gt;=1,AN$5-$K$126&lt;=Inputs!$C$13),INDEX($N$129:$AL$129,1,AN$5-$K$126+1)*INDEX($N$130:$AL$130,1,AN$5-$K$126+1),0)-$I$126*((AN$5=Inputs!$C$12)*$C$128*$D$126+(AN$5=Inputs!$C$13)*$D$128*($D$126+Inputs!$C$14))+$I$126*((AN$5=Inputs!$C$15+$K$126)*$E$128*$I$128+(AN$5=Inputs!$C$16+$K$126)*$F$128*$J$128+(AN$5=Inputs!$C$17)*$G$128*$H$126*$H$128)</f>
        <v>0</v>
      </c>
      <c r="AO131" s="42" t="n">
        <f aca="false">-($D$126+$J$126)*(AO$5=0)+IF(AND(AO$5-$K$126&gt;=1,AO$5-$K$126&lt;=Inputs!$C$13),INDEX($N$129:$AL$129,1,AO$5-$K$126+1)*INDEX($N$130:$AL$130,1,AO$5-$K$126+1),0)-$I$126*((AO$5=Inputs!$C$12)*$C$128*$D$126+(AO$5=Inputs!$C$13)*$D$128*($D$126+Inputs!$C$14))+$I$126*((AO$5=Inputs!$C$15+$K$126)*$E$128*$I$128+(AO$5=Inputs!$C$16+$K$126)*$F$128*$J$128+(AO$5=Inputs!$C$17)*$G$128*$H$126*$H$128)</f>
        <v>0</v>
      </c>
      <c r="AP131" s="42" t="n">
        <f aca="false">-($D$126+$J$126)*(AP$5=0)+IF(AND(AP$5-$K$126&gt;=1,AP$5-$K$126&lt;=Inputs!$C$13),INDEX($N$129:$AL$129,1,AP$5-$K$126+1)*INDEX($N$130:$AL$130,1,AP$5-$K$126+1),0)-$I$126*((AP$5=Inputs!$C$12)*$C$128*$D$126+(AP$5=Inputs!$C$13)*$D$128*($D$126+Inputs!$C$14))+$I$126*((AP$5=Inputs!$C$15+$K$126)*$E$128*$I$128+(AP$5=Inputs!$C$16+$K$126)*$F$128*$J$128+(AP$5=Inputs!$C$17)*$G$128*$H$126*$H$128)</f>
        <v>600.642</v>
      </c>
      <c r="AQ131" s="42" t="n">
        <f aca="false">-($D$126+$J$126)*(AQ$5=0)+IF(AND(AQ$5-$K$126&gt;=1,AQ$5-$K$126&lt;=Inputs!$C$13),INDEX($N$129:$AL$129,1,AQ$5-$K$126+1)*INDEX($N$130:$AL$130,1,AQ$5-$K$126+1),0)-$I$126*((AQ$5=Inputs!$C$12)*$C$128*$D$126+(AQ$5=Inputs!$C$13)*$D$128*($D$126+Inputs!$C$14))+$I$126*((AQ$5=Inputs!$C$15+$K$126)*$E$128*$I$128+(AQ$5=Inputs!$C$16+$K$126)*$F$128*$J$128+(AQ$5=Inputs!$C$17)*$G$128*$H$126*$H$128)</f>
        <v>0</v>
      </c>
      <c r="AR131" s="42" t="n">
        <f aca="false">-($D$126+$J$126)*(AR$5=0)+IF(AND(AR$5-$K$126&gt;=1,AR$5-$K$126&lt;=Inputs!$C$13),INDEX($N$129:$AL$129,1,AR$5-$K$126+1)*INDEX($N$130:$AL$130,1,AR$5-$K$126+1),0)-$I$126*((AR$5=Inputs!$C$12)*$C$128*$D$126+(AR$5=Inputs!$C$13)*$D$128*($D$126+Inputs!$C$14))+$I$126*((AR$5=Inputs!$C$15+$K$126)*$E$128*$I$128+(AR$5=Inputs!$C$16+$K$126)*$F$128*$J$128+(AR$5=Inputs!$C$17)*$G$128*$H$126*$H$128)</f>
        <v>0</v>
      </c>
      <c r="AS131" s="42" t="n">
        <f aca="false">-($D$126+$J$126)*(AS$5=0)+IF(AND(AS$5-$K$126&gt;=1,AS$5-$K$126&lt;=Inputs!$C$13),INDEX($N$129:$AL$129,1,AS$5-$K$126+1)*INDEX($N$130:$AL$130,1,AS$5-$K$126+1),0)-$I$126*((AS$5=Inputs!$C$12)*$C$128*$D$126+(AS$5=Inputs!$C$13)*$D$128*($D$126+Inputs!$C$14))+$I$126*((AS$5=Inputs!$C$15+$K$126)*$E$128*$I$128+(AS$5=Inputs!$C$16+$K$126)*$F$128*$J$128+(AS$5=Inputs!$C$17)*$G$128*$H$126*$H$128)</f>
        <v>350.0028</v>
      </c>
      <c r="AT131" s="42" t="n">
        <f aca="false">-($D$126+$J$126)*(AT$5=0)+IF(AND(AT$5-$K$126&gt;=1,AT$5-$K$126&lt;=Inputs!$C$13),INDEX($N$129:$AL$129,1,AT$5-$K$126+1)*INDEX($N$130:$AL$130,1,AT$5-$K$126+1),0)-$I$126*((AT$5=Inputs!$C$12)*$C$128*$D$126+(AT$5=Inputs!$C$13)*$D$128*($D$126+Inputs!$C$14))+$I$126*((AT$5=Inputs!$C$15+$K$126)*$E$128*$I$128+(AT$5=Inputs!$C$16+$K$126)*$F$128*$J$128+(AT$5=Inputs!$C$17)*$G$128*$H$126*$H$128)</f>
        <v>0</v>
      </c>
      <c r="AU131" s="42" t="n">
        <f aca="false">-($D$126+$J$126)*(AU$5=0)+IF(AND(AU$5-$K$126&gt;=1,AU$5-$K$126&lt;=Inputs!$C$13),INDEX($N$129:$AL$129,1,AU$5-$K$126+1)*INDEX($N$130:$AL$130,1,AU$5-$K$126+1),0)-$I$126*((AU$5=Inputs!$C$12)*$C$128*$D$126+(AU$5=Inputs!$C$13)*$D$128*($D$126+Inputs!$C$14))+$I$126*((AU$5=Inputs!$C$15+$K$126)*$E$128*$I$128+(AU$5=Inputs!$C$16+$K$126)*$F$128*$J$128+(AU$5=Inputs!$C$17)*$G$128*$H$126*$H$128)</f>
        <v>0</v>
      </c>
      <c r="AV131" s="42" t="n">
        <f aca="false">-($D$126+$J$126)*(AV$5=0)+IF(AND(AV$5-$K$126&gt;=1,AV$5-$K$126&lt;=Inputs!$C$13),INDEX($N$129:$AL$129,1,AV$5-$K$126+1)*INDEX($N$130:$AL$130,1,AV$5-$K$126+1),0)-$I$126*((AV$5=Inputs!$C$12)*$C$128*$D$126+(AV$5=Inputs!$C$13)*$D$128*($D$126+Inputs!$C$14))+$I$126*((AV$5=Inputs!$C$15+$K$126)*$E$128*$I$128+(AV$5=Inputs!$C$16+$K$126)*$F$128*$J$128+(AV$5=Inputs!$C$17)*$G$128*$H$126*$H$128)</f>
        <v>0</v>
      </c>
      <c r="AW131" s="42" t="n">
        <f aca="false">-($D$126+$J$126)*(AW$5=0)+IF(AND(AW$5-$K$126&gt;=1,AW$5-$K$126&lt;=Inputs!$C$13),INDEX($N$129:$AL$129,1,AW$5-$K$126+1)*INDEX($N$130:$AL$130,1,AW$5-$K$126+1),0)-$I$126*((AW$5=Inputs!$C$12)*$C$128*$D$126+(AW$5=Inputs!$C$13)*$D$128*($D$126+Inputs!$C$14))+$I$126*((AW$5=Inputs!$C$15+$K$126)*$E$128*$I$128+(AW$5=Inputs!$C$16+$K$126)*$F$128*$J$128+(AW$5=Inputs!$C$17)*$G$128*$H$126*$H$128)</f>
        <v>0</v>
      </c>
      <c r="AX131" s="42" t="n">
        <f aca="false">-($D$126+$J$126)*(AX$5=0)+IF(AND(AX$5-$K$126&gt;=1,AX$5-$K$126&lt;=Inputs!$C$13),INDEX($N$129:$AL$129,1,AX$5-$K$126+1)*INDEX($N$130:$AL$130,1,AX$5-$K$126+1),0)-$I$126*((AX$5=Inputs!$C$12)*$C$128*$D$126+(AX$5=Inputs!$C$13)*$D$128*($D$126+Inputs!$C$14))+$I$126*((AX$5=Inputs!$C$15+$K$126)*$E$128*$I$128+(AX$5=Inputs!$C$16+$K$126)*$F$128*$J$128+(AX$5=Inputs!$C$17)*$G$128*$H$126*$H$128)</f>
        <v>47.628</v>
      </c>
      <c r="AY131" s="42" t="n">
        <f aca="false">-($D$126+$J$126)*(AY$5=0)+IF(AND(AY$5-$K$126&gt;=1,AY$5-$K$126&lt;=Inputs!$C$13),INDEX($N$129:$AL$129,1,AY$5-$K$126+1)*INDEX($N$130:$AL$130,1,AY$5-$K$126+1),0)-$I$126*((AY$5=Inputs!$C$12)*$C$128*$D$126+(AY$5=Inputs!$C$13)*$D$128*($D$126+Inputs!$C$14))+$I$126*((AY$5=Inputs!$C$15+$K$126)*$E$128*$I$128+(AY$5=Inputs!$C$16+$K$126)*$F$128*$J$128+(AY$5=Inputs!$C$17)*$G$128*$H$126*$H$128)</f>
        <v>0</v>
      </c>
    </row>
    <row r="133" customFormat="false" ht="15" hidden="false" customHeight="false" outlineLevel="0" collapsed="false">
      <c r="B133" s="7" t="s">
        <v>201</v>
      </c>
      <c r="C133" s="8"/>
      <c r="D133" s="8"/>
      <c r="E133" s="8"/>
      <c r="F133" s="8"/>
      <c r="G133" s="8"/>
      <c r="H133" s="8"/>
      <c r="I133" s="8"/>
      <c r="J133" s="8"/>
      <c r="K133" s="8"/>
      <c r="L133" s="8"/>
    </row>
    <row r="134" customFormat="false" ht="30" hidden="false" customHeight="true" outlineLevel="0" collapsed="false">
      <c r="B134" s="37"/>
      <c r="C134" s="38" t="s">
        <v>169</v>
      </c>
      <c r="D134" s="38" t="s">
        <v>170</v>
      </c>
      <c r="E134" s="38" t="s">
        <v>171</v>
      </c>
      <c r="F134" s="38" t="s">
        <v>43</v>
      </c>
      <c r="G134" s="38" t="s">
        <v>44</v>
      </c>
      <c r="H134" s="38" t="s">
        <v>45</v>
      </c>
      <c r="I134" s="38" t="s">
        <v>172</v>
      </c>
      <c r="J134" s="38" t="s">
        <v>90</v>
      </c>
      <c r="K134" s="38" t="s">
        <v>89</v>
      </c>
      <c r="L134" s="38" t="s">
        <v>173</v>
      </c>
    </row>
    <row r="135" customFormat="false" ht="15" hidden="false" customHeight="false" outlineLevel="0" collapsed="false">
      <c r="B135" s="39" t="s">
        <v>174</v>
      </c>
      <c r="C135" s="26" t="n">
        <f aca="false">Class_IRR!$I$5</f>
        <v>0.13</v>
      </c>
      <c r="D135" s="30" t="n">
        <f aca="false">Inputs!$E$24</f>
        <v>3600</v>
      </c>
      <c r="E135" s="26" t="n">
        <f aca="false">Inputs!$F$24</f>
        <v>0.93</v>
      </c>
      <c r="F135" s="25" t="n">
        <f aca="false">Inputs!$G$24</f>
        <v>0.6</v>
      </c>
      <c r="G135" s="25" t="n">
        <f aca="false">Inputs!$H$24</f>
        <v>0.85</v>
      </c>
      <c r="H135" s="25" t="n">
        <f aca="false">Inputs!$I$24</f>
        <v>0.9</v>
      </c>
      <c r="I135" s="22" t="n">
        <f aca="false">Inputs!$J$24</f>
        <v>1</v>
      </c>
      <c r="J135" s="23" t="n">
        <f aca="false">Inputs!$C$9</f>
        <v>10</v>
      </c>
      <c r="K135" s="22" t="n">
        <f aca="false">Inputs!$C$10</f>
        <v>1</v>
      </c>
      <c r="L135" s="22" t="n">
        <f aca="false">1</f>
        <v>1</v>
      </c>
    </row>
    <row r="136" customFormat="false" ht="30" hidden="false" customHeight="true" outlineLevel="0" collapsed="false">
      <c r="B136" s="37"/>
      <c r="C136" s="38" t="s">
        <v>175</v>
      </c>
      <c r="D136" s="38" t="s">
        <v>176</v>
      </c>
      <c r="E136" s="38" t="s">
        <v>177</v>
      </c>
      <c r="F136" s="38" t="s">
        <v>178</v>
      </c>
      <c r="G136" s="38" t="s">
        <v>112</v>
      </c>
      <c r="H136" s="38" t="s">
        <v>179</v>
      </c>
      <c r="I136" s="38" t="s">
        <v>180</v>
      </c>
      <c r="J136" s="38" t="s">
        <v>181</v>
      </c>
      <c r="K136" s="38" t="s">
        <v>182</v>
      </c>
      <c r="L136" s="38" t="s">
        <v>183</v>
      </c>
    </row>
    <row r="137" customFormat="false" ht="15" hidden="false" customHeight="false" outlineLevel="0" collapsed="false">
      <c r="B137" s="39" t="s">
        <v>184</v>
      </c>
      <c r="C137" s="40" t="n">
        <f aca="false">1-$E$135*CHOOSE($L$135,INDEX(Timing!$C$7:$AA$7,1,Inputs!$C$12+1),INDEX(Timing!$C$8:$AA$8,1,Inputs!$C$12+1))</f>
        <v>0.2932</v>
      </c>
      <c r="D137" s="40" t="n">
        <f aca="false">1-$E$135*CHOOSE($L$135,INDEX(Timing!$C$7:$AA$7,1,Inputs!$C$13+1),INDEX(Timing!$C$8:$AA$8,1,Inputs!$C$13+1))</f>
        <v>0.07</v>
      </c>
      <c r="E137" s="40" t="n">
        <f aca="false">$I$135*$D$137*$F$135</f>
        <v>0.042</v>
      </c>
      <c r="F137" s="40" t="n">
        <f aca="false">$I$135*($D$137-$E$137)*$G$135</f>
        <v>0.0238</v>
      </c>
      <c r="G137" s="40" t="n">
        <f aca="false">$I$135*($D$137-$E$137-$F$137)</f>
        <v>0.0042</v>
      </c>
      <c r="H137" s="23" t="n">
        <f aca="false">$I$135*(3*$D$135+Inputs!$C$14)</f>
        <v>12600</v>
      </c>
      <c r="I137" s="23" t="n">
        <f aca="false">$I$135*($D$135*(1+IF($C$135&lt;=0,0,MAX($C$135*Inputs!$C$15/12,Inputs!$C$8)))+$D$135*(1+Inputs!$C$11*(Inputs!$C$15-Inputs!$C$12)/12)+$D$135*(1+Inputs!$C$11*(Inputs!$C$15-Inputs!$C$13)/12)+Inputs!$C$14)</f>
        <v>14625</v>
      </c>
      <c r="J137" s="23" t="n">
        <f aca="false">$I$135*($D$135*(1+IF($C$135&lt;=0,0,MAX($C$135*Inputs!$C$16/12,Inputs!$C$8)))+$D$135*(1+Inputs!$C$11*(Inputs!$C$16-Inputs!$C$12)/12)+$D$135*(1+Inputs!$C$11*(Inputs!$C$16-Inputs!$C$13)/12)+Inputs!$C$14)</f>
        <v>15066</v>
      </c>
      <c r="K137" s="40" t="n">
        <f aca="false">IRR($N$140:$AY$140,0.005)</f>
        <v>0.00984286267241268</v>
      </c>
      <c r="L137" s="41" t="n">
        <f aca="false">(1+$K$137)^12-1</f>
        <v>0.124723071671024</v>
      </c>
    </row>
    <row r="138" customFormat="false" ht="15" hidden="false" customHeight="false" outlineLevel="0" collapsed="false">
      <c r="B138" s="9" t="s">
        <v>185</v>
      </c>
      <c r="N138" s="40" t="n">
        <f aca="false">0</f>
        <v>0</v>
      </c>
      <c r="O138" s="40" t="n">
        <f aca="false">$E$135*(CHOOSE($L$135,Timing!D$7,Timing!D$8)-CHOOSE($L$135,Timing!C$7,Timing!C$8))</f>
        <v>0.1116</v>
      </c>
      <c r="P138" s="40" t="n">
        <f aca="false">$E$135*(CHOOSE($L$135,Timing!E$7,Timing!E$8)-CHOOSE($L$135,Timing!D$7,Timing!D$8))</f>
        <v>0.093</v>
      </c>
      <c r="Q138" s="40" t="n">
        <f aca="false">$E$135*(CHOOSE($L$135,Timing!F$7,Timing!F$8)-CHOOSE($L$135,Timing!E$7,Timing!E$8))</f>
        <v>0.0837</v>
      </c>
      <c r="R138" s="40" t="n">
        <f aca="false">$E$135*(CHOOSE($L$135,Timing!G$7,Timing!G$8)-CHOOSE($L$135,Timing!F$7,Timing!F$8))</f>
        <v>0.0651</v>
      </c>
      <c r="S138" s="40" t="n">
        <f aca="false">$E$135*(CHOOSE($L$135,Timing!H$7,Timing!H$8)-CHOOSE($L$135,Timing!G$7,Timing!G$8))</f>
        <v>0.0651</v>
      </c>
      <c r="T138" s="40" t="n">
        <f aca="false">$E$135*(CHOOSE($L$135,Timing!I$7,Timing!I$8)-CHOOSE($L$135,Timing!H$7,Timing!H$8))</f>
        <v>0.0651</v>
      </c>
      <c r="U138" s="40" t="n">
        <f aca="false">$E$135*(CHOOSE($L$135,Timing!J$7,Timing!J$8)-CHOOSE($L$135,Timing!I$7,Timing!I$8))</f>
        <v>0.0403</v>
      </c>
      <c r="V138" s="40" t="n">
        <f aca="false">$E$135*(CHOOSE($L$135,Timing!K$7,Timing!K$8)-CHOOSE($L$135,Timing!J$7,Timing!J$8))</f>
        <v>0.0403</v>
      </c>
      <c r="W138" s="40" t="n">
        <f aca="false">$E$135*(CHOOSE($L$135,Timing!L$7,Timing!L$8)-CHOOSE($L$135,Timing!K$7,Timing!K$8))</f>
        <v>0.0403</v>
      </c>
      <c r="X138" s="40" t="n">
        <f aca="false">$E$135*(CHOOSE($L$135,Timing!M$7,Timing!M$8)-CHOOSE($L$135,Timing!L$7,Timing!L$8))</f>
        <v>0.0341</v>
      </c>
      <c r="Y138" s="40" t="n">
        <f aca="false">$E$135*(CHOOSE($L$135,Timing!N$7,Timing!N$8)-CHOOSE($L$135,Timing!M$7,Timing!M$8))</f>
        <v>0.0341000000000001</v>
      </c>
      <c r="Z138" s="40" t="n">
        <f aca="false">$E$135*(CHOOSE($L$135,Timing!O$7,Timing!O$8)-CHOOSE($L$135,Timing!N$7,Timing!N$8))</f>
        <v>0.0341</v>
      </c>
      <c r="AA138" s="40" t="n">
        <f aca="false">$E$135*(CHOOSE($L$135,Timing!P$7,Timing!P$8)-CHOOSE($L$135,Timing!O$7,Timing!O$8))</f>
        <v>0.0217</v>
      </c>
      <c r="AB138" s="40" t="n">
        <f aca="false">$E$135*(CHOOSE($L$135,Timing!Q$7,Timing!Q$8)-CHOOSE($L$135,Timing!P$7,Timing!P$8))</f>
        <v>0.0217</v>
      </c>
      <c r="AC138" s="40" t="n">
        <f aca="false">$E$135*(CHOOSE($L$135,Timing!R$7,Timing!R$8)-CHOOSE($L$135,Timing!Q$7,Timing!Q$8))</f>
        <v>0.0217000000000001</v>
      </c>
      <c r="AD138" s="40" t="n">
        <f aca="false">$E$135*(CHOOSE($L$135,Timing!S$7,Timing!S$8)-CHOOSE($L$135,Timing!R$7,Timing!R$8))</f>
        <v>0.0217</v>
      </c>
      <c r="AE138" s="40" t="n">
        <f aca="false">$E$135*(CHOOSE($L$135,Timing!T$7,Timing!T$8)-CHOOSE($L$135,Timing!S$7,Timing!S$8))</f>
        <v>0.0217</v>
      </c>
      <c r="AF138" s="40" t="n">
        <f aca="false">$E$135*(CHOOSE($L$135,Timing!U$7,Timing!U$8)-CHOOSE($L$135,Timing!T$7,Timing!T$8))</f>
        <v>0.0217</v>
      </c>
      <c r="AG138" s="40" t="n">
        <f aca="false">$E$135*(CHOOSE($L$135,Timing!V$7,Timing!V$8)-CHOOSE($L$135,Timing!U$7,Timing!U$8))</f>
        <v>0.0155</v>
      </c>
      <c r="AH138" s="40" t="n">
        <f aca="false">$E$135*(CHOOSE($L$135,Timing!W$7,Timing!W$8)-CHOOSE($L$135,Timing!V$7,Timing!V$8))</f>
        <v>0.0154999999999999</v>
      </c>
      <c r="AI138" s="40" t="n">
        <f aca="false">$E$135*(CHOOSE($L$135,Timing!X$7,Timing!X$8)-CHOOSE($L$135,Timing!W$7,Timing!W$8))</f>
        <v>0.0154999999999999</v>
      </c>
      <c r="AJ138" s="40" t="n">
        <f aca="false">$E$135*(CHOOSE($L$135,Timing!Y$7,Timing!Y$8)-CHOOSE($L$135,Timing!X$7,Timing!X$8))</f>
        <v>0.0155</v>
      </c>
      <c r="AK138" s="40" t="n">
        <f aca="false">$E$135*(CHOOSE($L$135,Timing!Z$7,Timing!Z$8)-CHOOSE($L$135,Timing!Y$7,Timing!Y$8))</f>
        <v>0.0155</v>
      </c>
      <c r="AL138" s="40" t="n">
        <f aca="false">$E$135*(CHOOSE($L$135,Timing!AA$7,Timing!AA$8)-CHOOSE($L$135,Timing!Z$7,Timing!Z$8))</f>
        <v>0.0154999999999999</v>
      </c>
    </row>
    <row r="139" customFormat="false" ht="15" hidden="false" customHeight="false" outlineLevel="0" collapsed="false">
      <c r="B139" s="9" t="s">
        <v>186</v>
      </c>
      <c r="N139" s="42" t="n">
        <f aca="false">0</f>
        <v>0</v>
      </c>
      <c r="O139" s="42" t="n">
        <f aca="false">$D$135*(1+IF($C$135&lt;=0,0,MAX($C$135*O$5/12,Inputs!$C$8)))+$I$135*(O$5&gt;Inputs!$C$12)*$D$135*(1+Inputs!$C$11*(O$5-Inputs!$C$12)/12)</f>
        <v>3780</v>
      </c>
      <c r="P139" s="42" t="n">
        <f aca="false">$D$135*(1+IF($C$135&lt;=0,0,MAX($C$135*P$5/12,Inputs!$C$8)))+$I$135*(P$5&gt;Inputs!$C$12)*$D$135*(1+Inputs!$C$11*(P$5-Inputs!$C$12)/12)</f>
        <v>3780</v>
      </c>
      <c r="Q139" s="42" t="n">
        <f aca="false">$D$135*(1+IF($C$135&lt;=0,0,MAX($C$135*Q$5/12,Inputs!$C$8)))+$I$135*(Q$5&gt;Inputs!$C$12)*$D$135*(1+Inputs!$C$11*(Q$5-Inputs!$C$12)/12)</f>
        <v>3780</v>
      </c>
      <c r="R139" s="42" t="n">
        <f aca="false">$D$135*(1+IF($C$135&lt;=0,0,MAX($C$135*R$5/12,Inputs!$C$8)))+$I$135*(R$5&gt;Inputs!$C$12)*$D$135*(1+Inputs!$C$11*(R$5-Inputs!$C$12)/12)</f>
        <v>3780</v>
      </c>
      <c r="S139" s="42" t="n">
        <f aca="false">$D$135*(1+IF($C$135&lt;=0,0,MAX($C$135*S$5/12,Inputs!$C$8)))+$I$135*(S$5&gt;Inputs!$C$12)*$D$135*(1+Inputs!$C$11*(S$5-Inputs!$C$12)/12)</f>
        <v>3795</v>
      </c>
      <c r="T139" s="42" t="n">
        <f aca="false">$D$135*(1+IF($C$135&lt;=0,0,MAX($C$135*T$5/12,Inputs!$C$8)))+$I$135*(T$5&gt;Inputs!$C$12)*$D$135*(1+Inputs!$C$11*(T$5-Inputs!$C$12)/12)</f>
        <v>3834</v>
      </c>
      <c r="U139" s="42" t="n">
        <f aca="false">$D$135*(1+IF($C$135&lt;=0,0,MAX($C$135*U$5/12,Inputs!$C$8)))+$I$135*(U$5&gt;Inputs!$C$12)*$D$135*(1+Inputs!$C$11*(U$5-Inputs!$C$12)/12)</f>
        <v>3873</v>
      </c>
      <c r="V139" s="42" t="n">
        <f aca="false">$D$135*(1+IF($C$135&lt;=0,0,MAX($C$135*V$5/12,Inputs!$C$8)))+$I$135*(V$5&gt;Inputs!$C$12)*$D$135*(1+Inputs!$C$11*(V$5-Inputs!$C$12)/12)</f>
        <v>3912</v>
      </c>
      <c r="W139" s="42" t="n">
        <f aca="false">$D$135*(1+IF($C$135&lt;=0,0,MAX($C$135*W$5/12,Inputs!$C$8)))+$I$135*(W$5&gt;Inputs!$C$12)*$D$135*(1+Inputs!$C$11*(W$5-Inputs!$C$12)/12)</f>
        <v>3951</v>
      </c>
      <c r="X139" s="42" t="n">
        <f aca="false">$D$135*(1+IF($C$135&lt;=0,0,MAX($C$135*X$5/12,Inputs!$C$8)))+$I$135*(X$5&gt;Inputs!$C$12)*$D$135*(1+Inputs!$C$11*(X$5-Inputs!$C$12)/12)</f>
        <v>3990</v>
      </c>
      <c r="Y139" s="42" t="n">
        <f aca="false">$D$135*(1+IF($C$135&lt;=0,0,MAX($C$135*Y$5/12,Inputs!$C$8)))+$I$135*(Y$5&gt;Inputs!$C$12)*$D$135*(1+Inputs!$C$11*(Y$5-Inputs!$C$12)/12)</f>
        <v>4029</v>
      </c>
      <c r="Z139" s="42" t="n">
        <f aca="false">$D$135*(1+IF($C$135&lt;=0,0,MAX($C$135*Z$5/12,Inputs!$C$8)))+$I$135*(Z$5&gt;Inputs!$C$12)*$D$135*(1+Inputs!$C$11*(Z$5-Inputs!$C$12)/12)</f>
        <v>4068</v>
      </c>
      <c r="AA139" s="42" t="n">
        <f aca="false">$D$135*(1+IF($C$135&lt;=0,0,MAX($C$135*AA$5/12,Inputs!$C$8)))+$I$135*(AA$5&gt;Inputs!$C$12)*$D$135*(1+Inputs!$C$11*(AA$5-Inputs!$C$12)/12)</f>
        <v>7761</v>
      </c>
      <c r="AB139" s="42" t="n">
        <f aca="false">$D$135*(1+IF($C$135&lt;=0,0,MAX($C$135*AB$5/12,Inputs!$C$8)))+$I$135*(AB$5&gt;Inputs!$C$12)*$D$135*(1+Inputs!$C$11*(AB$5-Inputs!$C$12)/12)</f>
        <v>7854</v>
      </c>
      <c r="AC139" s="42" t="n">
        <f aca="false">$D$135*(1+IF($C$135&lt;=0,0,MAX($C$135*AC$5/12,Inputs!$C$8)))+$I$135*(AC$5&gt;Inputs!$C$12)*$D$135*(1+Inputs!$C$11*(AC$5-Inputs!$C$12)/12)</f>
        <v>7947</v>
      </c>
      <c r="AD139" s="42" t="n">
        <f aca="false">$D$135*(1+IF($C$135&lt;=0,0,MAX($C$135*AD$5/12,Inputs!$C$8)))+$I$135*(AD$5&gt;Inputs!$C$12)*$D$135*(1+Inputs!$C$11*(AD$5-Inputs!$C$12)/12)</f>
        <v>8040</v>
      </c>
      <c r="AE139" s="42" t="n">
        <f aca="false">$D$135*(1+IF($C$135&lt;=0,0,MAX($C$135*AE$5/12,Inputs!$C$8)))+$I$135*(AE$5&gt;Inputs!$C$12)*$D$135*(1+Inputs!$C$11*(AE$5-Inputs!$C$12)/12)</f>
        <v>8133</v>
      </c>
      <c r="AF139" s="42" t="n">
        <f aca="false">$D$135*(1+IF($C$135&lt;=0,0,MAX($C$135*AF$5/12,Inputs!$C$8)))+$I$135*(AF$5&gt;Inputs!$C$12)*$D$135*(1+Inputs!$C$11*(AF$5-Inputs!$C$12)/12)</f>
        <v>8226</v>
      </c>
      <c r="AG139" s="42" t="n">
        <f aca="false">$D$135*(1+IF($C$135&lt;=0,0,MAX($C$135*AG$5/12,Inputs!$C$8)))+$I$135*(AG$5&gt;Inputs!$C$12)*$D$135*(1+Inputs!$C$11*(AG$5-Inputs!$C$12)/12)</f>
        <v>8319</v>
      </c>
      <c r="AH139" s="42" t="n">
        <f aca="false">$D$135*(1+IF($C$135&lt;=0,0,MAX($C$135*AH$5/12,Inputs!$C$8)))+$I$135*(AH$5&gt;Inputs!$C$12)*$D$135*(1+Inputs!$C$11*(AH$5-Inputs!$C$12)/12)</f>
        <v>8412</v>
      </c>
      <c r="AI139" s="42" t="n">
        <f aca="false">$D$135*(1+IF($C$135&lt;=0,0,MAX($C$135*AI$5/12,Inputs!$C$8)))+$I$135*(AI$5&gt;Inputs!$C$12)*$D$135*(1+Inputs!$C$11*(AI$5-Inputs!$C$12)/12)</f>
        <v>8505</v>
      </c>
      <c r="AJ139" s="42" t="n">
        <f aca="false">$D$135*(1+IF($C$135&lt;=0,0,MAX($C$135*AJ$5/12,Inputs!$C$8)))+$I$135*(AJ$5&gt;Inputs!$C$12)*$D$135*(1+Inputs!$C$11*(AJ$5-Inputs!$C$12)/12)</f>
        <v>8598</v>
      </c>
      <c r="AK139" s="42" t="n">
        <f aca="false">$D$135*(1+IF($C$135&lt;=0,0,MAX($C$135*AK$5/12,Inputs!$C$8)))+$I$135*(AK$5&gt;Inputs!$C$12)*$D$135*(1+Inputs!$C$11*(AK$5-Inputs!$C$12)/12)</f>
        <v>8691</v>
      </c>
      <c r="AL139" s="42" t="n">
        <f aca="false">$D$135*(1+IF($C$135&lt;=0,0,MAX($C$135*AL$5/12,Inputs!$C$8)))+$I$135*(AL$5&gt;Inputs!$C$12)*$D$135*(1+Inputs!$C$11*(AL$5-Inputs!$C$12)/12)</f>
        <v>8784</v>
      </c>
    </row>
    <row r="140" customFormat="false" ht="15" hidden="false" customHeight="false" outlineLevel="0" collapsed="false">
      <c r="B140" s="31" t="s">
        <v>187</v>
      </c>
      <c r="N140" s="42" t="n">
        <f aca="false">-($D$135+$J$135)*(N$5=0)+IF(AND(N$5-$K$135&gt;=1,N$5-$K$135&lt;=Inputs!$C$13),INDEX($N$138:$AL$138,1,N$5-$K$135+1)*INDEX($N$139:$AL$139,1,N$5-$K$135+1),0)-$I$135*((N$5=Inputs!$C$12)*$C$137*$D$135+(N$5=Inputs!$C$13)*$D$137*($D$135+Inputs!$C$14))+$I$135*((N$5=Inputs!$C$15+$K$135)*$E$137*$I$137+(N$5=Inputs!$C$16+$K$135)*$F$137*$J$137+(N$5=Inputs!$C$17)*$G$137*$H$135*$H$137)</f>
        <v>-3610</v>
      </c>
      <c r="O140" s="42" t="n">
        <f aca="false">-($D$135+$J$135)*(O$5=0)+IF(AND(O$5-$K$135&gt;=1,O$5-$K$135&lt;=Inputs!$C$13),INDEX($N$138:$AL$138,1,O$5-$K$135+1)*INDEX($N$139:$AL$139,1,O$5-$K$135+1),0)-$I$135*((O$5=Inputs!$C$12)*$C$137*$D$135+(O$5=Inputs!$C$13)*$D$137*($D$135+Inputs!$C$14))+$I$135*((O$5=Inputs!$C$15+$K$135)*$E$137*$I$137+(O$5=Inputs!$C$16+$K$135)*$F$137*$J$137+(O$5=Inputs!$C$17)*$G$137*$H$135*$H$137)</f>
        <v>0</v>
      </c>
      <c r="P140" s="42" t="n">
        <f aca="false">-($D$135+$J$135)*(P$5=0)+IF(AND(P$5-$K$135&gt;=1,P$5-$K$135&lt;=Inputs!$C$13),INDEX($N$138:$AL$138,1,P$5-$K$135+1)*INDEX($N$139:$AL$139,1,P$5-$K$135+1),0)-$I$135*((P$5=Inputs!$C$12)*$C$137*$D$135+(P$5=Inputs!$C$13)*$D$137*($D$135+Inputs!$C$14))+$I$135*((P$5=Inputs!$C$15+$K$135)*$E$137*$I$137+(P$5=Inputs!$C$16+$K$135)*$F$137*$J$137+(P$5=Inputs!$C$17)*$G$137*$H$135*$H$137)</f>
        <v>421.848</v>
      </c>
      <c r="Q140" s="42" t="n">
        <f aca="false">-($D$135+$J$135)*(Q$5=0)+IF(AND(Q$5-$K$135&gt;=1,Q$5-$K$135&lt;=Inputs!$C$13),INDEX($N$138:$AL$138,1,Q$5-$K$135+1)*INDEX($N$139:$AL$139,1,Q$5-$K$135+1),0)-$I$135*((Q$5=Inputs!$C$12)*$C$137*$D$135+(Q$5=Inputs!$C$13)*$D$137*($D$135+Inputs!$C$14))+$I$135*((Q$5=Inputs!$C$15+$K$135)*$E$137*$I$137+(Q$5=Inputs!$C$16+$K$135)*$F$137*$J$137+(Q$5=Inputs!$C$17)*$G$137*$H$135*$H$137)</f>
        <v>351.54</v>
      </c>
      <c r="R140" s="42" t="n">
        <f aca="false">-($D$135+$J$135)*(R$5=0)+IF(AND(R$5-$K$135&gt;=1,R$5-$K$135&lt;=Inputs!$C$13),INDEX($N$138:$AL$138,1,R$5-$K$135+1)*INDEX($N$139:$AL$139,1,R$5-$K$135+1),0)-$I$135*((R$5=Inputs!$C$12)*$C$137*$D$135+(R$5=Inputs!$C$13)*$D$137*($D$135+Inputs!$C$14))+$I$135*((R$5=Inputs!$C$15+$K$135)*$E$137*$I$137+(R$5=Inputs!$C$16+$K$135)*$F$137*$J$137+(R$5=Inputs!$C$17)*$G$137*$H$135*$H$137)</f>
        <v>316.386</v>
      </c>
      <c r="S140" s="42" t="n">
        <f aca="false">-($D$135+$J$135)*(S$5=0)+IF(AND(S$5-$K$135&gt;=1,S$5-$K$135&lt;=Inputs!$C$13),INDEX($N$138:$AL$138,1,S$5-$K$135+1)*INDEX($N$139:$AL$139,1,S$5-$K$135+1),0)-$I$135*((S$5=Inputs!$C$12)*$C$137*$D$135+(S$5=Inputs!$C$13)*$D$137*($D$135+Inputs!$C$14))+$I$135*((S$5=Inputs!$C$15+$K$135)*$E$137*$I$137+(S$5=Inputs!$C$16+$K$135)*$F$137*$J$137+(S$5=Inputs!$C$17)*$G$137*$H$135*$H$137)</f>
        <v>246.078</v>
      </c>
      <c r="T140" s="42" t="n">
        <f aca="false">-($D$135+$J$135)*(T$5=0)+IF(AND(T$5-$K$135&gt;=1,T$5-$K$135&lt;=Inputs!$C$13),INDEX($N$138:$AL$138,1,T$5-$K$135+1)*INDEX($N$139:$AL$139,1,T$5-$K$135+1),0)-$I$135*((T$5=Inputs!$C$12)*$C$137*$D$135+(T$5=Inputs!$C$13)*$D$137*($D$135+Inputs!$C$14))+$I$135*((T$5=Inputs!$C$15+$K$135)*$E$137*$I$137+(T$5=Inputs!$C$16+$K$135)*$F$137*$J$137+(T$5=Inputs!$C$17)*$G$137*$H$135*$H$137)</f>
        <v>247.0545</v>
      </c>
      <c r="U140" s="42" t="n">
        <f aca="false">-($D$135+$J$135)*(U$5=0)+IF(AND(U$5-$K$135&gt;=1,U$5-$K$135&lt;=Inputs!$C$13),INDEX($N$138:$AL$138,1,U$5-$K$135+1)*INDEX($N$139:$AL$139,1,U$5-$K$135+1),0)-$I$135*((U$5=Inputs!$C$12)*$C$137*$D$135+(U$5=Inputs!$C$13)*$D$137*($D$135+Inputs!$C$14))+$I$135*((U$5=Inputs!$C$15+$K$135)*$E$137*$I$137+(U$5=Inputs!$C$16+$K$135)*$F$137*$J$137+(U$5=Inputs!$C$17)*$G$137*$H$135*$H$137)</f>
        <v>249.5934</v>
      </c>
      <c r="V140" s="42" t="n">
        <f aca="false">-($D$135+$J$135)*(V$5=0)+IF(AND(V$5-$K$135&gt;=1,V$5-$K$135&lt;=Inputs!$C$13),INDEX($N$138:$AL$138,1,V$5-$K$135+1)*INDEX($N$139:$AL$139,1,V$5-$K$135+1),0)-$I$135*((V$5=Inputs!$C$12)*$C$137*$D$135+(V$5=Inputs!$C$13)*$D$137*($D$135+Inputs!$C$14))+$I$135*((V$5=Inputs!$C$15+$K$135)*$E$137*$I$137+(V$5=Inputs!$C$16+$K$135)*$F$137*$J$137+(V$5=Inputs!$C$17)*$G$137*$H$135*$H$137)</f>
        <v>156.0819</v>
      </c>
      <c r="W140" s="42" t="n">
        <f aca="false">-($D$135+$J$135)*(W$5=0)+IF(AND(W$5-$K$135&gt;=1,W$5-$K$135&lt;=Inputs!$C$13),INDEX($N$138:$AL$138,1,W$5-$K$135+1)*INDEX($N$139:$AL$139,1,W$5-$K$135+1),0)-$I$135*((W$5=Inputs!$C$12)*$C$137*$D$135+(W$5=Inputs!$C$13)*$D$137*($D$135+Inputs!$C$14))+$I$135*((W$5=Inputs!$C$15+$K$135)*$E$137*$I$137+(W$5=Inputs!$C$16+$K$135)*$F$137*$J$137+(W$5=Inputs!$C$17)*$G$137*$H$135*$H$137)</f>
        <v>157.6536</v>
      </c>
      <c r="X140" s="42" t="n">
        <f aca="false">-($D$135+$J$135)*(X$5=0)+IF(AND(X$5-$K$135&gt;=1,X$5-$K$135&lt;=Inputs!$C$13),INDEX($N$138:$AL$138,1,X$5-$K$135+1)*INDEX($N$139:$AL$139,1,X$5-$K$135+1),0)-$I$135*((X$5=Inputs!$C$12)*$C$137*$D$135+(X$5=Inputs!$C$13)*$D$137*($D$135+Inputs!$C$14))+$I$135*((X$5=Inputs!$C$15+$K$135)*$E$137*$I$137+(X$5=Inputs!$C$16+$K$135)*$F$137*$J$137+(X$5=Inputs!$C$17)*$G$137*$H$135*$H$137)</f>
        <v>159.2253</v>
      </c>
      <c r="Y140" s="42" t="n">
        <f aca="false">-($D$135+$J$135)*(Y$5=0)+IF(AND(Y$5-$K$135&gt;=1,Y$5-$K$135&lt;=Inputs!$C$13),INDEX($N$138:$AL$138,1,Y$5-$K$135+1)*INDEX($N$139:$AL$139,1,Y$5-$K$135+1),0)-$I$135*((Y$5=Inputs!$C$12)*$C$137*$D$135+(Y$5=Inputs!$C$13)*$D$137*($D$135+Inputs!$C$14))+$I$135*((Y$5=Inputs!$C$15+$K$135)*$E$137*$I$137+(Y$5=Inputs!$C$16+$K$135)*$F$137*$J$137+(Y$5=Inputs!$C$17)*$G$137*$H$135*$H$137)</f>
        <v>136.059</v>
      </c>
      <c r="Z140" s="42" t="n">
        <f aca="false">-($D$135+$J$135)*(Z$5=0)+IF(AND(Z$5-$K$135&gt;=1,Z$5-$K$135&lt;=Inputs!$C$13),INDEX($N$138:$AL$138,1,Z$5-$K$135+1)*INDEX($N$139:$AL$139,1,Z$5-$K$135+1),0)-$I$135*((Z$5=Inputs!$C$12)*$C$137*$D$135+(Z$5=Inputs!$C$13)*$D$137*($D$135+Inputs!$C$14))+$I$135*((Z$5=Inputs!$C$15+$K$135)*$E$137*$I$137+(Z$5=Inputs!$C$16+$K$135)*$F$137*$J$137+(Z$5=Inputs!$C$17)*$G$137*$H$135*$H$137)</f>
        <v>-918.1311</v>
      </c>
      <c r="AA140" s="42" t="n">
        <f aca="false">-($D$135+$J$135)*(AA$5=0)+IF(AND(AA$5-$K$135&gt;=1,AA$5-$K$135&lt;=Inputs!$C$13),INDEX($N$138:$AL$138,1,AA$5-$K$135+1)*INDEX($N$139:$AL$139,1,AA$5-$K$135+1),0)-$I$135*((AA$5=Inputs!$C$12)*$C$137*$D$135+(AA$5=Inputs!$C$13)*$D$137*($D$135+Inputs!$C$14))+$I$135*((AA$5=Inputs!$C$15+$K$135)*$E$137*$I$137+(AA$5=Inputs!$C$16+$K$135)*$F$137*$J$137+(AA$5=Inputs!$C$17)*$G$137*$H$135*$H$137)</f>
        <v>138.7188</v>
      </c>
      <c r="AB140" s="42" t="n">
        <f aca="false">-($D$135+$J$135)*(AB$5=0)+IF(AND(AB$5-$K$135&gt;=1,AB$5-$K$135&lt;=Inputs!$C$13),INDEX($N$138:$AL$138,1,AB$5-$K$135+1)*INDEX($N$139:$AL$139,1,AB$5-$K$135+1),0)-$I$135*((AB$5=Inputs!$C$12)*$C$137*$D$135+(AB$5=Inputs!$C$13)*$D$137*($D$135+Inputs!$C$14))+$I$135*((AB$5=Inputs!$C$15+$K$135)*$E$137*$I$137+(AB$5=Inputs!$C$16+$K$135)*$F$137*$J$137+(AB$5=Inputs!$C$17)*$G$137*$H$135*$H$137)</f>
        <v>168.4137</v>
      </c>
      <c r="AC140" s="42" t="n">
        <f aca="false">-($D$135+$J$135)*(AC$5=0)+IF(AND(AC$5-$K$135&gt;=1,AC$5-$K$135&lt;=Inputs!$C$13),INDEX($N$138:$AL$138,1,AC$5-$K$135+1)*INDEX($N$139:$AL$139,1,AC$5-$K$135+1),0)-$I$135*((AC$5=Inputs!$C$12)*$C$137*$D$135+(AC$5=Inputs!$C$13)*$D$137*($D$135+Inputs!$C$14))+$I$135*((AC$5=Inputs!$C$15+$K$135)*$E$137*$I$137+(AC$5=Inputs!$C$16+$K$135)*$F$137*$J$137+(AC$5=Inputs!$C$17)*$G$137*$H$135*$H$137)</f>
        <v>170.4318</v>
      </c>
      <c r="AD140" s="42" t="n">
        <f aca="false">-($D$135+$J$135)*(AD$5=0)+IF(AND(AD$5-$K$135&gt;=1,AD$5-$K$135&lt;=Inputs!$C$13),INDEX($N$138:$AL$138,1,AD$5-$K$135+1)*INDEX($N$139:$AL$139,1,AD$5-$K$135+1),0)-$I$135*((AD$5=Inputs!$C$12)*$C$137*$D$135+(AD$5=Inputs!$C$13)*$D$137*($D$135+Inputs!$C$14))+$I$135*((AD$5=Inputs!$C$15+$K$135)*$E$137*$I$137+(AD$5=Inputs!$C$16+$K$135)*$F$137*$J$137+(AD$5=Inputs!$C$17)*$G$137*$H$135*$H$137)</f>
        <v>172.449900000001</v>
      </c>
      <c r="AE140" s="42" t="n">
        <f aca="false">-($D$135+$J$135)*(AE$5=0)+IF(AND(AE$5-$K$135&gt;=1,AE$5-$K$135&lt;=Inputs!$C$13),INDEX($N$138:$AL$138,1,AE$5-$K$135+1)*INDEX($N$139:$AL$139,1,AE$5-$K$135+1),0)-$I$135*((AE$5=Inputs!$C$12)*$C$137*$D$135+(AE$5=Inputs!$C$13)*$D$137*($D$135+Inputs!$C$14))+$I$135*((AE$5=Inputs!$C$15+$K$135)*$E$137*$I$137+(AE$5=Inputs!$C$16+$K$135)*$F$137*$J$137+(AE$5=Inputs!$C$17)*$G$137*$H$135*$H$137)</f>
        <v>174.468</v>
      </c>
      <c r="AF140" s="42" t="n">
        <f aca="false">-($D$135+$J$135)*(AF$5=0)+IF(AND(AF$5-$K$135&gt;=1,AF$5-$K$135&lt;=Inputs!$C$13),INDEX($N$138:$AL$138,1,AF$5-$K$135+1)*INDEX($N$139:$AL$139,1,AF$5-$K$135+1),0)-$I$135*((AF$5=Inputs!$C$12)*$C$137*$D$135+(AF$5=Inputs!$C$13)*$D$137*($D$135+Inputs!$C$14))+$I$135*((AF$5=Inputs!$C$15+$K$135)*$E$137*$I$137+(AF$5=Inputs!$C$16+$K$135)*$F$137*$J$137+(AF$5=Inputs!$C$17)*$G$137*$H$135*$H$137)</f>
        <v>176.4861</v>
      </c>
      <c r="AG140" s="42" t="n">
        <f aca="false">-($D$135+$J$135)*(AG$5=0)+IF(AND(AG$5-$K$135&gt;=1,AG$5-$K$135&lt;=Inputs!$C$13),INDEX($N$138:$AL$138,1,AG$5-$K$135+1)*INDEX($N$139:$AL$139,1,AG$5-$K$135+1),0)-$I$135*((AG$5=Inputs!$C$12)*$C$137*$D$135+(AG$5=Inputs!$C$13)*$D$137*($D$135+Inputs!$C$14))+$I$135*((AG$5=Inputs!$C$15+$K$135)*$E$137*$I$137+(AG$5=Inputs!$C$16+$K$135)*$F$137*$J$137+(AG$5=Inputs!$C$17)*$G$137*$H$135*$H$137)</f>
        <v>178.5042</v>
      </c>
      <c r="AH140" s="42" t="n">
        <f aca="false">-($D$135+$J$135)*(AH$5=0)+IF(AND(AH$5-$K$135&gt;=1,AH$5-$K$135&lt;=Inputs!$C$13),INDEX($N$138:$AL$138,1,AH$5-$K$135+1)*INDEX($N$139:$AL$139,1,AH$5-$K$135+1),0)-$I$135*((AH$5=Inputs!$C$12)*$C$137*$D$135+(AH$5=Inputs!$C$13)*$D$137*($D$135+Inputs!$C$14))+$I$135*((AH$5=Inputs!$C$15+$K$135)*$E$137*$I$137+(AH$5=Inputs!$C$16+$K$135)*$F$137*$J$137+(AH$5=Inputs!$C$17)*$G$137*$H$135*$H$137)</f>
        <v>128.9445</v>
      </c>
      <c r="AI140" s="42" t="n">
        <f aca="false">-($D$135+$J$135)*(AI$5=0)+IF(AND(AI$5-$K$135&gt;=1,AI$5-$K$135&lt;=Inputs!$C$13),INDEX($N$138:$AL$138,1,AI$5-$K$135+1)*INDEX($N$139:$AL$139,1,AI$5-$K$135+1),0)-$I$135*((AI$5=Inputs!$C$12)*$C$137*$D$135+(AI$5=Inputs!$C$13)*$D$137*($D$135+Inputs!$C$14))+$I$135*((AI$5=Inputs!$C$15+$K$135)*$E$137*$I$137+(AI$5=Inputs!$C$16+$K$135)*$F$137*$J$137+(AI$5=Inputs!$C$17)*$G$137*$H$135*$H$137)</f>
        <v>130.386</v>
      </c>
      <c r="AJ140" s="42" t="n">
        <f aca="false">-($D$135+$J$135)*(AJ$5=0)+IF(AND(AJ$5-$K$135&gt;=1,AJ$5-$K$135&lt;=Inputs!$C$13),INDEX($N$138:$AL$138,1,AJ$5-$K$135+1)*INDEX($N$139:$AL$139,1,AJ$5-$K$135+1),0)-$I$135*((AJ$5=Inputs!$C$12)*$C$137*$D$135+(AJ$5=Inputs!$C$13)*$D$137*($D$135+Inputs!$C$14))+$I$135*((AJ$5=Inputs!$C$15+$K$135)*$E$137*$I$137+(AJ$5=Inputs!$C$16+$K$135)*$F$137*$J$137+(AJ$5=Inputs!$C$17)*$G$137*$H$135*$H$137)</f>
        <v>131.8275</v>
      </c>
      <c r="AK140" s="42" t="n">
        <f aca="false">-($D$135+$J$135)*(AK$5=0)+IF(AND(AK$5-$K$135&gt;=1,AK$5-$K$135&lt;=Inputs!$C$13),INDEX($N$138:$AL$138,1,AK$5-$K$135+1)*INDEX($N$139:$AL$139,1,AK$5-$K$135+1),0)-$I$135*((AK$5=Inputs!$C$12)*$C$137*$D$135+(AK$5=Inputs!$C$13)*$D$137*($D$135+Inputs!$C$14))+$I$135*((AK$5=Inputs!$C$15+$K$135)*$E$137*$I$137+(AK$5=Inputs!$C$16+$K$135)*$F$137*$J$137+(AK$5=Inputs!$C$17)*$G$137*$H$135*$H$137)</f>
        <v>133.269</v>
      </c>
      <c r="AL140" s="42" t="n">
        <f aca="false">-($D$135+$J$135)*(AL$5=0)+IF(AND(AL$5-$K$135&gt;=1,AL$5-$K$135&lt;=Inputs!$C$13),INDEX($N$138:$AL$138,1,AL$5-$K$135+1)*INDEX($N$139:$AL$139,1,AL$5-$K$135+1),0)-$I$135*((AL$5=Inputs!$C$12)*$C$137*$D$135+(AL$5=Inputs!$C$13)*$D$137*($D$135+Inputs!$C$14))+$I$135*((AL$5=Inputs!$C$15+$K$135)*$E$137*$I$137+(AL$5=Inputs!$C$16+$K$135)*$F$137*$J$137+(AL$5=Inputs!$C$17)*$G$137*$H$135*$H$137)</f>
        <v>-243.289499999999</v>
      </c>
      <c r="AM140" s="42" t="n">
        <f aca="false">-($D$135+$J$135)*(AM$5=0)+IF(AND(AM$5-$K$135&gt;=1,AM$5-$K$135&lt;=Inputs!$C$13),INDEX($N$138:$AL$138,1,AM$5-$K$135+1)*INDEX($N$139:$AL$139,1,AM$5-$K$135+1),0)-$I$135*((AM$5=Inputs!$C$12)*$C$137*$D$135+(AM$5=Inputs!$C$13)*$D$137*($D$135+Inputs!$C$14))+$I$135*((AM$5=Inputs!$C$15+$K$135)*$E$137*$I$137+(AM$5=Inputs!$C$16+$K$135)*$F$137*$J$137+(AM$5=Inputs!$C$17)*$G$137*$H$135*$H$137)</f>
        <v>136.152</v>
      </c>
      <c r="AN140" s="42" t="n">
        <f aca="false">-($D$135+$J$135)*(AN$5=0)+IF(AND(AN$5-$K$135&gt;=1,AN$5-$K$135&lt;=Inputs!$C$13),INDEX($N$138:$AL$138,1,AN$5-$K$135+1)*INDEX($N$139:$AL$139,1,AN$5-$K$135+1),0)-$I$135*((AN$5=Inputs!$C$12)*$C$137*$D$135+(AN$5=Inputs!$C$13)*$D$137*($D$135+Inputs!$C$14))+$I$135*((AN$5=Inputs!$C$15+$K$135)*$E$137*$I$137+(AN$5=Inputs!$C$16+$K$135)*$F$137*$J$137+(AN$5=Inputs!$C$17)*$G$137*$H$135*$H$137)</f>
        <v>0</v>
      </c>
      <c r="AO140" s="42" t="n">
        <f aca="false">-($D$135+$J$135)*(AO$5=0)+IF(AND(AO$5-$K$135&gt;=1,AO$5-$K$135&lt;=Inputs!$C$13),INDEX($N$138:$AL$138,1,AO$5-$K$135+1)*INDEX($N$139:$AL$139,1,AO$5-$K$135+1),0)-$I$135*((AO$5=Inputs!$C$12)*$C$137*$D$135+(AO$5=Inputs!$C$13)*$D$137*($D$135+Inputs!$C$14))+$I$135*((AO$5=Inputs!$C$15+$K$135)*$E$137*$I$137+(AO$5=Inputs!$C$16+$K$135)*$F$137*$J$137+(AO$5=Inputs!$C$17)*$G$137*$H$135*$H$137)</f>
        <v>0</v>
      </c>
      <c r="AP140" s="42" t="n">
        <f aca="false">-($D$135+$J$135)*(AP$5=0)+IF(AND(AP$5-$K$135&gt;=1,AP$5-$K$135&lt;=Inputs!$C$13),INDEX($N$138:$AL$138,1,AP$5-$K$135+1)*INDEX($N$139:$AL$139,1,AP$5-$K$135+1),0)-$I$135*((AP$5=Inputs!$C$12)*$C$137*$D$135+(AP$5=Inputs!$C$13)*$D$137*($D$135+Inputs!$C$14))+$I$135*((AP$5=Inputs!$C$15+$K$135)*$E$137*$I$137+(AP$5=Inputs!$C$16+$K$135)*$F$137*$J$137+(AP$5=Inputs!$C$17)*$G$137*$H$135*$H$137)</f>
        <v>614.25</v>
      </c>
      <c r="AQ140" s="42" t="n">
        <f aca="false">-($D$135+$J$135)*(AQ$5=0)+IF(AND(AQ$5-$K$135&gt;=1,AQ$5-$K$135&lt;=Inputs!$C$13),INDEX($N$138:$AL$138,1,AQ$5-$K$135+1)*INDEX($N$139:$AL$139,1,AQ$5-$K$135+1),0)-$I$135*((AQ$5=Inputs!$C$12)*$C$137*$D$135+(AQ$5=Inputs!$C$13)*$D$137*($D$135+Inputs!$C$14))+$I$135*((AQ$5=Inputs!$C$15+$K$135)*$E$137*$I$137+(AQ$5=Inputs!$C$16+$K$135)*$F$137*$J$137+(AQ$5=Inputs!$C$17)*$G$137*$H$135*$H$137)</f>
        <v>0</v>
      </c>
      <c r="AR140" s="42" t="n">
        <f aca="false">-($D$135+$J$135)*(AR$5=0)+IF(AND(AR$5-$K$135&gt;=1,AR$5-$K$135&lt;=Inputs!$C$13),INDEX($N$138:$AL$138,1,AR$5-$K$135+1)*INDEX($N$139:$AL$139,1,AR$5-$K$135+1),0)-$I$135*((AR$5=Inputs!$C$12)*$C$137*$D$135+(AR$5=Inputs!$C$13)*$D$137*($D$135+Inputs!$C$14))+$I$135*((AR$5=Inputs!$C$15+$K$135)*$E$137*$I$137+(AR$5=Inputs!$C$16+$K$135)*$F$137*$J$137+(AR$5=Inputs!$C$17)*$G$137*$H$135*$H$137)</f>
        <v>0</v>
      </c>
      <c r="AS140" s="42" t="n">
        <f aca="false">-($D$135+$J$135)*(AS$5=0)+IF(AND(AS$5-$K$135&gt;=1,AS$5-$K$135&lt;=Inputs!$C$13),INDEX($N$138:$AL$138,1,AS$5-$K$135+1)*INDEX($N$139:$AL$139,1,AS$5-$K$135+1),0)-$I$135*((AS$5=Inputs!$C$12)*$C$137*$D$135+(AS$5=Inputs!$C$13)*$D$137*($D$135+Inputs!$C$14))+$I$135*((AS$5=Inputs!$C$15+$K$135)*$E$137*$I$137+(AS$5=Inputs!$C$16+$K$135)*$F$137*$J$137+(AS$5=Inputs!$C$17)*$G$137*$H$135*$H$137)</f>
        <v>358.5708</v>
      </c>
      <c r="AT140" s="42" t="n">
        <f aca="false">-($D$135+$J$135)*(AT$5=0)+IF(AND(AT$5-$K$135&gt;=1,AT$5-$K$135&lt;=Inputs!$C$13),INDEX($N$138:$AL$138,1,AT$5-$K$135+1)*INDEX($N$139:$AL$139,1,AT$5-$K$135+1),0)-$I$135*((AT$5=Inputs!$C$12)*$C$137*$D$135+(AT$5=Inputs!$C$13)*$D$137*($D$135+Inputs!$C$14))+$I$135*((AT$5=Inputs!$C$15+$K$135)*$E$137*$I$137+(AT$5=Inputs!$C$16+$K$135)*$F$137*$J$137+(AT$5=Inputs!$C$17)*$G$137*$H$135*$H$137)</f>
        <v>0</v>
      </c>
      <c r="AU140" s="42" t="n">
        <f aca="false">-($D$135+$J$135)*(AU$5=0)+IF(AND(AU$5-$K$135&gt;=1,AU$5-$K$135&lt;=Inputs!$C$13),INDEX($N$138:$AL$138,1,AU$5-$K$135+1)*INDEX($N$139:$AL$139,1,AU$5-$K$135+1),0)-$I$135*((AU$5=Inputs!$C$12)*$C$137*$D$135+(AU$5=Inputs!$C$13)*$D$137*($D$135+Inputs!$C$14))+$I$135*((AU$5=Inputs!$C$15+$K$135)*$E$137*$I$137+(AU$5=Inputs!$C$16+$K$135)*$F$137*$J$137+(AU$5=Inputs!$C$17)*$G$137*$H$135*$H$137)</f>
        <v>0</v>
      </c>
      <c r="AV140" s="42" t="n">
        <f aca="false">-($D$135+$J$135)*(AV$5=0)+IF(AND(AV$5-$K$135&gt;=1,AV$5-$K$135&lt;=Inputs!$C$13),INDEX($N$138:$AL$138,1,AV$5-$K$135+1)*INDEX($N$139:$AL$139,1,AV$5-$K$135+1),0)-$I$135*((AV$5=Inputs!$C$12)*$C$137*$D$135+(AV$5=Inputs!$C$13)*$D$137*($D$135+Inputs!$C$14))+$I$135*((AV$5=Inputs!$C$15+$K$135)*$E$137*$I$137+(AV$5=Inputs!$C$16+$K$135)*$F$137*$J$137+(AV$5=Inputs!$C$17)*$G$137*$H$135*$H$137)</f>
        <v>0</v>
      </c>
      <c r="AW140" s="42" t="n">
        <f aca="false">-($D$135+$J$135)*(AW$5=0)+IF(AND(AW$5-$K$135&gt;=1,AW$5-$K$135&lt;=Inputs!$C$13),INDEX($N$138:$AL$138,1,AW$5-$K$135+1)*INDEX($N$139:$AL$139,1,AW$5-$K$135+1),0)-$I$135*((AW$5=Inputs!$C$12)*$C$137*$D$135+(AW$5=Inputs!$C$13)*$D$137*($D$135+Inputs!$C$14))+$I$135*((AW$5=Inputs!$C$15+$K$135)*$E$137*$I$137+(AW$5=Inputs!$C$16+$K$135)*$F$137*$J$137+(AW$5=Inputs!$C$17)*$G$137*$H$135*$H$137)</f>
        <v>0</v>
      </c>
      <c r="AX140" s="42" t="n">
        <f aca="false">-($D$135+$J$135)*(AX$5=0)+IF(AND(AX$5-$K$135&gt;=1,AX$5-$K$135&lt;=Inputs!$C$13),INDEX($N$138:$AL$138,1,AX$5-$K$135+1)*INDEX($N$139:$AL$139,1,AX$5-$K$135+1),0)-$I$135*((AX$5=Inputs!$C$12)*$C$137*$D$135+(AX$5=Inputs!$C$13)*$D$137*($D$135+Inputs!$C$14))+$I$135*((AX$5=Inputs!$C$15+$K$135)*$E$137*$I$137+(AX$5=Inputs!$C$16+$K$135)*$F$137*$J$137+(AX$5=Inputs!$C$17)*$G$137*$H$135*$H$137)</f>
        <v>47.628</v>
      </c>
      <c r="AY140" s="42" t="n">
        <f aca="false">-($D$135+$J$135)*(AY$5=0)+IF(AND(AY$5-$K$135&gt;=1,AY$5-$K$135&lt;=Inputs!$C$13),INDEX($N$138:$AL$138,1,AY$5-$K$135+1)*INDEX($N$139:$AL$139,1,AY$5-$K$135+1),0)-$I$135*((AY$5=Inputs!$C$12)*$C$137*$D$135+(AY$5=Inputs!$C$13)*$D$137*($D$135+Inputs!$C$14))+$I$135*((AY$5=Inputs!$C$15+$K$135)*$E$137*$I$137+(AY$5=Inputs!$C$16+$K$135)*$F$137*$J$137+(AY$5=Inputs!$C$17)*$G$137*$H$135*$H$137)</f>
        <v>0</v>
      </c>
    </row>
    <row r="142" customFormat="false" ht="15" hidden="false" customHeight="false" outlineLevel="0" collapsed="false">
      <c r="B142" s="7" t="s">
        <v>202</v>
      </c>
      <c r="C142" s="8"/>
      <c r="D142" s="8"/>
      <c r="E142" s="8"/>
      <c r="F142" s="8"/>
      <c r="G142" s="8"/>
      <c r="H142" s="8"/>
      <c r="I142" s="8"/>
      <c r="J142" s="8"/>
      <c r="K142" s="8"/>
      <c r="L142" s="8"/>
    </row>
    <row r="143" customFormat="false" ht="30" hidden="false" customHeight="true" outlineLevel="0" collapsed="false">
      <c r="B143" s="37"/>
      <c r="C143" s="38" t="s">
        <v>169</v>
      </c>
      <c r="D143" s="38" t="s">
        <v>170</v>
      </c>
      <c r="E143" s="38" t="s">
        <v>171</v>
      </c>
      <c r="F143" s="38" t="s">
        <v>43</v>
      </c>
      <c r="G143" s="38" t="s">
        <v>44</v>
      </c>
      <c r="H143" s="38" t="s">
        <v>45</v>
      </c>
      <c r="I143" s="38" t="s">
        <v>172</v>
      </c>
      <c r="J143" s="38" t="s">
        <v>90</v>
      </c>
      <c r="K143" s="38" t="s">
        <v>89</v>
      </c>
      <c r="L143" s="38" t="s">
        <v>173</v>
      </c>
    </row>
    <row r="144" customFormat="false" ht="15" hidden="false" customHeight="false" outlineLevel="0" collapsed="false">
      <c r="B144" s="39" t="s">
        <v>174</v>
      </c>
      <c r="C144" s="26" t="n">
        <f aca="false">Class_IRR!$J$5</f>
        <v>0.18</v>
      </c>
      <c r="D144" s="30" t="n">
        <f aca="false">Inputs!$E$24</f>
        <v>3600</v>
      </c>
      <c r="E144" s="26" t="n">
        <f aca="false">Inputs!$F$24</f>
        <v>0.93</v>
      </c>
      <c r="F144" s="25" t="n">
        <f aca="false">Inputs!$G$24</f>
        <v>0.6</v>
      </c>
      <c r="G144" s="25" t="n">
        <f aca="false">Inputs!$H$24</f>
        <v>0.85</v>
      </c>
      <c r="H144" s="25" t="n">
        <f aca="false">Inputs!$I$24</f>
        <v>0.9</v>
      </c>
      <c r="I144" s="22" t="n">
        <f aca="false">Inputs!$J$24</f>
        <v>1</v>
      </c>
      <c r="J144" s="23" t="n">
        <f aca="false">Inputs!$C$9</f>
        <v>10</v>
      </c>
      <c r="K144" s="22" t="n">
        <f aca="false">Inputs!$C$10</f>
        <v>1</v>
      </c>
      <c r="L144" s="22" t="n">
        <f aca="false">1</f>
        <v>1</v>
      </c>
    </row>
    <row r="145" customFormat="false" ht="30" hidden="false" customHeight="true" outlineLevel="0" collapsed="false">
      <c r="B145" s="37"/>
      <c r="C145" s="38" t="s">
        <v>175</v>
      </c>
      <c r="D145" s="38" t="s">
        <v>176</v>
      </c>
      <c r="E145" s="38" t="s">
        <v>177</v>
      </c>
      <c r="F145" s="38" t="s">
        <v>178</v>
      </c>
      <c r="G145" s="38" t="s">
        <v>112</v>
      </c>
      <c r="H145" s="38" t="s">
        <v>179</v>
      </c>
      <c r="I145" s="38" t="s">
        <v>180</v>
      </c>
      <c r="J145" s="38" t="s">
        <v>181</v>
      </c>
      <c r="K145" s="38" t="s">
        <v>182</v>
      </c>
      <c r="L145" s="38" t="s">
        <v>183</v>
      </c>
    </row>
    <row r="146" customFormat="false" ht="15" hidden="false" customHeight="false" outlineLevel="0" collapsed="false">
      <c r="B146" s="39" t="s">
        <v>184</v>
      </c>
      <c r="C146" s="40" t="n">
        <f aca="false">1-$E$144*CHOOSE($L$144,INDEX(Timing!$C$7:$AA$7,1,Inputs!$C$12+1),INDEX(Timing!$C$8:$AA$8,1,Inputs!$C$12+1))</f>
        <v>0.2932</v>
      </c>
      <c r="D146" s="40" t="n">
        <f aca="false">1-$E$144*CHOOSE($L$144,INDEX(Timing!$C$7:$AA$7,1,Inputs!$C$13+1),INDEX(Timing!$C$8:$AA$8,1,Inputs!$C$13+1))</f>
        <v>0.07</v>
      </c>
      <c r="E146" s="40" t="n">
        <f aca="false">$I$144*$D$146*$F$144</f>
        <v>0.042</v>
      </c>
      <c r="F146" s="40" t="n">
        <f aca="false">$I$144*($D$146-$E$146)*$G$144</f>
        <v>0.0238</v>
      </c>
      <c r="G146" s="40" t="n">
        <f aca="false">$I$144*($D$146-$E$146-$F$146)</f>
        <v>0.0042</v>
      </c>
      <c r="H146" s="23" t="n">
        <f aca="false">$I$144*(3*$D$144+Inputs!$C$14)</f>
        <v>12600</v>
      </c>
      <c r="I146" s="23" t="n">
        <f aca="false">$I$144*($D$144*(1+IF($C$144&lt;=0,0,MAX($C$144*Inputs!$C$15/12,Inputs!$C$8)))+$D$144*(1+Inputs!$C$11*(Inputs!$C$15-Inputs!$C$12)/12)+$D$144*(1+Inputs!$C$11*(Inputs!$C$15-Inputs!$C$13)/12)+Inputs!$C$14)</f>
        <v>15030</v>
      </c>
      <c r="J146" s="23" t="n">
        <f aca="false">$I$144*($D$144*(1+IF($C$144&lt;=0,0,MAX($C$144*Inputs!$C$16/12,Inputs!$C$8)))+$D$144*(1+Inputs!$C$11*(Inputs!$C$16-Inputs!$C$12)/12)+$D$144*(1+Inputs!$C$11*(Inputs!$C$16-Inputs!$C$13)/12)+Inputs!$C$14)</f>
        <v>15516</v>
      </c>
      <c r="K146" s="40" t="n">
        <f aca="false">IRR($N$149:$AY$149,0.005)</f>
        <v>0.0121208108811829</v>
      </c>
      <c r="L146" s="41" t="n">
        <f aca="false">(1+$K$146)^12-1</f>
        <v>0.155548710255304</v>
      </c>
    </row>
    <row r="147" customFormat="false" ht="15" hidden="false" customHeight="false" outlineLevel="0" collapsed="false">
      <c r="B147" s="9" t="s">
        <v>185</v>
      </c>
      <c r="N147" s="40" t="n">
        <f aca="false">0</f>
        <v>0</v>
      </c>
      <c r="O147" s="40" t="n">
        <f aca="false">$E$144*(CHOOSE($L$144,Timing!D$7,Timing!D$8)-CHOOSE($L$144,Timing!C$7,Timing!C$8))</f>
        <v>0.1116</v>
      </c>
      <c r="P147" s="40" t="n">
        <f aca="false">$E$144*(CHOOSE($L$144,Timing!E$7,Timing!E$8)-CHOOSE($L$144,Timing!D$7,Timing!D$8))</f>
        <v>0.093</v>
      </c>
      <c r="Q147" s="40" t="n">
        <f aca="false">$E$144*(CHOOSE($L$144,Timing!F$7,Timing!F$8)-CHOOSE($L$144,Timing!E$7,Timing!E$8))</f>
        <v>0.0837</v>
      </c>
      <c r="R147" s="40" t="n">
        <f aca="false">$E$144*(CHOOSE($L$144,Timing!G$7,Timing!G$8)-CHOOSE($L$144,Timing!F$7,Timing!F$8))</f>
        <v>0.0651</v>
      </c>
      <c r="S147" s="40" t="n">
        <f aca="false">$E$144*(CHOOSE($L$144,Timing!H$7,Timing!H$8)-CHOOSE($L$144,Timing!G$7,Timing!G$8))</f>
        <v>0.0651</v>
      </c>
      <c r="T147" s="40" t="n">
        <f aca="false">$E$144*(CHOOSE($L$144,Timing!I$7,Timing!I$8)-CHOOSE($L$144,Timing!H$7,Timing!H$8))</f>
        <v>0.0651</v>
      </c>
      <c r="U147" s="40" t="n">
        <f aca="false">$E$144*(CHOOSE($L$144,Timing!J$7,Timing!J$8)-CHOOSE($L$144,Timing!I$7,Timing!I$8))</f>
        <v>0.0403</v>
      </c>
      <c r="V147" s="40" t="n">
        <f aca="false">$E$144*(CHOOSE($L$144,Timing!K$7,Timing!K$8)-CHOOSE($L$144,Timing!J$7,Timing!J$8))</f>
        <v>0.0403</v>
      </c>
      <c r="W147" s="40" t="n">
        <f aca="false">$E$144*(CHOOSE($L$144,Timing!L$7,Timing!L$8)-CHOOSE($L$144,Timing!K$7,Timing!K$8))</f>
        <v>0.0403</v>
      </c>
      <c r="X147" s="40" t="n">
        <f aca="false">$E$144*(CHOOSE($L$144,Timing!M$7,Timing!M$8)-CHOOSE($L$144,Timing!L$7,Timing!L$8))</f>
        <v>0.0341</v>
      </c>
      <c r="Y147" s="40" t="n">
        <f aca="false">$E$144*(CHOOSE($L$144,Timing!N$7,Timing!N$8)-CHOOSE($L$144,Timing!M$7,Timing!M$8))</f>
        <v>0.0341000000000001</v>
      </c>
      <c r="Z147" s="40" t="n">
        <f aca="false">$E$144*(CHOOSE($L$144,Timing!O$7,Timing!O$8)-CHOOSE($L$144,Timing!N$7,Timing!N$8))</f>
        <v>0.0341</v>
      </c>
      <c r="AA147" s="40" t="n">
        <f aca="false">$E$144*(CHOOSE($L$144,Timing!P$7,Timing!P$8)-CHOOSE($L$144,Timing!O$7,Timing!O$8))</f>
        <v>0.0217</v>
      </c>
      <c r="AB147" s="40" t="n">
        <f aca="false">$E$144*(CHOOSE($L$144,Timing!Q$7,Timing!Q$8)-CHOOSE($L$144,Timing!P$7,Timing!P$8))</f>
        <v>0.0217</v>
      </c>
      <c r="AC147" s="40" t="n">
        <f aca="false">$E$144*(CHOOSE($L$144,Timing!R$7,Timing!R$8)-CHOOSE($L$144,Timing!Q$7,Timing!Q$8))</f>
        <v>0.0217000000000001</v>
      </c>
      <c r="AD147" s="40" t="n">
        <f aca="false">$E$144*(CHOOSE($L$144,Timing!S$7,Timing!S$8)-CHOOSE($L$144,Timing!R$7,Timing!R$8))</f>
        <v>0.0217</v>
      </c>
      <c r="AE147" s="40" t="n">
        <f aca="false">$E$144*(CHOOSE($L$144,Timing!T$7,Timing!T$8)-CHOOSE($L$144,Timing!S$7,Timing!S$8))</f>
        <v>0.0217</v>
      </c>
      <c r="AF147" s="40" t="n">
        <f aca="false">$E$144*(CHOOSE($L$144,Timing!U$7,Timing!U$8)-CHOOSE($L$144,Timing!T$7,Timing!T$8))</f>
        <v>0.0217</v>
      </c>
      <c r="AG147" s="40" t="n">
        <f aca="false">$E$144*(CHOOSE($L$144,Timing!V$7,Timing!V$8)-CHOOSE($L$144,Timing!U$7,Timing!U$8))</f>
        <v>0.0155</v>
      </c>
      <c r="AH147" s="40" t="n">
        <f aca="false">$E$144*(CHOOSE($L$144,Timing!W$7,Timing!W$8)-CHOOSE($L$144,Timing!V$7,Timing!V$8))</f>
        <v>0.0154999999999999</v>
      </c>
      <c r="AI147" s="40" t="n">
        <f aca="false">$E$144*(CHOOSE($L$144,Timing!X$7,Timing!X$8)-CHOOSE($L$144,Timing!W$7,Timing!W$8))</f>
        <v>0.0154999999999999</v>
      </c>
      <c r="AJ147" s="40" t="n">
        <f aca="false">$E$144*(CHOOSE($L$144,Timing!Y$7,Timing!Y$8)-CHOOSE($L$144,Timing!X$7,Timing!X$8))</f>
        <v>0.0155</v>
      </c>
      <c r="AK147" s="40" t="n">
        <f aca="false">$E$144*(CHOOSE($L$144,Timing!Z$7,Timing!Z$8)-CHOOSE($L$144,Timing!Y$7,Timing!Y$8))</f>
        <v>0.0155</v>
      </c>
      <c r="AL147" s="40" t="n">
        <f aca="false">$E$144*(CHOOSE($L$144,Timing!AA$7,Timing!AA$8)-CHOOSE($L$144,Timing!Z$7,Timing!Z$8))</f>
        <v>0.0154999999999999</v>
      </c>
    </row>
    <row r="148" customFormat="false" ht="15" hidden="false" customHeight="false" outlineLevel="0" collapsed="false">
      <c r="B148" s="9" t="s">
        <v>186</v>
      </c>
      <c r="N148" s="42" t="n">
        <f aca="false">0</f>
        <v>0</v>
      </c>
      <c r="O148" s="42" t="n">
        <f aca="false">$D$144*(1+IF($C$144&lt;=0,0,MAX($C$144*O$5/12,Inputs!$C$8)))+$I$144*(O$5&gt;Inputs!$C$12)*$D$144*(1+Inputs!$C$11*(O$5-Inputs!$C$12)/12)</f>
        <v>3780</v>
      </c>
      <c r="P148" s="42" t="n">
        <f aca="false">$D$144*(1+IF($C$144&lt;=0,0,MAX($C$144*P$5/12,Inputs!$C$8)))+$I$144*(P$5&gt;Inputs!$C$12)*$D$144*(1+Inputs!$C$11*(P$5-Inputs!$C$12)/12)</f>
        <v>3780</v>
      </c>
      <c r="Q148" s="42" t="n">
        <f aca="false">$D$144*(1+IF($C$144&lt;=0,0,MAX($C$144*Q$5/12,Inputs!$C$8)))+$I$144*(Q$5&gt;Inputs!$C$12)*$D$144*(1+Inputs!$C$11*(Q$5-Inputs!$C$12)/12)</f>
        <v>3780</v>
      </c>
      <c r="R148" s="42" t="n">
        <f aca="false">$D$144*(1+IF($C$144&lt;=0,0,MAX($C$144*R$5/12,Inputs!$C$8)))+$I$144*(R$5&gt;Inputs!$C$12)*$D$144*(1+Inputs!$C$11*(R$5-Inputs!$C$12)/12)</f>
        <v>3816</v>
      </c>
      <c r="S148" s="42" t="n">
        <f aca="false">$D$144*(1+IF($C$144&lt;=0,0,MAX($C$144*S$5/12,Inputs!$C$8)))+$I$144*(S$5&gt;Inputs!$C$12)*$D$144*(1+Inputs!$C$11*(S$5-Inputs!$C$12)/12)</f>
        <v>3870</v>
      </c>
      <c r="T148" s="42" t="n">
        <f aca="false">$D$144*(1+IF($C$144&lt;=0,0,MAX($C$144*T$5/12,Inputs!$C$8)))+$I$144*(T$5&gt;Inputs!$C$12)*$D$144*(1+Inputs!$C$11*(T$5-Inputs!$C$12)/12)</f>
        <v>3924</v>
      </c>
      <c r="U148" s="42" t="n">
        <f aca="false">$D$144*(1+IF($C$144&lt;=0,0,MAX($C$144*U$5/12,Inputs!$C$8)))+$I$144*(U$5&gt;Inputs!$C$12)*$D$144*(1+Inputs!$C$11*(U$5-Inputs!$C$12)/12)</f>
        <v>3978</v>
      </c>
      <c r="V148" s="42" t="n">
        <f aca="false">$D$144*(1+IF($C$144&lt;=0,0,MAX($C$144*V$5/12,Inputs!$C$8)))+$I$144*(V$5&gt;Inputs!$C$12)*$D$144*(1+Inputs!$C$11*(V$5-Inputs!$C$12)/12)</f>
        <v>4032</v>
      </c>
      <c r="W148" s="42" t="n">
        <f aca="false">$D$144*(1+IF($C$144&lt;=0,0,MAX($C$144*W$5/12,Inputs!$C$8)))+$I$144*(W$5&gt;Inputs!$C$12)*$D$144*(1+Inputs!$C$11*(W$5-Inputs!$C$12)/12)</f>
        <v>4086</v>
      </c>
      <c r="X148" s="42" t="n">
        <f aca="false">$D$144*(1+IF($C$144&lt;=0,0,MAX($C$144*X$5/12,Inputs!$C$8)))+$I$144*(X$5&gt;Inputs!$C$12)*$D$144*(1+Inputs!$C$11*(X$5-Inputs!$C$12)/12)</f>
        <v>4140</v>
      </c>
      <c r="Y148" s="42" t="n">
        <f aca="false">$D$144*(1+IF($C$144&lt;=0,0,MAX($C$144*Y$5/12,Inputs!$C$8)))+$I$144*(Y$5&gt;Inputs!$C$12)*$D$144*(1+Inputs!$C$11*(Y$5-Inputs!$C$12)/12)</f>
        <v>4194</v>
      </c>
      <c r="Z148" s="42" t="n">
        <f aca="false">$D$144*(1+IF($C$144&lt;=0,0,MAX($C$144*Z$5/12,Inputs!$C$8)))+$I$144*(Z$5&gt;Inputs!$C$12)*$D$144*(1+Inputs!$C$11*(Z$5-Inputs!$C$12)/12)</f>
        <v>4248</v>
      </c>
      <c r="AA148" s="42" t="n">
        <f aca="false">$D$144*(1+IF($C$144&lt;=0,0,MAX($C$144*AA$5/12,Inputs!$C$8)))+$I$144*(AA$5&gt;Inputs!$C$12)*$D$144*(1+Inputs!$C$11*(AA$5-Inputs!$C$12)/12)</f>
        <v>7956</v>
      </c>
      <c r="AB148" s="42" t="n">
        <f aca="false">$D$144*(1+IF($C$144&lt;=0,0,MAX($C$144*AB$5/12,Inputs!$C$8)))+$I$144*(AB$5&gt;Inputs!$C$12)*$D$144*(1+Inputs!$C$11*(AB$5-Inputs!$C$12)/12)</f>
        <v>8064</v>
      </c>
      <c r="AC148" s="42" t="n">
        <f aca="false">$D$144*(1+IF($C$144&lt;=0,0,MAX($C$144*AC$5/12,Inputs!$C$8)))+$I$144*(AC$5&gt;Inputs!$C$12)*$D$144*(1+Inputs!$C$11*(AC$5-Inputs!$C$12)/12)</f>
        <v>8172</v>
      </c>
      <c r="AD148" s="42" t="n">
        <f aca="false">$D$144*(1+IF($C$144&lt;=0,0,MAX($C$144*AD$5/12,Inputs!$C$8)))+$I$144*(AD$5&gt;Inputs!$C$12)*$D$144*(1+Inputs!$C$11*(AD$5-Inputs!$C$12)/12)</f>
        <v>8280</v>
      </c>
      <c r="AE148" s="42" t="n">
        <f aca="false">$D$144*(1+IF($C$144&lt;=0,0,MAX($C$144*AE$5/12,Inputs!$C$8)))+$I$144*(AE$5&gt;Inputs!$C$12)*$D$144*(1+Inputs!$C$11*(AE$5-Inputs!$C$12)/12)</f>
        <v>8388</v>
      </c>
      <c r="AF148" s="42" t="n">
        <f aca="false">$D$144*(1+IF($C$144&lt;=0,0,MAX($C$144*AF$5/12,Inputs!$C$8)))+$I$144*(AF$5&gt;Inputs!$C$12)*$D$144*(1+Inputs!$C$11*(AF$5-Inputs!$C$12)/12)</f>
        <v>8496</v>
      </c>
      <c r="AG148" s="42" t="n">
        <f aca="false">$D$144*(1+IF($C$144&lt;=0,0,MAX($C$144*AG$5/12,Inputs!$C$8)))+$I$144*(AG$5&gt;Inputs!$C$12)*$D$144*(1+Inputs!$C$11*(AG$5-Inputs!$C$12)/12)</f>
        <v>8604</v>
      </c>
      <c r="AH148" s="42" t="n">
        <f aca="false">$D$144*(1+IF($C$144&lt;=0,0,MAX($C$144*AH$5/12,Inputs!$C$8)))+$I$144*(AH$5&gt;Inputs!$C$12)*$D$144*(1+Inputs!$C$11*(AH$5-Inputs!$C$12)/12)</f>
        <v>8712</v>
      </c>
      <c r="AI148" s="42" t="n">
        <f aca="false">$D$144*(1+IF($C$144&lt;=0,0,MAX($C$144*AI$5/12,Inputs!$C$8)))+$I$144*(AI$5&gt;Inputs!$C$12)*$D$144*(1+Inputs!$C$11*(AI$5-Inputs!$C$12)/12)</f>
        <v>8820</v>
      </c>
      <c r="AJ148" s="42" t="n">
        <f aca="false">$D$144*(1+IF($C$144&lt;=0,0,MAX($C$144*AJ$5/12,Inputs!$C$8)))+$I$144*(AJ$5&gt;Inputs!$C$12)*$D$144*(1+Inputs!$C$11*(AJ$5-Inputs!$C$12)/12)</f>
        <v>8928</v>
      </c>
      <c r="AK148" s="42" t="n">
        <f aca="false">$D$144*(1+IF($C$144&lt;=0,0,MAX($C$144*AK$5/12,Inputs!$C$8)))+$I$144*(AK$5&gt;Inputs!$C$12)*$D$144*(1+Inputs!$C$11*(AK$5-Inputs!$C$12)/12)</f>
        <v>9036</v>
      </c>
      <c r="AL148" s="42" t="n">
        <f aca="false">$D$144*(1+IF($C$144&lt;=0,0,MAX($C$144*AL$5/12,Inputs!$C$8)))+$I$144*(AL$5&gt;Inputs!$C$12)*$D$144*(1+Inputs!$C$11*(AL$5-Inputs!$C$12)/12)</f>
        <v>9144</v>
      </c>
    </row>
    <row r="149" customFormat="false" ht="15" hidden="false" customHeight="false" outlineLevel="0" collapsed="false">
      <c r="B149" s="31" t="s">
        <v>187</v>
      </c>
      <c r="N149" s="42" t="n">
        <f aca="false">-($D$144+$J$144)*(N$5=0)+IF(AND(N$5-$K$144&gt;=1,N$5-$K$144&lt;=Inputs!$C$13),INDEX($N$147:$AL$147,1,N$5-$K$144+1)*INDEX($N$148:$AL$148,1,N$5-$K$144+1),0)-$I$144*((N$5=Inputs!$C$12)*$C$146*$D$144+(N$5=Inputs!$C$13)*$D$146*($D$144+Inputs!$C$14))+$I$144*((N$5=Inputs!$C$15+$K$144)*$E$146*$I$146+(N$5=Inputs!$C$16+$K$144)*$F$146*$J$146+(N$5=Inputs!$C$17)*$G$146*$H$144*$H$146)</f>
        <v>-3610</v>
      </c>
      <c r="O149" s="42" t="n">
        <f aca="false">-($D$144+$J$144)*(O$5=0)+IF(AND(O$5-$K$144&gt;=1,O$5-$K$144&lt;=Inputs!$C$13),INDEX($N$147:$AL$147,1,O$5-$K$144+1)*INDEX($N$148:$AL$148,1,O$5-$K$144+1),0)-$I$144*((O$5=Inputs!$C$12)*$C$146*$D$144+(O$5=Inputs!$C$13)*$D$146*($D$144+Inputs!$C$14))+$I$144*((O$5=Inputs!$C$15+$K$144)*$E$146*$I$146+(O$5=Inputs!$C$16+$K$144)*$F$146*$J$146+(O$5=Inputs!$C$17)*$G$146*$H$144*$H$146)</f>
        <v>0</v>
      </c>
      <c r="P149" s="42" t="n">
        <f aca="false">-($D$144+$J$144)*(P$5=0)+IF(AND(P$5-$K$144&gt;=1,P$5-$K$144&lt;=Inputs!$C$13),INDEX($N$147:$AL$147,1,P$5-$K$144+1)*INDEX($N$148:$AL$148,1,P$5-$K$144+1),0)-$I$144*((P$5=Inputs!$C$12)*$C$146*$D$144+(P$5=Inputs!$C$13)*$D$146*($D$144+Inputs!$C$14))+$I$144*((P$5=Inputs!$C$15+$K$144)*$E$146*$I$146+(P$5=Inputs!$C$16+$K$144)*$F$146*$J$146+(P$5=Inputs!$C$17)*$G$146*$H$144*$H$146)</f>
        <v>421.848</v>
      </c>
      <c r="Q149" s="42" t="n">
        <f aca="false">-($D$144+$J$144)*(Q$5=0)+IF(AND(Q$5-$K$144&gt;=1,Q$5-$K$144&lt;=Inputs!$C$13),INDEX($N$147:$AL$147,1,Q$5-$K$144+1)*INDEX($N$148:$AL$148,1,Q$5-$K$144+1),0)-$I$144*((Q$5=Inputs!$C$12)*$C$146*$D$144+(Q$5=Inputs!$C$13)*$D$146*($D$144+Inputs!$C$14))+$I$144*((Q$5=Inputs!$C$15+$K$144)*$E$146*$I$146+(Q$5=Inputs!$C$16+$K$144)*$F$146*$J$146+(Q$5=Inputs!$C$17)*$G$146*$H$144*$H$146)</f>
        <v>351.54</v>
      </c>
      <c r="R149" s="42" t="n">
        <f aca="false">-($D$144+$J$144)*(R$5=0)+IF(AND(R$5-$K$144&gt;=1,R$5-$K$144&lt;=Inputs!$C$13),INDEX($N$147:$AL$147,1,R$5-$K$144+1)*INDEX($N$148:$AL$148,1,R$5-$K$144+1),0)-$I$144*((R$5=Inputs!$C$12)*$C$146*$D$144+(R$5=Inputs!$C$13)*$D$146*($D$144+Inputs!$C$14))+$I$144*((R$5=Inputs!$C$15+$K$144)*$E$146*$I$146+(R$5=Inputs!$C$16+$K$144)*$F$146*$J$146+(R$5=Inputs!$C$17)*$G$146*$H$144*$H$146)</f>
        <v>316.386</v>
      </c>
      <c r="S149" s="42" t="n">
        <f aca="false">-($D$144+$J$144)*(S$5=0)+IF(AND(S$5-$K$144&gt;=1,S$5-$K$144&lt;=Inputs!$C$13),INDEX($N$147:$AL$147,1,S$5-$K$144+1)*INDEX($N$148:$AL$148,1,S$5-$K$144+1),0)-$I$144*((S$5=Inputs!$C$12)*$C$146*$D$144+(S$5=Inputs!$C$13)*$D$146*($D$144+Inputs!$C$14))+$I$144*((S$5=Inputs!$C$15+$K$144)*$E$146*$I$146+(S$5=Inputs!$C$16+$K$144)*$F$146*$J$146+(S$5=Inputs!$C$17)*$G$146*$H$144*$H$146)</f>
        <v>248.4216</v>
      </c>
      <c r="T149" s="42" t="n">
        <f aca="false">-($D$144+$J$144)*(T$5=0)+IF(AND(T$5-$K$144&gt;=1,T$5-$K$144&lt;=Inputs!$C$13),INDEX($N$147:$AL$147,1,T$5-$K$144+1)*INDEX($N$148:$AL$148,1,T$5-$K$144+1),0)-$I$144*((T$5=Inputs!$C$12)*$C$146*$D$144+(T$5=Inputs!$C$13)*$D$146*($D$144+Inputs!$C$14))+$I$144*((T$5=Inputs!$C$15+$K$144)*$E$146*$I$146+(T$5=Inputs!$C$16+$K$144)*$F$146*$J$146+(T$5=Inputs!$C$17)*$G$146*$H$144*$H$146)</f>
        <v>251.937</v>
      </c>
      <c r="U149" s="42" t="n">
        <f aca="false">-($D$144+$J$144)*(U$5=0)+IF(AND(U$5-$K$144&gt;=1,U$5-$K$144&lt;=Inputs!$C$13),INDEX($N$147:$AL$147,1,U$5-$K$144+1)*INDEX($N$148:$AL$148,1,U$5-$K$144+1),0)-$I$144*((U$5=Inputs!$C$12)*$C$146*$D$144+(U$5=Inputs!$C$13)*$D$146*($D$144+Inputs!$C$14))+$I$144*((U$5=Inputs!$C$15+$K$144)*$E$146*$I$146+(U$5=Inputs!$C$16+$K$144)*$F$146*$J$146+(U$5=Inputs!$C$17)*$G$146*$H$144*$H$146)</f>
        <v>255.4524</v>
      </c>
      <c r="V149" s="42" t="n">
        <f aca="false">-($D$144+$J$144)*(V$5=0)+IF(AND(V$5-$K$144&gt;=1,V$5-$K$144&lt;=Inputs!$C$13),INDEX($N$147:$AL$147,1,V$5-$K$144+1)*INDEX($N$148:$AL$148,1,V$5-$K$144+1),0)-$I$144*((V$5=Inputs!$C$12)*$C$146*$D$144+(V$5=Inputs!$C$13)*$D$146*($D$144+Inputs!$C$14))+$I$144*((V$5=Inputs!$C$15+$K$144)*$E$146*$I$146+(V$5=Inputs!$C$16+$K$144)*$F$146*$J$146+(V$5=Inputs!$C$17)*$G$146*$H$144*$H$146)</f>
        <v>160.3134</v>
      </c>
      <c r="W149" s="42" t="n">
        <f aca="false">-($D$144+$J$144)*(W$5=0)+IF(AND(W$5-$K$144&gt;=1,W$5-$K$144&lt;=Inputs!$C$13),INDEX($N$147:$AL$147,1,W$5-$K$144+1)*INDEX($N$148:$AL$148,1,W$5-$K$144+1),0)-$I$144*((W$5=Inputs!$C$12)*$C$146*$D$144+(W$5=Inputs!$C$13)*$D$146*($D$144+Inputs!$C$14))+$I$144*((W$5=Inputs!$C$15+$K$144)*$E$146*$I$146+(W$5=Inputs!$C$16+$K$144)*$F$146*$J$146+(W$5=Inputs!$C$17)*$G$146*$H$144*$H$146)</f>
        <v>162.4896</v>
      </c>
      <c r="X149" s="42" t="n">
        <f aca="false">-($D$144+$J$144)*(X$5=0)+IF(AND(X$5-$K$144&gt;=1,X$5-$K$144&lt;=Inputs!$C$13),INDEX($N$147:$AL$147,1,X$5-$K$144+1)*INDEX($N$148:$AL$148,1,X$5-$K$144+1),0)-$I$144*((X$5=Inputs!$C$12)*$C$146*$D$144+(X$5=Inputs!$C$13)*$D$146*($D$144+Inputs!$C$14))+$I$144*((X$5=Inputs!$C$15+$K$144)*$E$146*$I$146+(X$5=Inputs!$C$16+$K$144)*$F$146*$J$146+(X$5=Inputs!$C$17)*$G$146*$H$144*$H$146)</f>
        <v>164.6658</v>
      </c>
      <c r="Y149" s="42" t="n">
        <f aca="false">-($D$144+$J$144)*(Y$5=0)+IF(AND(Y$5-$K$144&gt;=1,Y$5-$K$144&lt;=Inputs!$C$13),INDEX($N$147:$AL$147,1,Y$5-$K$144+1)*INDEX($N$148:$AL$148,1,Y$5-$K$144+1),0)-$I$144*((Y$5=Inputs!$C$12)*$C$146*$D$144+(Y$5=Inputs!$C$13)*$D$146*($D$144+Inputs!$C$14))+$I$144*((Y$5=Inputs!$C$15+$K$144)*$E$146*$I$146+(Y$5=Inputs!$C$16+$K$144)*$F$146*$J$146+(Y$5=Inputs!$C$17)*$G$146*$H$144*$H$146)</f>
        <v>141.174</v>
      </c>
      <c r="Z149" s="42" t="n">
        <f aca="false">-($D$144+$J$144)*(Z$5=0)+IF(AND(Z$5-$K$144&gt;=1,Z$5-$K$144&lt;=Inputs!$C$13),INDEX($N$147:$AL$147,1,Z$5-$K$144+1)*INDEX($N$148:$AL$148,1,Z$5-$K$144+1),0)-$I$144*((Z$5=Inputs!$C$12)*$C$146*$D$144+(Z$5=Inputs!$C$13)*$D$146*($D$144+Inputs!$C$14))+$I$144*((Z$5=Inputs!$C$15+$K$144)*$E$146*$I$146+(Z$5=Inputs!$C$16+$K$144)*$F$146*$J$146+(Z$5=Inputs!$C$17)*$G$146*$H$144*$H$146)</f>
        <v>-912.5046</v>
      </c>
      <c r="AA149" s="42" t="n">
        <f aca="false">-($D$144+$J$144)*(AA$5=0)+IF(AND(AA$5-$K$144&gt;=1,AA$5-$K$144&lt;=Inputs!$C$13),INDEX($N$147:$AL$147,1,AA$5-$K$144+1)*INDEX($N$148:$AL$148,1,AA$5-$K$144+1),0)-$I$144*((AA$5=Inputs!$C$12)*$C$146*$D$144+(AA$5=Inputs!$C$13)*$D$146*($D$144+Inputs!$C$14))+$I$144*((AA$5=Inputs!$C$15+$K$144)*$E$146*$I$146+(AA$5=Inputs!$C$16+$K$144)*$F$146*$J$146+(AA$5=Inputs!$C$17)*$G$146*$H$144*$H$146)</f>
        <v>144.8568</v>
      </c>
      <c r="AB149" s="42" t="n">
        <f aca="false">-($D$144+$J$144)*(AB$5=0)+IF(AND(AB$5-$K$144&gt;=1,AB$5-$K$144&lt;=Inputs!$C$13),INDEX($N$147:$AL$147,1,AB$5-$K$144+1)*INDEX($N$148:$AL$148,1,AB$5-$K$144+1),0)-$I$144*((AB$5=Inputs!$C$12)*$C$146*$D$144+(AB$5=Inputs!$C$13)*$D$146*($D$144+Inputs!$C$14))+$I$144*((AB$5=Inputs!$C$15+$K$144)*$E$146*$I$146+(AB$5=Inputs!$C$16+$K$144)*$F$146*$J$146+(AB$5=Inputs!$C$17)*$G$146*$H$144*$H$146)</f>
        <v>172.6452</v>
      </c>
      <c r="AC149" s="42" t="n">
        <f aca="false">-($D$144+$J$144)*(AC$5=0)+IF(AND(AC$5-$K$144&gt;=1,AC$5-$K$144&lt;=Inputs!$C$13),INDEX($N$147:$AL$147,1,AC$5-$K$144+1)*INDEX($N$148:$AL$148,1,AC$5-$K$144+1),0)-$I$144*((AC$5=Inputs!$C$12)*$C$146*$D$144+(AC$5=Inputs!$C$13)*$D$146*($D$144+Inputs!$C$14))+$I$144*((AC$5=Inputs!$C$15+$K$144)*$E$146*$I$146+(AC$5=Inputs!$C$16+$K$144)*$F$146*$J$146+(AC$5=Inputs!$C$17)*$G$146*$H$144*$H$146)</f>
        <v>174.9888</v>
      </c>
      <c r="AD149" s="42" t="n">
        <f aca="false">-($D$144+$J$144)*(AD$5=0)+IF(AND(AD$5-$K$144&gt;=1,AD$5-$K$144&lt;=Inputs!$C$13),INDEX($N$147:$AL$147,1,AD$5-$K$144+1)*INDEX($N$148:$AL$148,1,AD$5-$K$144+1),0)-$I$144*((AD$5=Inputs!$C$12)*$C$146*$D$144+(AD$5=Inputs!$C$13)*$D$146*($D$144+Inputs!$C$14))+$I$144*((AD$5=Inputs!$C$15+$K$144)*$E$146*$I$146+(AD$5=Inputs!$C$16+$K$144)*$F$146*$J$146+(AD$5=Inputs!$C$17)*$G$146*$H$144*$H$146)</f>
        <v>177.332400000001</v>
      </c>
      <c r="AE149" s="42" t="n">
        <f aca="false">-($D$144+$J$144)*(AE$5=0)+IF(AND(AE$5-$K$144&gt;=1,AE$5-$K$144&lt;=Inputs!$C$13),INDEX($N$147:$AL$147,1,AE$5-$K$144+1)*INDEX($N$148:$AL$148,1,AE$5-$K$144+1),0)-$I$144*((AE$5=Inputs!$C$12)*$C$146*$D$144+(AE$5=Inputs!$C$13)*$D$146*($D$144+Inputs!$C$14))+$I$144*((AE$5=Inputs!$C$15+$K$144)*$E$146*$I$146+(AE$5=Inputs!$C$16+$K$144)*$F$146*$J$146+(AE$5=Inputs!$C$17)*$G$146*$H$144*$H$146)</f>
        <v>179.676</v>
      </c>
      <c r="AF149" s="42" t="n">
        <f aca="false">-($D$144+$J$144)*(AF$5=0)+IF(AND(AF$5-$K$144&gt;=1,AF$5-$K$144&lt;=Inputs!$C$13),INDEX($N$147:$AL$147,1,AF$5-$K$144+1)*INDEX($N$148:$AL$148,1,AF$5-$K$144+1),0)-$I$144*((AF$5=Inputs!$C$12)*$C$146*$D$144+(AF$5=Inputs!$C$13)*$D$146*($D$144+Inputs!$C$14))+$I$144*((AF$5=Inputs!$C$15+$K$144)*$E$146*$I$146+(AF$5=Inputs!$C$16+$K$144)*$F$146*$J$146+(AF$5=Inputs!$C$17)*$G$146*$H$144*$H$146)</f>
        <v>182.0196</v>
      </c>
      <c r="AG149" s="42" t="n">
        <f aca="false">-($D$144+$J$144)*(AG$5=0)+IF(AND(AG$5-$K$144&gt;=1,AG$5-$K$144&lt;=Inputs!$C$13),INDEX($N$147:$AL$147,1,AG$5-$K$144+1)*INDEX($N$148:$AL$148,1,AG$5-$K$144+1),0)-$I$144*((AG$5=Inputs!$C$12)*$C$146*$D$144+(AG$5=Inputs!$C$13)*$D$146*($D$144+Inputs!$C$14))+$I$144*((AG$5=Inputs!$C$15+$K$144)*$E$146*$I$146+(AG$5=Inputs!$C$16+$K$144)*$F$146*$J$146+(AG$5=Inputs!$C$17)*$G$146*$H$144*$H$146)</f>
        <v>184.3632</v>
      </c>
      <c r="AH149" s="42" t="n">
        <f aca="false">-($D$144+$J$144)*(AH$5=0)+IF(AND(AH$5-$K$144&gt;=1,AH$5-$K$144&lt;=Inputs!$C$13),INDEX($N$147:$AL$147,1,AH$5-$K$144+1)*INDEX($N$148:$AL$148,1,AH$5-$K$144+1),0)-$I$144*((AH$5=Inputs!$C$12)*$C$146*$D$144+(AH$5=Inputs!$C$13)*$D$146*($D$144+Inputs!$C$14))+$I$144*((AH$5=Inputs!$C$15+$K$144)*$E$146*$I$146+(AH$5=Inputs!$C$16+$K$144)*$F$146*$J$146+(AH$5=Inputs!$C$17)*$G$146*$H$144*$H$146)</f>
        <v>133.362</v>
      </c>
      <c r="AI149" s="42" t="n">
        <f aca="false">-($D$144+$J$144)*(AI$5=0)+IF(AND(AI$5-$K$144&gt;=1,AI$5-$K$144&lt;=Inputs!$C$13),INDEX($N$147:$AL$147,1,AI$5-$K$144+1)*INDEX($N$148:$AL$148,1,AI$5-$K$144+1),0)-$I$144*((AI$5=Inputs!$C$12)*$C$146*$D$144+(AI$5=Inputs!$C$13)*$D$146*($D$144+Inputs!$C$14))+$I$144*((AI$5=Inputs!$C$15+$K$144)*$E$146*$I$146+(AI$5=Inputs!$C$16+$K$144)*$F$146*$J$146+(AI$5=Inputs!$C$17)*$G$146*$H$144*$H$146)</f>
        <v>135.036</v>
      </c>
      <c r="AJ149" s="42" t="n">
        <f aca="false">-($D$144+$J$144)*(AJ$5=0)+IF(AND(AJ$5-$K$144&gt;=1,AJ$5-$K$144&lt;=Inputs!$C$13),INDEX($N$147:$AL$147,1,AJ$5-$K$144+1)*INDEX($N$148:$AL$148,1,AJ$5-$K$144+1),0)-$I$144*((AJ$5=Inputs!$C$12)*$C$146*$D$144+(AJ$5=Inputs!$C$13)*$D$146*($D$144+Inputs!$C$14))+$I$144*((AJ$5=Inputs!$C$15+$K$144)*$E$146*$I$146+(AJ$5=Inputs!$C$16+$K$144)*$F$146*$J$146+(AJ$5=Inputs!$C$17)*$G$146*$H$144*$H$146)</f>
        <v>136.71</v>
      </c>
      <c r="AK149" s="42" t="n">
        <f aca="false">-($D$144+$J$144)*(AK$5=0)+IF(AND(AK$5-$K$144&gt;=1,AK$5-$K$144&lt;=Inputs!$C$13),INDEX($N$147:$AL$147,1,AK$5-$K$144+1)*INDEX($N$148:$AL$148,1,AK$5-$K$144+1),0)-$I$144*((AK$5=Inputs!$C$12)*$C$146*$D$144+(AK$5=Inputs!$C$13)*$D$146*($D$144+Inputs!$C$14))+$I$144*((AK$5=Inputs!$C$15+$K$144)*$E$146*$I$146+(AK$5=Inputs!$C$16+$K$144)*$F$146*$J$146+(AK$5=Inputs!$C$17)*$G$146*$H$144*$H$146)</f>
        <v>138.384</v>
      </c>
      <c r="AL149" s="42" t="n">
        <f aca="false">-($D$144+$J$144)*(AL$5=0)+IF(AND(AL$5-$K$144&gt;=1,AL$5-$K$144&lt;=Inputs!$C$13),INDEX($N$147:$AL$147,1,AL$5-$K$144+1)*INDEX($N$148:$AL$148,1,AL$5-$K$144+1),0)-$I$144*((AL$5=Inputs!$C$12)*$C$146*$D$144+(AL$5=Inputs!$C$13)*$D$146*($D$144+Inputs!$C$14))+$I$144*((AL$5=Inputs!$C$15+$K$144)*$E$146*$I$146+(AL$5=Inputs!$C$16+$K$144)*$F$146*$J$146+(AL$5=Inputs!$C$17)*$G$146*$H$144*$H$146)</f>
        <v>-237.941999999999</v>
      </c>
      <c r="AM149" s="42" t="n">
        <f aca="false">-($D$144+$J$144)*(AM$5=0)+IF(AND(AM$5-$K$144&gt;=1,AM$5-$K$144&lt;=Inputs!$C$13),INDEX($N$147:$AL$147,1,AM$5-$K$144+1)*INDEX($N$148:$AL$148,1,AM$5-$K$144+1),0)-$I$144*((AM$5=Inputs!$C$12)*$C$146*$D$144+(AM$5=Inputs!$C$13)*$D$146*($D$144+Inputs!$C$14))+$I$144*((AM$5=Inputs!$C$15+$K$144)*$E$146*$I$146+(AM$5=Inputs!$C$16+$K$144)*$F$146*$J$146+(AM$5=Inputs!$C$17)*$G$146*$H$144*$H$146)</f>
        <v>141.732</v>
      </c>
      <c r="AN149" s="42" t="n">
        <f aca="false">-($D$144+$J$144)*(AN$5=0)+IF(AND(AN$5-$K$144&gt;=1,AN$5-$K$144&lt;=Inputs!$C$13),INDEX($N$147:$AL$147,1,AN$5-$K$144+1)*INDEX($N$148:$AL$148,1,AN$5-$K$144+1),0)-$I$144*((AN$5=Inputs!$C$12)*$C$146*$D$144+(AN$5=Inputs!$C$13)*$D$146*($D$144+Inputs!$C$14))+$I$144*((AN$5=Inputs!$C$15+$K$144)*$E$146*$I$146+(AN$5=Inputs!$C$16+$K$144)*$F$146*$J$146+(AN$5=Inputs!$C$17)*$G$146*$H$144*$H$146)</f>
        <v>0</v>
      </c>
      <c r="AO149" s="42" t="n">
        <f aca="false">-($D$144+$J$144)*(AO$5=0)+IF(AND(AO$5-$K$144&gt;=1,AO$5-$K$144&lt;=Inputs!$C$13),INDEX($N$147:$AL$147,1,AO$5-$K$144+1)*INDEX($N$148:$AL$148,1,AO$5-$K$144+1),0)-$I$144*((AO$5=Inputs!$C$12)*$C$146*$D$144+(AO$5=Inputs!$C$13)*$D$146*($D$144+Inputs!$C$14))+$I$144*((AO$5=Inputs!$C$15+$K$144)*$E$146*$I$146+(AO$5=Inputs!$C$16+$K$144)*$F$146*$J$146+(AO$5=Inputs!$C$17)*$G$146*$H$144*$H$146)</f>
        <v>0</v>
      </c>
      <c r="AP149" s="42" t="n">
        <f aca="false">-($D$144+$J$144)*(AP$5=0)+IF(AND(AP$5-$K$144&gt;=1,AP$5-$K$144&lt;=Inputs!$C$13),INDEX($N$147:$AL$147,1,AP$5-$K$144+1)*INDEX($N$148:$AL$148,1,AP$5-$K$144+1),0)-$I$144*((AP$5=Inputs!$C$12)*$C$146*$D$144+(AP$5=Inputs!$C$13)*$D$146*($D$144+Inputs!$C$14))+$I$144*((AP$5=Inputs!$C$15+$K$144)*$E$146*$I$146+(AP$5=Inputs!$C$16+$K$144)*$F$146*$J$146+(AP$5=Inputs!$C$17)*$G$146*$H$144*$H$146)</f>
        <v>631.26</v>
      </c>
      <c r="AQ149" s="42" t="n">
        <f aca="false">-($D$144+$J$144)*(AQ$5=0)+IF(AND(AQ$5-$K$144&gt;=1,AQ$5-$K$144&lt;=Inputs!$C$13),INDEX($N$147:$AL$147,1,AQ$5-$K$144+1)*INDEX($N$148:$AL$148,1,AQ$5-$K$144+1),0)-$I$144*((AQ$5=Inputs!$C$12)*$C$146*$D$144+(AQ$5=Inputs!$C$13)*$D$146*($D$144+Inputs!$C$14))+$I$144*((AQ$5=Inputs!$C$15+$K$144)*$E$146*$I$146+(AQ$5=Inputs!$C$16+$K$144)*$F$146*$J$146+(AQ$5=Inputs!$C$17)*$G$146*$H$144*$H$146)</f>
        <v>0</v>
      </c>
      <c r="AR149" s="42" t="n">
        <f aca="false">-($D$144+$J$144)*(AR$5=0)+IF(AND(AR$5-$K$144&gt;=1,AR$5-$K$144&lt;=Inputs!$C$13),INDEX($N$147:$AL$147,1,AR$5-$K$144+1)*INDEX($N$148:$AL$148,1,AR$5-$K$144+1),0)-$I$144*((AR$5=Inputs!$C$12)*$C$146*$D$144+(AR$5=Inputs!$C$13)*$D$146*($D$144+Inputs!$C$14))+$I$144*((AR$5=Inputs!$C$15+$K$144)*$E$146*$I$146+(AR$5=Inputs!$C$16+$K$144)*$F$146*$J$146+(AR$5=Inputs!$C$17)*$G$146*$H$144*$H$146)</f>
        <v>0</v>
      </c>
      <c r="AS149" s="42" t="n">
        <f aca="false">-($D$144+$J$144)*(AS$5=0)+IF(AND(AS$5-$K$144&gt;=1,AS$5-$K$144&lt;=Inputs!$C$13),INDEX($N$147:$AL$147,1,AS$5-$K$144+1)*INDEX($N$148:$AL$148,1,AS$5-$K$144+1),0)-$I$144*((AS$5=Inputs!$C$12)*$C$146*$D$144+(AS$5=Inputs!$C$13)*$D$146*($D$144+Inputs!$C$14))+$I$144*((AS$5=Inputs!$C$15+$K$144)*$E$146*$I$146+(AS$5=Inputs!$C$16+$K$144)*$F$146*$J$146+(AS$5=Inputs!$C$17)*$G$146*$H$144*$H$146)</f>
        <v>369.2808</v>
      </c>
      <c r="AT149" s="42" t="n">
        <f aca="false">-($D$144+$J$144)*(AT$5=0)+IF(AND(AT$5-$K$144&gt;=1,AT$5-$K$144&lt;=Inputs!$C$13),INDEX($N$147:$AL$147,1,AT$5-$K$144+1)*INDEX($N$148:$AL$148,1,AT$5-$K$144+1),0)-$I$144*((AT$5=Inputs!$C$12)*$C$146*$D$144+(AT$5=Inputs!$C$13)*$D$146*($D$144+Inputs!$C$14))+$I$144*((AT$5=Inputs!$C$15+$K$144)*$E$146*$I$146+(AT$5=Inputs!$C$16+$K$144)*$F$146*$J$146+(AT$5=Inputs!$C$17)*$G$146*$H$144*$H$146)</f>
        <v>0</v>
      </c>
      <c r="AU149" s="42" t="n">
        <f aca="false">-($D$144+$J$144)*(AU$5=0)+IF(AND(AU$5-$K$144&gt;=1,AU$5-$K$144&lt;=Inputs!$C$13),INDEX($N$147:$AL$147,1,AU$5-$K$144+1)*INDEX($N$148:$AL$148,1,AU$5-$K$144+1),0)-$I$144*((AU$5=Inputs!$C$12)*$C$146*$D$144+(AU$5=Inputs!$C$13)*$D$146*($D$144+Inputs!$C$14))+$I$144*((AU$5=Inputs!$C$15+$K$144)*$E$146*$I$146+(AU$5=Inputs!$C$16+$K$144)*$F$146*$J$146+(AU$5=Inputs!$C$17)*$G$146*$H$144*$H$146)</f>
        <v>0</v>
      </c>
      <c r="AV149" s="42" t="n">
        <f aca="false">-($D$144+$J$144)*(AV$5=0)+IF(AND(AV$5-$K$144&gt;=1,AV$5-$K$144&lt;=Inputs!$C$13),INDEX($N$147:$AL$147,1,AV$5-$K$144+1)*INDEX($N$148:$AL$148,1,AV$5-$K$144+1),0)-$I$144*((AV$5=Inputs!$C$12)*$C$146*$D$144+(AV$5=Inputs!$C$13)*$D$146*($D$144+Inputs!$C$14))+$I$144*((AV$5=Inputs!$C$15+$K$144)*$E$146*$I$146+(AV$5=Inputs!$C$16+$K$144)*$F$146*$J$146+(AV$5=Inputs!$C$17)*$G$146*$H$144*$H$146)</f>
        <v>0</v>
      </c>
      <c r="AW149" s="42" t="n">
        <f aca="false">-($D$144+$J$144)*(AW$5=0)+IF(AND(AW$5-$K$144&gt;=1,AW$5-$K$144&lt;=Inputs!$C$13),INDEX($N$147:$AL$147,1,AW$5-$K$144+1)*INDEX($N$148:$AL$148,1,AW$5-$K$144+1),0)-$I$144*((AW$5=Inputs!$C$12)*$C$146*$D$144+(AW$5=Inputs!$C$13)*$D$146*($D$144+Inputs!$C$14))+$I$144*((AW$5=Inputs!$C$15+$K$144)*$E$146*$I$146+(AW$5=Inputs!$C$16+$K$144)*$F$146*$J$146+(AW$5=Inputs!$C$17)*$G$146*$H$144*$H$146)</f>
        <v>0</v>
      </c>
      <c r="AX149" s="42" t="n">
        <f aca="false">-($D$144+$J$144)*(AX$5=0)+IF(AND(AX$5-$K$144&gt;=1,AX$5-$K$144&lt;=Inputs!$C$13),INDEX($N$147:$AL$147,1,AX$5-$K$144+1)*INDEX($N$148:$AL$148,1,AX$5-$K$144+1),0)-$I$144*((AX$5=Inputs!$C$12)*$C$146*$D$144+(AX$5=Inputs!$C$13)*$D$146*($D$144+Inputs!$C$14))+$I$144*((AX$5=Inputs!$C$15+$K$144)*$E$146*$I$146+(AX$5=Inputs!$C$16+$K$144)*$F$146*$J$146+(AX$5=Inputs!$C$17)*$G$146*$H$144*$H$146)</f>
        <v>47.628</v>
      </c>
      <c r="AY149" s="42" t="n">
        <f aca="false">-($D$144+$J$144)*(AY$5=0)+IF(AND(AY$5-$K$144&gt;=1,AY$5-$K$144&lt;=Inputs!$C$13),INDEX($N$147:$AL$147,1,AY$5-$K$144+1)*INDEX($N$148:$AL$148,1,AY$5-$K$144+1),0)-$I$144*((AY$5=Inputs!$C$12)*$C$146*$D$144+(AY$5=Inputs!$C$13)*$D$146*($D$144+Inputs!$C$14))+$I$144*((AY$5=Inputs!$C$15+$K$144)*$E$146*$I$146+(AY$5=Inputs!$C$16+$K$144)*$F$146*$J$146+(AY$5=Inputs!$C$17)*$G$146*$H$144*$H$146)</f>
        <v>0</v>
      </c>
    </row>
    <row r="151" customFormat="false" ht="15" hidden="false" customHeight="false" outlineLevel="0" collapsed="false">
      <c r="B151" s="7" t="s">
        <v>203</v>
      </c>
      <c r="C151" s="8"/>
      <c r="D151" s="8"/>
      <c r="E151" s="8"/>
      <c r="F151" s="8"/>
      <c r="G151" s="8"/>
      <c r="H151" s="8"/>
      <c r="I151" s="8"/>
      <c r="J151" s="8"/>
      <c r="K151" s="8"/>
      <c r="L151" s="8"/>
    </row>
    <row r="152" customFormat="false" ht="30" hidden="false" customHeight="true" outlineLevel="0" collapsed="false">
      <c r="B152" s="37"/>
      <c r="C152" s="38" t="s">
        <v>169</v>
      </c>
      <c r="D152" s="38" t="s">
        <v>170</v>
      </c>
      <c r="E152" s="38" t="s">
        <v>171</v>
      </c>
      <c r="F152" s="38" t="s">
        <v>43</v>
      </c>
      <c r="G152" s="38" t="s">
        <v>44</v>
      </c>
      <c r="H152" s="38" t="s">
        <v>45</v>
      </c>
      <c r="I152" s="38" t="s">
        <v>172</v>
      </c>
      <c r="J152" s="38" t="s">
        <v>90</v>
      </c>
      <c r="K152" s="38" t="s">
        <v>89</v>
      </c>
      <c r="L152" s="38" t="s">
        <v>173</v>
      </c>
    </row>
    <row r="153" customFormat="false" ht="15" hidden="false" customHeight="false" outlineLevel="0" collapsed="false">
      <c r="B153" s="39" t="s">
        <v>174</v>
      </c>
      <c r="C153" s="26" t="n">
        <f aca="false">Class_IRR!$C$5</f>
        <v>0.0025</v>
      </c>
      <c r="D153" s="30" t="n">
        <f aca="false">Inputs!$E$25</f>
        <v>9500</v>
      </c>
      <c r="E153" s="26" t="n">
        <f aca="false">Inputs!$F$25</f>
        <v>0.9</v>
      </c>
      <c r="F153" s="25" t="n">
        <f aca="false">Inputs!$G$25</f>
        <v>0.6</v>
      </c>
      <c r="G153" s="25" t="n">
        <f aca="false">Inputs!$H$25</f>
        <v>0.8</v>
      </c>
      <c r="H153" s="25" t="n">
        <f aca="false">Inputs!$I$25</f>
        <v>0.9</v>
      </c>
      <c r="I153" s="22" t="n">
        <f aca="false">Inputs!$J$25</f>
        <v>1</v>
      </c>
      <c r="J153" s="23" t="n">
        <f aca="false">Inputs!$C$9</f>
        <v>10</v>
      </c>
      <c r="K153" s="22" t="n">
        <f aca="false">Inputs!$C$10</f>
        <v>1</v>
      </c>
      <c r="L153" s="22" t="n">
        <f aca="false">1</f>
        <v>1</v>
      </c>
    </row>
    <row r="154" customFormat="false" ht="30" hidden="false" customHeight="true" outlineLevel="0" collapsed="false">
      <c r="B154" s="37"/>
      <c r="C154" s="38" t="s">
        <v>175</v>
      </c>
      <c r="D154" s="38" t="s">
        <v>176</v>
      </c>
      <c r="E154" s="38" t="s">
        <v>177</v>
      </c>
      <c r="F154" s="38" t="s">
        <v>178</v>
      </c>
      <c r="G154" s="38" t="s">
        <v>112</v>
      </c>
      <c r="H154" s="38" t="s">
        <v>179</v>
      </c>
      <c r="I154" s="38" t="s">
        <v>180</v>
      </c>
      <c r="J154" s="38" t="s">
        <v>181</v>
      </c>
      <c r="K154" s="38" t="s">
        <v>182</v>
      </c>
      <c r="L154" s="38" t="s">
        <v>183</v>
      </c>
    </row>
    <row r="155" customFormat="false" ht="15" hidden="false" customHeight="false" outlineLevel="0" collapsed="false">
      <c r="B155" s="39" t="s">
        <v>184</v>
      </c>
      <c r="C155" s="40" t="n">
        <f aca="false">1-$E$153*CHOOSE($L$153,INDEX(Timing!$C$7:$AA$7,1,Inputs!$C$12+1),INDEX(Timing!$C$8:$AA$8,1,Inputs!$C$12+1))</f>
        <v>0.316</v>
      </c>
      <c r="D155" s="40" t="n">
        <f aca="false">1-$E$153*CHOOSE($L$153,INDEX(Timing!$C$7:$AA$7,1,Inputs!$C$13+1),INDEX(Timing!$C$8:$AA$8,1,Inputs!$C$13+1))</f>
        <v>0.1</v>
      </c>
      <c r="E155" s="40" t="n">
        <f aca="false">$I$153*$D$155*$F$153</f>
        <v>0.06</v>
      </c>
      <c r="F155" s="40" t="n">
        <f aca="false">$I$153*($D$155-$E$155)*$G$153</f>
        <v>0.032</v>
      </c>
      <c r="G155" s="40" t="n">
        <f aca="false">$I$153*($D$155-$E$155-$F$155)</f>
        <v>0.008</v>
      </c>
      <c r="H155" s="23" t="n">
        <f aca="false">$I$153*(3*$D$153+Inputs!$C$14)</f>
        <v>30300</v>
      </c>
      <c r="I155" s="23" t="n">
        <f aca="false">$I$153*($D$153*(1+IF($C$153&lt;=0,0,MAX($C$153*Inputs!$C$15/12,Inputs!$C$8)))+$D$153*(1+Inputs!$C$11*(Inputs!$C$15-Inputs!$C$12)/12)+$D$153*(1+Inputs!$C$11*(Inputs!$C$15-Inputs!$C$13)/12)+Inputs!$C$14)</f>
        <v>33340</v>
      </c>
      <c r="J155" s="23" t="n">
        <f aca="false">$I$153*($D$153*(1+IF($C$153&lt;=0,0,MAX($C$153*Inputs!$C$16/12,Inputs!$C$8)))+$D$153*(1+Inputs!$C$11*(Inputs!$C$16-Inputs!$C$12)/12)+$D$153*(1+Inputs!$C$11*(Inputs!$C$16-Inputs!$C$13)/12)+Inputs!$C$14)</f>
        <v>34195</v>
      </c>
      <c r="K155" s="40" t="n">
        <f aca="false">IRR($N$158:$AY$158,0.005)</f>
        <v>0.00593711100638152</v>
      </c>
      <c r="L155" s="41" t="n">
        <f aca="false">(1+$K$155)^12-1</f>
        <v>0.0736184473167751</v>
      </c>
    </row>
    <row r="156" customFormat="false" ht="15" hidden="false" customHeight="false" outlineLevel="0" collapsed="false">
      <c r="B156" s="9" t="s">
        <v>185</v>
      </c>
      <c r="N156" s="40" t="n">
        <f aca="false">0</f>
        <v>0</v>
      </c>
      <c r="O156" s="40" t="n">
        <f aca="false">$E$153*(CHOOSE($L$153,Timing!D$7,Timing!D$8)-CHOOSE($L$153,Timing!C$7,Timing!C$8))</f>
        <v>0.108</v>
      </c>
      <c r="P156" s="40" t="n">
        <f aca="false">$E$153*(CHOOSE($L$153,Timing!E$7,Timing!E$8)-CHOOSE($L$153,Timing!D$7,Timing!D$8))</f>
        <v>0.09</v>
      </c>
      <c r="Q156" s="40" t="n">
        <f aca="false">$E$153*(CHOOSE($L$153,Timing!F$7,Timing!F$8)-CHOOSE($L$153,Timing!E$7,Timing!E$8))</f>
        <v>0.081</v>
      </c>
      <c r="R156" s="40" t="n">
        <f aca="false">$E$153*(CHOOSE($L$153,Timing!G$7,Timing!G$8)-CHOOSE($L$153,Timing!F$7,Timing!F$8))</f>
        <v>0.063</v>
      </c>
      <c r="S156" s="40" t="n">
        <f aca="false">$E$153*(CHOOSE($L$153,Timing!H$7,Timing!H$8)-CHOOSE($L$153,Timing!G$7,Timing!G$8))</f>
        <v>0.063</v>
      </c>
      <c r="T156" s="40" t="n">
        <f aca="false">$E$153*(CHOOSE($L$153,Timing!I$7,Timing!I$8)-CHOOSE($L$153,Timing!H$7,Timing!H$8))</f>
        <v>0.063</v>
      </c>
      <c r="U156" s="40" t="n">
        <f aca="false">$E$153*(CHOOSE($L$153,Timing!J$7,Timing!J$8)-CHOOSE($L$153,Timing!I$7,Timing!I$8))</f>
        <v>0.039</v>
      </c>
      <c r="V156" s="40" t="n">
        <f aca="false">$E$153*(CHOOSE($L$153,Timing!K$7,Timing!K$8)-CHOOSE($L$153,Timing!J$7,Timing!J$8))</f>
        <v>0.039</v>
      </c>
      <c r="W156" s="40" t="n">
        <f aca="false">$E$153*(CHOOSE($L$153,Timing!L$7,Timing!L$8)-CHOOSE($L$153,Timing!K$7,Timing!K$8))</f>
        <v>0.039</v>
      </c>
      <c r="X156" s="40" t="n">
        <f aca="false">$E$153*(CHOOSE($L$153,Timing!M$7,Timing!M$8)-CHOOSE($L$153,Timing!L$7,Timing!L$8))</f>
        <v>0.033</v>
      </c>
      <c r="Y156" s="40" t="n">
        <f aca="false">$E$153*(CHOOSE($L$153,Timing!N$7,Timing!N$8)-CHOOSE($L$153,Timing!M$7,Timing!M$8))</f>
        <v>0.0330000000000001</v>
      </c>
      <c r="Z156" s="40" t="n">
        <f aca="false">$E$153*(CHOOSE($L$153,Timing!O$7,Timing!O$8)-CHOOSE($L$153,Timing!N$7,Timing!N$8))</f>
        <v>0.033</v>
      </c>
      <c r="AA156" s="40" t="n">
        <f aca="false">$E$153*(CHOOSE($L$153,Timing!P$7,Timing!P$8)-CHOOSE($L$153,Timing!O$7,Timing!O$8))</f>
        <v>0.021</v>
      </c>
      <c r="AB156" s="40" t="n">
        <f aca="false">$E$153*(CHOOSE($L$153,Timing!Q$7,Timing!Q$8)-CHOOSE($L$153,Timing!P$7,Timing!P$8))</f>
        <v>0.021</v>
      </c>
      <c r="AC156" s="40" t="n">
        <f aca="false">$E$153*(CHOOSE($L$153,Timing!R$7,Timing!R$8)-CHOOSE($L$153,Timing!Q$7,Timing!Q$8))</f>
        <v>0.0210000000000001</v>
      </c>
      <c r="AD156" s="40" t="n">
        <f aca="false">$E$153*(CHOOSE($L$153,Timing!S$7,Timing!S$8)-CHOOSE($L$153,Timing!R$7,Timing!R$8))</f>
        <v>0.021</v>
      </c>
      <c r="AE156" s="40" t="n">
        <f aca="false">$E$153*(CHOOSE($L$153,Timing!T$7,Timing!T$8)-CHOOSE($L$153,Timing!S$7,Timing!S$8))</f>
        <v>0.021</v>
      </c>
      <c r="AF156" s="40" t="n">
        <f aca="false">$E$153*(CHOOSE($L$153,Timing!U$7,Timing!U$8)-CHOOSE($L$153,Timing!T$7,Timing!T$8))</f>
        <v>0.021</v>
      </c>
      <c r="AG156" s="40" t="n">
        <f aca="false">$E$153*(CHOOSE($L$153,Timing!V$7,Timing!V$8)-CHOOSE($L$153,Timing!U$7,Timing!U$8))</f>
        <v>0.015</v>
      </c>
      <c r="AH156" s="40" t="n">
        <f aca="false">$E$153*(CHOOSE($L$153,Timing!W$7,Timing!W$8)-CHOOSE($L$153,Timing!V$7,Timing!V$8))</f>
        <v>0.0149999999999999</v>
      </c>
      <c r="AI156" s="40" t="n">
        <f aca="false">$E$153*(CHOOSE($L$153,Timing!X$7,Timing!X$8)-CHOOSE($L$153,Timing!W$7,Timing!W$8))</f>
        <v>0.0149999999999999</v>
      </c>
      <c r="AJ156" s="40" t="n">
        <f aca="false">$E$153*(CHOOSE($L$153,Timing!Y$7,Timing!Y$8)-CHOOSE($L$153,Timing!X$7,Timing!X$8))</f>
        <v>0.015</v>
      </c>
      <c r="AK156" s="40" t="n">
        <f aca="false">$E$153*(CHOOSE($L$153,Timing!Z$7,Timing!Z$8)-CHOOSE($L$153,Timing!Y$7,Timing!Y$8))</f>
        <v>0.015</v>
      </c>
      <c r="AL156" s="40" t="n">
        <f aca="false">$E$153*(CHOOSE($L$153,Timing!AA$7,Timing!AA$8)-CHOOSE($L$153,Timing!Z$7,Timing!Z$8))</f>
        <v>0.0149999999999999</v>
      </c>
    </row>
    <row r="157" customFormat="false" ht="15" hidden="false" customHeight="false" outlineLevel="0" collapsed="false">
      <c r="B157" s="9" t="s">
        <v>186</v>
      </c>
      <c r="N157" s="42" t="n">
        <f aca="false">0</f>
        <v>0</v>
      </c>
      <c r="O157" s="42" t="n">
        <f aca="false">$D$153*(1+IF($C$153&lt;=0,0,MAX($C$153*O$5/12,Inputs!$C$8)))+$I$153*(O$5&gt;Inputs!$C$12)*$D$153*(1+Inputs!$C$11*(O$5-Inputs!$C$12)/12)</f>
        <v>9975</v>
      </c>
      <c r="P157" s="42" t="n">
        <f aca="false">$D$153*(1+IF($C$153&lt;=0,0,MAX($C$153*P$5/12,Inputs!$C$8)))+$I$153*(P$5&gt;Inputs!$C$12)*$D$153*(1+Inputs!$C$11*(P$5-Inputs!$C$12)/12)</f>
        <v>9975</v>
      </c>
      <c r="Q157" s="42" t="n">
        <f aca="false">$D$153*(1+IF($C$153&lt;=0,0,MAX($C$153*Q$5/12,Inputs!$C$8)))+$I$153*(Q$5&gt;Inputs!$C$12)*$D$153*(1+Inputs!$C$11*(Q$5-Inputs!$C$12)/12)</f>
        <v>9975</v>
      </c>
      <c r="R157" s="42" t="n">
        <f aca="false">$D$153*(1+IF($C$153&lt;=0,0,MAX($C$153*R$5/12,Inputs!$C$8)))+$I$153*(R$5&gt;Inputs!$C$12)*$D$153*(1+Inputs!$C$11*(R$5-Inputs!$C$12)/12)</f>
        <v>9975</v>
      </c>
      <c r="S157" s="42" t="n">
        <f aca="false">$D$153*(1+IF($C$153&lt;=0,0,MAX($C$153*S$5/12,Inputs!$C$8)))+$I$153*(S$5&gt;Inputs!$C$12)*$D$153*(1+Inputs!$C$11*(S$5-Inputs!$C$12)/12)</f>
        <v>9975</v>
      </c>
      <c r="T157" s="42" t="n">
        <f aca="false">$D$153*(1+IF($C$153&lt;=0,0,MAX($C$153*T$5/12,Inputs!$C$8)))+$I$153*(T$5&gt;Inputs!$C$12)*$D$153*(1+Inputs!$C$11*(T$5-Inputs!$C$12)/12)</f>
        <v>9975</v>
      </c>
      <c r="U157" s="42" t="n">
        <f aca="false">$D$153*(1+IF($C$153&lt;=0,0,MAX($C$153*U$5/12,Inputs!$C$8)))+$I$153*(U$5&gt;Inputs!$C$12)*$D$153*(1+Inputs!$C$11*(U$5-Inputs!$C$12)/12)</f>
        <v>9975</v>
      </c>
      <c r="V157" s="42" t="n">
        <f aca="false">$D$153*(1+IF($C$153&lt;=0,0,MAX($C$153*V$5/12,Inputs!$C$8)))+$I$153*(V$5&gt;Inputs!$C$12)*$D$153*(1+Inputs!$C$11*(V$5-Inputs!$C$12)/12)</f>
        <v>9975</v>
      </c>
      <c r="W157" s="42" t="n">
        <f aca="false">$D$153*(1+IF($C$153&lt;=0,0,MAX($C$153*W$5/12,Inputs!$C$8)))+$I$153*(W$5&gt;Inputs!$C$12)*$D$153*(1+Inputs!$C$11*(W$5-Inputs!$C$12)/12)</f>
        <v>9975</v>
      </c>
      <c r="X157" s="42" t="n">
        <f aca="false">$D$153*(1+IF($C$153&lt;=0,0,MAX($C$153*X$5/12,Inputs!$C$8)))+$I$153*(X$5&gt;Inputs!$C$12)*$D$153*(1+Inputs!$C$11*(X$5-Inputs!$C$12)/12)</f>
        <v>9975</v>
      </c>
      <c r="Y157" s="42" t="n">
        <f aca="false">$D$153*(1+IF($C$153&lt;=0,0,MAX($C$153*Y$5/12,Inputs!$C$8)))+$I$153*(Y$5&gt;Inputs!$C$12)*$D$153*(1+Inputs!$C$11*(Y$5-Inputs!$C$12)/12)</f>
        <v>9975</v>
      </c>
      <c r="Z157" s="42" t="n">
        <f aca="false">$D$153*(1+IF($C$153&lt;=0,0,MAX($C$153*Z$5/12,Inputs!$C$8)))+$I$153*(Z$5&gt;Inputs!$C$12)*$D$153*(1+Inputs!$C$11*(Z$5-Inputs!$C$12)/12)</f>
        <v>9975</v>
      </c>
      <c r="AA157" s="42" t="n">
        <f aca="false">$D$153*(1+IF($C$153&lt;=0,0,MAX($C$153*AA$5/12,Inputs!$C$8)))+$I$153*(AA$5&gt;Inputs!$C$12)*$D$153*(1+Inputs!$C$11*(AA$5-Inputs!$C$12)/12)</f>
        <v>19617.5</v>
      </c>
      <c r="AB157" s="42" t="n">
        <f aca="false">$D$153*(1+IF($C$153&lt;=0,0,MAX($C$153*AB$5/12,Inputs!$C$8)))+$I$153*(AB$5&gt;Inputs!$C$12)*$D$153*(1+Inputs!$C$11*(AB$5-Inputs!$C$12)/12)</f>
        <v>19760</v>
      </c>
      <c r="AC157" s="42" t="n">
        <f aca="false">$D$153*(1+IF($C$153&lt;=0,0,MAX($C$153*AC$5/12,Inputs!$C$8)))+$I$153*(AC$5&gt;Inputs!$C$12)*$D$153*(1+Inputs!$C$11*(AC$5-Inputs!$C$12)/12)</f>
        <v>19902.5</v>
      </c>
      <c r="AD157" s="42" t="n">
        <f aca="false">$D$153*(1+IF($C$153&lt;=0,0,MAX($C$153*AD$5/12,Inputs!$C$8)))+$I$153*(AD$5&gt;Inputs!$C$12)*$D$153*(1+Inputs!$C$11*(AD$5-Inputs!$C$12)/12)</f>
        <v>20045</v>
      </c>
      <c r="AE157" s="42" t="n">
        <f aca="false">$D$153*(1+IF($C$153&lt;=0,0,MAX($C$153*AE$5/12,Inputs!$C$8)))+$I$153*(AE$5&gt;Inputs!$C$12)*$D$153*(1+Inputs!$C$11*(AE$5-Inputs!$C$12)/12)</f>
        <v>20187.5</v>
      </c>
      <c r="AF157" s="42" t="n">
        <f aca="false">$D$153*(1+IF($C$153&lt;=0,0,MAX($C$153*AF$5/12,Inputs!$C$8)))+$I$153*(AF$5&gt;Inputs!$C$12)*$D$153*(1+Inputs!$C$11*(AF$5-Inputs!$C$12)/12)</f>
        <v>20330</v>
      </c>
      <c r="AG157" s="42" t="n">
        <f aca="false">$D$153*(1+IF($C$153&lt;=0,0,MAX($C$153*AG$5/12,Inputs!$C$8)))+$I$153*(AG$5&gt;Inputs!$C$12)*$D$153*(1+Inputs!$C$11*(AG$5-Inputs!$C$12)/12)</f>
        <v>20472.5</v>
      </c>
      <c r="AH157" s="42" t="n">
        <f aca="false">$D$153*(1+IF($C$153&lt;=0,0,MAX($C$153*AH$5/12,Inputs!$C$8)))+$I$153*(AH$5&gt;Inputs!$C$12)*$D$153*(1+Inputs!$C$11*(AH$5-Inputs!$C$12)/12)</f>
        <v>20615</v>
      </c>
      <c r="AI157" s="42" t="n">
        <f aca="false">$D$153*(1+IF($C$153&lt;=0,0,MAX($C$153*AI$5/12,Inputs!$C$8)))+$I$153*(AI$5&gt;Inputs!$C$12)*$D$153*(1+Inputs!$C$11*(AI$5-Inputs!$C$12)/12)</f>
        <v>20757.5</v>
      </c>
      <c r="AJ157" s="42" t="n">
        <f aca="false">$D$153*(1+IF($C$153&lt;=0,0,MAX($C$153*AJ$5/12,Inputs!$C$8)))+$I$153*(AJ$5&gt;Inputs!$C$12)*$D$153*(1+Inputs!$C$11*(AJ$5-Inputs!$C$12)/12)</f>
        <v>20900</v>
      </c>
      <c r="AK157" s="42" t="n">
        <f aca="false">$D$153*(1+IF($C$153&lt;=0,0,MAX($C$153*AK$5/12,Inputs!$C$8)))+$I$153*(AK$5&gt;Inputs!$C$12)*$D$153*(1+Inputs!$C$11*(AK$5-Inputs!$C$12)/12)</f>
        <v>21042.5</v>
      </c>
      <c r="AL157" s="42" t="n">
        <f aca="false">$D$153*(1+IF($C$153&lt;=0,0,MAX($C$153*AL$5/12,Inputs!$C$8)))+$I$153*(AL$5&gt;Inputs!$C$12)*$D$153*(1+Inputs!$C$11*(AL$5-Inputs!$C$12)/12)</f>
        <v>21185</v>
      </c>
    </row>
    <row r="158" customFormat="false" ht="15" hidden="false" customHeight="false" outlineLevel="0" collapsed="false">
      <c r="B158" s="31" t="s">
        <v>187</v>
      </c>
      <c r="N158" s="42" t="n">
        <f aca="false">-($D$153+$J$153)*(N$5=0)+IF(AND(N$5-$K$153&gt;=1,N$5-$K$153&lt;=Inputs!$C$13),INDEX($N$156:$AL$156,1,N$5-$K$153+1)*INDEX($N$157:$AL$157,1,N$5-$K$153+1),0)-$I$153*((N$5=Inputs!$C$12)*$C$155*$D$153+(N$5=Inputs!$C$13)*$D$155*($D$153+Inputs!$C$14))+$I$153*((N$5=Inputs!$C$15+$K$153)*$E$155*$I$155+(N$5=Inputs!$C$16+$K$153)*$F$155*$J$155+(N$5=Inputs!$C$17)*$G$155*$H$153*$H$155)</f>
        <v>-9510</v>
      </c>
      <c r="O158" s="42" t="n">
        <f aca="false">-($D$153+$J$153)*(O$5=0)+IF(AND(O$5-$K$153&gt;=1,O$5-$K$153&lt;=Inputs!$C$13),INDEX($N$156:$AL$156,1,O$5-$K$153+1)*INDEX($N$157:$AL$157,1,O$5-$K$153+1),0)-$I$153*((O$5=Inputs!$C$12)*$C$155*$D$153+(O$5=Inputs!$C$13)*$D$155*($D$153+Inputs!$C$14))+$I$153*((O$5=Inputs!$C$15+$K$153)*$E$155*$I$155+(O$5=Inputs!$C$16+$K$153)*$F$155*$J$155+(O$5=Inputs!$C$17)*$G$155*$H$153*$H$155)</f>
        <v>0</v>
      </c>
      <c r="P158" s="42" t="n">
        <f aca="false">-($D$153+$J$153)*(P$5=0)+IF(AND(P$5-$K$153&gt;=1,P$5-$K$153&lt;=Inputs!$C$13),INDEX($N$156:$AL$156,1,P$5-$K$153+1)*INDEX($N$157:$AL$157,1,P$5-$K$153+1),0)-$I$153*((P$5=Inputs!$C$12)*$C$155*$D$153+(P$5=Inputs!$C$13)*$D$155*($D$153+Inputs!$C$14))+$I$153*((P$5=Inputs!$C$15+$K$153)*$E$155*$I$155+(P$5=Inputs!$C$16+$K$153)*$F$155*$J$155+(P$5=Inputs!$C$17)*$G$155*$H$153*$H$155)</f>
        <v>1077.3</v>
      </c>
      <c r="Q158" s="42" t="n">
        <f aca="false">-($D$153+$J$153)*(Q$5=0)+IF(AND(Q$5-$K$153&gt;=1,Q$5-$K$153&lt;=Inputs!$C$13),INDEX($N$156:$AL$156,1,Q$5-$K$153+1)*INDEX($N$157:$AL$157,1,Q$5-$K$153+1),0)-$I$153*((Q$5=Inputs!$C$12)*$C$155*$D$153+(Q$5=Inputs!$C$13)*$D$155*($D$153+Inputs!$C$14))+$I$153*((Q$5=Inputs!$C$15+$K$153)*$E$155*$I$155+(Q$5=Inputs!$C$16+$K$153)*$F$155*$J$155+(Q$5=Inputs!$C$17)*$G$155*$H$153*$H$155)</f>
        <v>897.75</v>
      </c>
      <c r="R158" s="42" t="n">
        <f aca="false">-($D$153+$J$153)*(R$5=0)+IF(AND(R$5-$K$153&gt;=1,R$5-$K$153&lt;=Inputs!$C$13),INDEX($N$156:$AL$156,1,R$5-$K$153+1)*INDEX($N$157:$AL$157,1,R$5-$K$153+1),0)-$I$153*((R$5=Inputs!$C$12)*$C$155*$D$153+(R$5=Inputs!$C$13)*$D$155*($D$153+Inputs!$C$14))+$I$153*((R$5=Inputs!$C$15+$K$153)*$E$155*$I$155+(R$5=Inputs!$C$16+$K$153)*$F$155*$J$155+(R$5=Inputs!$C$17)*$G$155*$H$153*$H$155)</f>
        <v>807.975</v>
      </c>
      <c r="S158" s="42" t="n">
        <f aca="false">-($D$153+$J$153)*(S$5=0)+IF(AND(S$5-$K$153&gt;=1,S$5-$K$153&lt;=Inputs!$C$13),INDEX($N$156:$AL$156,1,S$5-$K$153+1)*INDEX($N$157:$AL$157,1,S$5-$K$153+1),0)-$I$153*((S$5=Inputs!$C$12)*$C$155*$D$153+(S$5=Inputs!$C$13)*$D$155*($D$153+Inputs!$C$14))+$I$153*((S$5=Inputs!$C$15+$K$153)*$E$155*$I$155+(S$5=Inputs!$C$16+$K$153)*$F$155*$J$155+(S$5=Inputs!$C$17)*$G$155*$H$153*$H$155)</f>
        <v>628.425</v>
      </c>
      <c r="T158" s="42" t="n">
        <f aca="false">-($D$153+$J$153)*(T$5=0)+IF(AND(T$5-$K$153&gt;=1,T$5-$K$153&lt;=Inputs!$C$13),INDEX($N$156:$AL$156,1,T$5-$K$153+1)*INDEX($N$157:$AL$157,1,T$5-$K$153+1),0)-$I$153*((T$5=Inputs!$C$12)*$C$155*$D$153+(T$5=Inputs!$C$13)*$D$155*($D$153+Inputs!$C$14))+$I$153*((T$5=Inputs!$C$15+$K$153)*$E$155*$I$155+(T$5=Inputs!$C$16+$K$153)*$F$155*$J$155+(T$5=Inputs!$C$17)*$G$155*$H$153*$H$155)</f>
        <v>628.425</v>
      </c>
      <c r="U158" s="42" t="n">
        <f aca="false">-($D$153+$J$153)*(U$5=0)+IF(AND(U$5-$K$153&gt;=1,U$5-$K$153&lt;=Inputs!$C$13),INDEX($N$156:$AL$156,1,U$5-$K$153+1)*INDEX($N$157:$AL$157,1,U$5-$K$153+1),0)-$I$153*((U$5=Inputs!$C$12)*$C$155*$D$153+(U$5=Inputs!$C$13)*$D$155*($D$153+Inputs!$C$14))+$I$153*((U$5=Inputs!$C$15+$K$153)*$E$155*$I$155+(U$5=Inputs!$C$16+$K$153)*$F$155*$J$155+(U$5=Inputs!$C$17)*$G$155*$H$153*$H$155)</f>
        <v>628.425</v>
      </c>
      <c r="V158" s="42" t="n">
        <f aca="false">-($D$153+$J$153)*(V$5=0)+IF(AND(V$5-$K$153&gt;=1,V$5-$K$153&lt;=Inputs!$C$13),INDEX($N$156:$AL$156,1,V$5-$K$153+1)*INDEX($N$157:$AL$157,1,V$5-$K$153+1),0)-$I$153*((V$5=Inputs!$C$12)*$C$155*$D$153+(V$5=Inputs!$C$13)*$D$155*($D$153+Inputs!$C$14))+$I$153*((V$5=Inputs!$C$15+$K$153)*$E$155*$I$155+(V$5=Inputs!$C$16+$K$153)*$F$155*$J$155+(V$5=Inputs!$C$17)*$G$155*$H$153*$H$155)</f>
        <v>389.025</v>
      </c>
      <c r="W158" s="42" t="n">
        <f aca="false">-($D$153+$J$153)*(W$5=0)+IF(AND(W$5-$K$153&gt;=1,W$5-$K$153&lt;=Inputs!$C$13),INDEX($N$156:$AL$156,1,W$5-$K$153+1)*INDEX($N$157:$AL$157,1,W$5-$K$153+1),0)-$I$153*((W$5=Inputs!$C$12)*$C$155*$D$153+(W$5=Inputs!$C$13)*$D$155*($D$153+Inputs!$C$14))+$I$153*((W$5=Inputs!$C$15+$K$153)*$E$155*$I$155+(W$5=Inputs!$C$16+$K$153)*$F$155*$J$155+(W$5=Inputs!$C$17)*$G$155*$H$153*$H$155)</f>
        <v>389.025</v>
      </c>
      <c r="X158" s="42" t="n">
        <f aca="false">-($D$153+$J$153)*(X$5=0)+IF(AND(X$5-$K$153&gt;=1,X$5-$K$153&lt;=Inputs!$C$13),INDEX($N$156:$AL$156,1,X$5-$K$153+1)*INDEX($N$157:$AL$157,1,X$5-$K$153+1),0)-$I$153*((X$5=Inputs!$C$12)*$C$155*$D$153+(X$5=Inputs!$C$13)*$D$155*($D$153+Inputs!$C$14))+$I$153*((X$5=Inputs!$C$15+$K$153)*$E$155*$I$155+(X$5=Inputs!$C$16+$K$153)*$F$155*$J$155+(X$5=Inputs!$C$17)*$G$155*$H$153*$H$155)</f>
        <v>389.025</v>
      </c>
      <c r="Y158" s="42" t="n">
        <f aca="false">-($D$153+$J$153)*(Y$5=0)+IF(AND(Y$5-$K$153&gt;=1,Y$5-$K$153&lt;=Inputs!$C$13),INDEX($N$156:$AL$156,1,Y$5-$K$153+1)*INDEX($N$157:$AL$157,1,Y$5-$K$153+1),0)-$I$153*((Y$5=Inputs!$C$12)*$C$155*$D$153+(Y$5=Inputs!$C$13)*$D$155*($D$153+Inputs!$C$14))+$I$153*((Y$5=Inputs!$C$15+$K$153)*$E$155*$I$155+(Y$5=Inputs!$C$16+$K$153)*$F$155*$J$155+(Y$5=Inputs!$C$17)*$G$155*$H$153*$H$155)</f>
        <v>329.175</v>
      </c>
      <c r="Z158" s="42" t="n">
        <f aca="false">-($D$153+$J$153)*(Z$5=0)+IF(AND(Z$5-$K$153&gt;=1,Z$5-$K$153&lt;=Inputs!$C$13),INDEX($N$156:$AL$156,1,Z$5-$K$153+1)*INDEX($N$157:$AL$157,1,Z$5-$K$153+1),0)-$I$153*((Z$5=Inputs!$C$12)*$C$155*$D$153+(Z$5=Inputs!$C$13)*$D$155*($D$153+Inputs!$C$14))+$I$153*((Z$5=Inputs!$C$15+$K$153)*$E$155*$I$155+(Z$5=Inputs!$C$16+$K$153)*$F$155*$J$155+(Z$5=Inputs!$C$17)*$G$155*$H$153*$H$155)</f>
        <v>-2672.825</v>
      </c>
      <c r="AA158" s="42" t="n">
        <f aca="false">-($D$153+$J$153)*(AA$5=0)+IF(AND(AA$5-$K$153&gt;=1,AA$5-$K$153&lt;=Inputs!$C$13),INDEX($N$156:$AL$156,1,AA$5-$K$153+1)*INDEX($N$157:$AL$157,1,AA$5-$K$153+1),0)-$I$153*((AA$5=Inputs!$C$12)*$C$155*$D$153+(AA$5=Inputs!$C$13)*$D$155*($D$153+Inputs!$C$14))+$I$153*((AA$5=Inputs!$C$15+$K$153)*$E$155*$I$155+(AA$5=Inputs!$C$16+$K$153)*$F$155*$J$155+(AA$5=Inputs!$C$17)*$G$155*$H$153*$H$155)</f>
        <v>329.175</v>
      </c>
      <c r="AB158" s="42" t="n">
        <f aca="false">-($D$153+$J$153)*(AB$5=0)+IF(AND(AB$5-$K$153&gt;=1,AB$5-$K$153&lt;=Inputs!$C$13),INDEX($N$156:$AL$156,1,AB$5-$K$153+1)*INDEX($N$157:$AL$157,1,AB$5-$K$153+1),0)-$I$153*((AB$5=Inputs!$C$12)*$C$155*$D$153+(AB$5=Inputs!$C$13)*$D$155*($D$153+Inputs!$C$14))+$I$153*((AB$5=Inputs!$C$15+$K$153)*$E$155*$I$155+(AB$5=Inputs!$C$16+$K$153)*$F$155*$J$155+(AB$5=Inputs!$C$17)*$G$155*$H$153*$H$155)</f>
        <v>411.9675</v>
      </c>
      <c r="AC158" s="42" t="n">
        <f aca="false">-($D$153+$J$153)*(AC$5=0)+IF(AND(AC$5-$K$153&gt;=1,AC$5-$K$153&lt;=Inputs!$C$13),INDEX($N$156:$AL$156,1,AC$5-$K$153+1)*INDEX($N$157:$AL$157,1,AC$5-$K$153+1),0)-$I$153*((AC$5=Inputs!$C$12)*$C$155*$D$153+(AC$5=Inputs!$C$13)*$D$155*($D$153+Inputs!$C$14))+$I$153*((AC$5=Inputs!$C$15+$K$153)*$E$155*$I$155+(AC$5=Inputs!$C$16+$K$153)*$F$155*$J$155+(AC$5=Inputs!$C$17)*$G$155*$H$153*$H$155)</f>
        <v>414.96</v>
      </c>
      <c r="AD158" s="42" t="n">
        <f aca="false">-($D$153+$J$153)*(AD$5=0)+IF(AND(AD$5-$K$153&gt;=1,AD$5-$K$153&lt;=Inputs!$C$13),INDEX($N$156:$AL$156,1,AD$5-$K$153+1)*INDEX($N$157:$AL$157,1,AD$5-$K$153+1),0)-$I$153*((AD$5=Inputs!$C$12)*$C$155*$D$153+(AD$5=Inputs!$C$13)*$D$155*($D$153+Inputs!$C$14))+$I$153*((AD$5=Inputs!$C$15+$K$153)*$E$155*$I$155+(AD$5=Inputs!$C$16+$K$153)*$F$155*$J$155+(AD$5=Inputs!$C$17)*$G$155*$H$153*$H$155)</f>
        <v>417.952500000002</v>
      </c>
      <c r="AE158" s="42" t="n">
        <f aca="false">-($D$153+$J$153)*(AE$5=0)+IF(AND(AE$5-$K$153&gt;=1,AE$5-$K$153&lt;=Inputs!$C$13),INDEX($N$156:$AL$156,1,AE$5-$K$153+1)*INDEX($N$157:$AL$157,1,AE$5-$K$153+1),0)-$I$153*((AE$5=Inputs!$C$12)*$C$155*$D$153+(AE$5=Inputs!$C$13)*$D$155*($D$153+Inputs!$C$14))+$I$153*((AE$5=Inputs!$C$15+$K$153)*$E$155*$I$155+(AE$5=Inputs!$C$16+$K$153)*$F$155*$J$155+(AE$5=Inputs!$C$17)*$G$155*$H$153*$H$155)</f>
        <v>420.945</v>
      </c>
      <c r="AF158" s="42" t="n">
        <f aca="false">-($D$153+$J$153)*(AF$5=0)+IF(AND(AF$5-$K$153&gt;=1,AF$5-$K$153&lt;=Inputs!$C$13),INDEX($N$156:$AL$156,1,AF$5-$K$153+1)*INDEX($N$157:$AL$157,1,AF$5-$K$153+1),0)-$I$153*((AF$5=Inputs!$C$12)*$C$155*$D$153+(AF$5=Inputs!$C$13)*$D$155*($D$153+Inputs!$C$14))+$I$153*((AF$5=Inputs!$C$15+$K$153)*$E$155*$I$155+(AF$5=Inputs!$C$16+$K$153)*$F$155*$J$155+(AF$5=Inputs!$C$17)*$G$155*$H$153*$H$155)</f>
        <v>423.9375</v>
      </c>
      <c r="AG158" s="42" t="n">
        <f aca="false">-($D$153+$J$153)*(AG$5=0)+IF(AND(AG$5-$K$153&gt;=1,AG$5-$K$153&lt;=Inputs!$C$13),INDEX($N$156:$AL$156,1,AG$5-$K$153+1)*INDEX($N$157:$AL$157,1,AG$5-$K$153+1),0)-$I$153*((AG$5=Inputs!$C$12)*$C$155*$D$153+(AG$5=Inputs!$C$13)*$D$155*($D$153+Inputs!$C$14))+$I$153*((AG$5=Inputs!$C$15+$K$153)*$E$155*$I$155+(AG$5=Inputs!$C$16+$K$153)*$F$155*$J$155+(AG$5=Inputs!$C$17)*$G$155*$H$153*$H$155)</f>
        <v>426.93</v>
      </c>
      <c r="AH158" s="42" t="n">
        <f aca="false">-($D$153+$J$153)*(AH$5=0)+IF(AND(AH$5-$K$153&gt;=1,AH$5-$K$153&lt;=Inputs!$C$13),INDEX($N$156:$AL$156,1,AH$5-$K$153+1)*INDEX($N$157:$AL$157,1,AH$5-$K$153+1),0)-$I$153*((AH$5=Inputs!$C$12)*$C$155*$D$153+(AH$5=Inputs!$C$13)*$D$155*($D$153+Inputs!$C$14))+$I$153*((AH$5=Inputs!$C$15+$K$153)*$E$155*$I$155+(AH$5=Inputs!$C$16+$K$153)*$F$155*$J$155+(AH$5=Inputs!$C$17)*$G$155*$H$153*$H$155)</f>
        <v>307.087500000001</v>
      </c>
      <c r="AI158" s="42" t="n">
        <f aca="false">-($D$153+$J$153)*(AI$5=0)+IF(AND(AI$5-$K$153&gt;=1,AI$5-$K$153&lt;=Inputs!$C$13),INDEX($N$156:$AL$156,1,AI$5-$K$153+1)*INDEX($N$157:$AL$157,1,AI$5-$K$153+1),0)-$I$153*((AI$5=Inputs!$C$12)*$C$155*$D$153+(AI$5=Inputs!$C$13)*$D$155*($D$153+Inputs!$C$14))+$I$153*((AI$5=Inputs!$C$15+$K$153)*$E$155*$I$155+(AI$5=Inputs!$C$16+$K$153)*$F$155*$J$155+(AI$5=Inputs!$C$17)*$G$155*$H$153*$H$155)</f>
        <v>309.224999999999</v>
      </c>
      <c r="AJ158" s="42" t="n">
        <f aca="false">-($D$153+$J$153)*(AJ$5=0)+IF(AND(AJ$5-$K$153&gt;=1,AJ$5-$K$153&lt;=Inputs!$C$13),INDEX($N$156:$AL$156,1,AJ$5-$K$153+1)*INDEX($N$157:$AL$157,1,AJ$5-$K$153+1),0)-$I$153*((AJ$5=Inputs!$C$12)*$C$155*$D$153+(AJ$5=Inputs!$C$13)*$D$155*($D$153+Inputs!$C$14))+$I$153*((AJ$5=Inputs!$C$15+$K$153)*$E$155*$I$155+(AJ$5=Inputs!$C$16+$K$153)*$F$155*$J$155+(AJ$5=Inputs!$C$17)*$G$155*$H$153*$H$155)</f>
        <v>311.362499999999</v>
      </c>
      <c r="AK158" s="42" t="n">
        <f aca="false">-($D$153+$J$153)*(AK$5=0)+IF(AND(AK$5-$K$153&gt;=1,AK$5-$K$153&lt;=Inputs!$C$13),INDEX($N$156:$AL$156,1,AK$5-$K$153+1)*INDEX($N$157:$AL$157,1,AK$5-$K$153+1),0)-$I$153*((AK$5=Inputs!$C$12)*$C$155*$D$153+(AK$5=Inputs!$C$13)*$D$155*($D$153+Inputs!$C$14))+$I$153*((AK$5=Inputs!$C$15+$K$153)*$E$155*$I$155+(AK$5=Inputs!$C$16+$K$153)*$F$155*$J$155+(AK$5=Inputs!$C$17)*$G$155*$H$153*$H$155)</f>
        <v>313.500000000001</v>
      </c>
      <c r="AL158" s="42" t="n">
        <f aca="false">-($D$153+$J$153)*(AL$5=0)+IF(AND(AL$5-$K$153&gt;=1,AL$5-$K$153&lt;=Inputs!$C$13),INDEX($N$156:$AL$156,1,AL$5-$K$153+1)*INDEX($N$157:$AL$157,1,AL$5-$K$153+1),0)-$I$153*((AL$5=Inputs!$C$12)*$C$155*$D$153+(AL$5=Inputs!$C$13)*$D$155*($D$153+Inputs!$C$14))+$I$153*((AL$5=Inputs!$C$15+$K$153)*$E$155*$I$155+(AL$5=Inputs!$C$16+$K$153)*$F$155*$J$155+(AL$5=Inputs!$C$17)*$G$155*$H$153*$H$155)</f>
        <v>-814.362499999999</v>
      </c>
      <c r="AM158" s="42" t="n">
        <f aca="false">-($D$153+$J$153)*(AM$5=0)+IF(AND(AM$5-$K$153&gt;=1,AM$5-$K$153&lt;=Inputs!$C$13),INDEX($N$156:$AL$156,1,AM$5-$K$153+1)*INDEX($N$157:$AL$157,1,AM$5-$K$153+1),0)-$I$153*((AM$5=Inputs!$C$12)*$C$155*$D$153+(AM$5=Inputs!$C$13)*$D$155*($D$153+Inputs!$C$14))+$I$153*((AM$5=Inputs!$C$15+$K$153)*$E$155*$I$155+(AM$5=Inputs!$C$16+$K$153)*$F$155*$J$155+(AM$5=Inputs!$C$17)*$G$155*$H$153*$H$155)</f>
        <v>317.774999999999</v>
      </c>
      <c r="AN158" s="42" t="n">
        <f aca="false">-($D$153+$J$153)*(AN$5=0)+IF(AND(AN$5-$K$153&gt;=1,AN$5-$K$153&lt;=Inputs!$C$13),INDEX($N$156:$AL$156,1,AN$5-$K$153+1)*INDEX($N$157:$AL$157,1,AN$5-$K$153+1),0)-$I$153*((AN$5=Inputs!$C$12)*$C$155*$D$153+(AN$5=Inputs!$C$13)*$D$155*($D$153+Inputs!$C$14))+$I$153*((AN$5=Inputs!$C$15+$K$153)*$E$155*$I$155+(AN$5=Inputs!$C$16+$K$153)*$F$155*$J$155+(AN$5=Inputs!$C$17)*$G$155*$H$153*$H$155)</f>
        <v>0</v>
      </c>
      <c r="AO158" s="42" t="n">
        <f aca="false">-($D$153+$J$153)*(AO$5=0)+IF(AND(AO$5-$K$153&gt;=1,AO$5-$K$153&lt;=Inputs!$C$13),INDEX($N$156:$AL$156,1,AO$5-$K$153+1)*INDEX($N$157:$AL$157,1,AO$5-$K$153+1),0)-$I$153*((AO$5=Inputs!$C$12)*$C$155*$D$153+(AO$5=Inputs!$C$13)*$D$155*($D$153+Inputs!$C$14))+$I$153*((AO$5=Inputs!$C$15+$K$153)*$E$155*$I$155+(AO$5=Inputs!$C$16+$K$153)*$F$155*$J$155+(AO$5=Inputs!$C$17)*$G$155*$H$153*$H$155)</f>
        <v>0</v>
      </c>
      <c r="AP158" s="42" t="n">
        <f aca="false">-($D$153+$J$153)*(AP$5=0)+IF(AND(AP$5-$K$153&gt;=1,AP$5-$K$153&lt;=Inputs!$C$13),INDEX($N$156:$AL$156,1,AP$5-$K$153+1)*INDEX($N$157:$AL$157,1,AP$5-$K$153+1),0)-$I$153*((AP$5=Inputs!$C$12)*$C$155*$D$153+(AP$5=Inputs!$C$13)*$D$155*($D$153+Inputs!$C$14))+$I$153*((AP$5=Inputs!$C$15+$K$153)*$E$155*$I$155+(AP$5=Inputs!$C$16+$K$153)*$F$155*$J$155+(AP$5=Inputs!$C$17)*$G$155*$H$153*$H$155)</f>
        <v>2000.4</v>
      </c>
      <c r="AQ158" s="42" t="n">
        <f aca="false">-($D$153+$J$153)*(AQ$5=0)+IF(AND(AQ$5-$K$153&gt;=1,AQ$5-$K$153&lt;=Inputs!$C$13),INDEX($N$156:$AL$156,1,AQ$5-$K$153+1)*INDEX($N$157:$AL$157,1,AQ$5-$K$153+1),0)-$I$153*((AQ$5=Inputs!$C$12)*$C$155*$D$153+(AQ$5=Inputs!$C$13)*$D$155*($D$153+Inputs!$C$14))+$I$153*((AQ$5=Inputs!$C$15+$K$153)*$E$155*$I$155+(AQ$5=Inputs!$C$16+$K$153)*$F$155*$J$155+(AQ$5=Inputs!$C$17)*$G$155*$H$153*$H$155)</f>
        <v>0</v>
      </c>
      <c r="AR158" s="42" t="n">
        <f aca="false">-($D$153+$J$153)*(AR$5=0)+IF(AND(AR$5-$K$153&gt;=1,AR$5-$K$153&lt;=Inputs!$C$13),INDEX($N$156:$AL$156,1,AR$5-$K$153+1)*INDEX($N$157:$AL$157,1,AR$5-$K$153+1),0)-$I$153*((AR$5=Inputs!$C$12)*$C$155*$D$153+(AR$5=Inputs!$C$13)*$D$155*($D$153+Inputs!$C$14))+$I$153*((AR$5=Inputs!$C$15+$K$153)*$E$155*$I$155+(AR$5=Inputs!$C$16+$K$153)*$F$155*$J$155+(AR$5=Inputs!$C$17)*$G$155*$H$153*$H$155)</f>
        <v>0</v>
      </c>
      <c r="AS158" s="42" t="n">
        <f aca="false">-($D$153+$J$153)*(AS$5=0)+IF(AND(AS$5-$K$153&gt;=1,AS$5-$K$153&lt;=Inputs!$C$13),INDEX($N$156:$AL$156,1,AS$5-$K$153+1)*INDEX($N$157:$AL$157,1,AS$5-$K$153+1),0)-$I$153*((AS$5=Inputs!$C$12)*$C$155*$D$153+(AS$5=Inputs!$C$13)*$D$155*($D$153+Inputs!$C$14))+$I$153*((AS$5=Inputs!$C$15+$K$153)*$E$155*$I$155+(AS$5=Inputs!$C$16+$K$153)*$F$155*$J$155+(AS$5=Inputs!$C$17)*$G$155*$H$153*$H$155)</f>
        <v>1094.24</v>
      </c>
      <c r="AT158" s="42" t="n">
        <f aca="false">-($D$153+$J$153)*(AT$5=0)+IF(AND(AT$5-$K$153&gt;=1,AT$5-$K$153&lt;=Inputs!$C$13),INDEX($N$156:$AL$156,1,AT$5-$K$153+1)*INDEX($N$157:$AL$157,1,AT$5-$K$153+1),0)-$I$153*((AT$5=Inputs!$C$12)*$C$155*$D$153+(AT$5=Inputs!$C$13)*$D$155*($D$153+Inputs!$C$14))+$I$153*((AT$5=Inputs!$C$15+$K$153)*$E$155*$I$155+(AT$5=Inputs!$C$16+$K$153)*$F$155*$J$155+(AT$5=Inputs!$C$17)*$G$155*$H$153*$H$155)</f>
        <v>0</v>
      </c>
      <c r="AU158" s="42" t="n">
        <f aca="false">-($D$153+$J$153)*(AU$5=0)+IF(AND(AU$5-$K$153&gt;=1,AU$5-$K$153&lt;=Inputs!$C$13),INDEX($N$156:$AL$156,1,AU$5-$K$153+1)*INDEX($N$157:$AL$157,1,AU$5-$K$153+1),0)-$I$153*((AU$5=Inputs!$C$12)*$C$155*$D$153+(AU$5=Inputs!$C$13)*$D$155*($D$153+Inputs!$C$14))+$I$153*((AU$5=Inputs!$C$15+$K$153)*$E$155*$I$155+(AU$5=Inputs!$C$16+$K$153)*$F$155*$J$155+(AU$5=Inputs!$C$17)*$G$155*$H$153*$H$155)</f>
        <v>0</v>
      </c>
      <c r="AV158" s="42" t="n">
        <f aca="false">-($D$153+$J$153)*(AV$5=0)+IF(AND(AV$5-$K$153&gt;=1,AV$5-$K$153&lt;=Inputs!$C$13),INDEX($N$156:$AL$156,1,AV$5-$K$153+1)*INDEX($N$157:$AL$157,1,AV$5-$K$153+1),0)-$I$153*((AV$5=Inputs!$C$12)*$C$155*$D$153+(AV$5=Inputs!$C$13)*$D$155*($D$153+Inputs!$C$14))+$I$153*((AV$5=Inputs!$C$15+$K$153)*$E$155*$I$155+(AV$5=Inputs!$C$16+$K$153)*$F$155*$J$155+(AV$5=Inputs!$C$17)*$G$155*$H$153*$H$155)</f>
        <v>0</v>
      </c>
      <c r="AW158" s="42" t="n">
        <f aca="false">-($D$153+$J$153)*(AW$5=0)+IF(AND(AW$5-$K$153&gt;=1,AW$5-$K$153&lt;=Inputs!$C$13),INDEX($N$156:$AL$156,1,AW$5-$K$153+1)*INDEX($N$157:$AL$157,1,AW$5-$K$153+1),0)-$I$153*((AW$5=Inputs!$C$12)*$C$155*$D$153+(AW$5=Inputs!$C$13)*$D$155*($D$153+Inputs!$C$14))+$I$153*((AW$5=Inputs!$C$15+$K$153)*$E$155*$I$155+(AW$5=Inputs!$C$16+$K$153)*$F$155*$J$155+(AW$5=Inputs!$C$17)*$G$155*$H$153*$H$155)</f>
        <v>0</v>
      </c>
      <c r="AX158" s="42" t="n">
        <f aca="false">-($D$153+$J$153)*(AX$5=0)+IF(AND(AX$5-$K$153&gt;=1,AX$5-$K$153&lt;=Inputs!$C$13),INDEX($N$156:$AL$156,1,AX$5-$K$153+1)*INDEX($N$157:$AL$157,1,AX$5-$K$153+1),0)-$I$153*((AX$5=Inputs!$C$12)*$C$155*$D$153+(AX$5=Inputs!$C$13)*$D$155*($D$153+Inputs!$C$14))+$I$153*((AX$5=Inputs!$C$15+$K$153)*$E$155*$I$155+(AX$5=Inputs!$C$16+$K$153)*$F$155*$J$155+(AX$5=Inputs!$C$17)*$G$155*$H$153*$H$155)</f>
        <v>218.16</v>
      </c>
      <c r="AY158" s="42" t="n">
        <f aca="false">-($D$153+$J$153)*(AY$5=0)+IF(AND(AY$5-$K$153&gt;=1,AY$5-$K$153&lt;=Inputs!$C$13),INDEX($N$156:$AL$156,1,AY$5-$K$153+1)*INDEX($N$157:$AL$157,1,AY$5-$K$153+1),0)-$I$153*((AY$5=Inputs!$C$12)*$C$155*$D$153+(AY$5=Inputs!$C$13)*$D$155*($D$153+Inputs!$C$14))+$I$153*((AY$5=Inputs!$C$15+$K$153)*$E$155*$I$155+(AY$5=Inputs!$C$16+$K$153)*$F$155*$J$155+(AY$5=Inputs!$C$17)*$G$155*$H$153*$H$155)</f>
        <v>0</v>
      </c>
    </row>
    <row r="160" customFormat="false" ht="15" hidden="false" customHeight="false" outlineLevel="0" collapsed="false">
      <c r="B160" s="7" t="s">
        <v>204</v>
      </c>
      <c r="C160" s="8"/>
      <c r="D160" s="8"/>
      <c r="E160" s="8"/>
      <c r="F160" s="8"/>
      <c r="G160" s="8"/>
      <c r="H160" s="8"/>
      <c r="I160" s="8"/>
      <c r="J160" s="8"/>
      <c r="K160" s="8"/>
      <c r="L160" s="8"/>
    </row>
    <row r="161" customFormat="false" ht="30" hidden="false" customHeight="true" outlineLevel="0" collapsed="false">
      <c r="B161" s="37"/>
      <c r="C161" s="38" t="s">
        <v>169</v>
      </c>
      <c r="D161" s="38" t="s">
        <v>170</v>
      </c>
      <c r="E161" s="38" t="s">
        <v>171</v>
      </c>
      <c r="F161" s="38" t="s">
        <v>43</v>
      </c>
      <c r="G161" s="38" t="s">
        <v>44</v>
      </c>
      <c r="H161" s="38" t="s">
        <v>45</v>
      </c>
      <c r="I161" s="38" t="s">
        <v>172</v>
      </c>
      <c r="J161" s="38" t="s">
        <v>90</v>
      </c>
      <c r="K161" s="38" t="s">
        <v>89</v>
      </c>
      <c r="L161" s="38" t="s">
        <v>173</v>
      </c>
    </row>
    <row r="162" customFormat="false" ht="15" hidden="false" customHeight="false" outlineLevel="0" collapsed="false">
      <c r="B162" s="39" t="s">
        <v>174</v>
      </c>
      <c r="C162" s="26" t="n">
        <f aca="false">Class_IRR!$D$5</f>
        <v>0.01</v>
      </c>
      <c r="D162" s="30" t="n">
        <f aca="false">Inputs!$E$25</f>
        <v>9500</v>
      </c>
      <c r="E162" s="26" t="n">
        <f aca="false">Inputs!$F$25</f>
        <v>0.9</v>
      </c>
      <c r="F162" s="25" t="n">
        <f aca="false">Inputs!$G$25</f>
        <v>0.6</v>
      </c>
      <c r="G162" s="25" t="n">
        <f aca="false">Inputs!$H$25</f>
        <v>0.8</v>
      </c>
      <c r="H162" s="25" t="n">
        <f aca="false">Inputs!$I$25</f>
        <v>0.9</v>
      </c>
      <c r="I162" s="22" t="n">
        <f aca="false">Inputs!$J$25</f>
        <v>1</v>
      </c>
      <c r="J162" s="23" t="n">
        <f aca="false">Inputs!$C$9</f>
        <v>10</v>
      </c>
      <c r="K162" s="22" t="n">
        <f aca="false">Inputs!$C$10</f>
        <v>1</v>
      </c>
      <c r="L162" s="22" t="n">
        <f aca="false">1</f>
        <v>1</v>
      </c>
    </row>
    <row r="163" customFormat="false" ht="30" hidden="false" customHeight="true" outlineLevel="0" collapsed="false">
      <c r="B163" s="37"/>
      <c r="C163" s="38" t="s">
        <v>175</v>
      </c>
      <c r="D163" s="38" t="s">
        <v>176</v>
      </c>
      <c r="E163" s="38" t="s">
        <v>177</v>
      </c>
      <c r="F163" s="38" t="s">
        <v>178</v>
      </c>
      <c r="G163" s="38" t="s">
        <v>112</v>
      </c>
      <c r="H163" s="38" t="s">
        <v>179</v>
      </c>
      <c r="I163" s="38" t="s">
        <v>180</v>
      </c>
      <c r="J163" s="38" t="s">
        <v>181</v>
      </c>
      <c r="K163" s="38" t="s">
        <v>182</v>
      </c>
      <c r="L163" s="38" t="s">
        <v>183</v>
      </c>
    </row>
    <row r="164" customFormat="false" ht="15" hidden="false" customHeight="false" outlineLevel="0" collapsed="false">
      <c r="B164" s="39" t="s">
        <v>184</v>
      </c>
      <c r="C164" s="40" t="n">
        <f aca="false">1-$E$162*CHOOSE($L$162,INDEX(Timing!$C$7:$AA$7,1,Inputs!$C$12+1),INDEX(Timing!$C$8:$AA$8,1,Inputs!$C$12+1))</f>
        <v>0.316</v>
      </c>
      <c r="D164" s="40" t="n">
        <f aca="false">1-$E$162*CHOOSE($L$162,INDEX(Timing!$C$7:$AA$7,1,Inputs!$C$13+1),INDEX(Timing!$C$8:$AA$8,1,Inputs!$C$13+1))</f>
        <v>0.1</v>
      </c>
      <c r="E164" s="40" t="n">
        <f aca="false">$I$162*$D$164*$F$162</f>
        <v>0.06</v>
      </c>
      <c r="F164" s="40" t="n">
        <f aca="false">$I$162*($D$164-$E$164)*$G$162</f>
        <v>0.032</v>
      </c>
      <c r="G164" s="40" t="n">
        <f aca="false">$I$162*($D$164-$E$164-$F$164)</f>
        <v>0.008</v>
      </c>
      <c r="H164" s="23" t="n">
        <f aca="false">$I$162*(3*$D$162+Inputs!$C$14)</f>
        <v>30300</v>
      </c>
      <c r="I164" s="23" t="n">
        <f aca="false">$I$162*($D$162*(1+IF($C$162&lt;=0,0,MAX($C$162*Inputs!$C$15/12,Inputs!$C$8)))+$D$162*(1+Inputs!$C$11*(Inputs!$C$15-Inputs!$C$12)/12)+$D$162*(1+Inputs!$C$11*(Inputs!$C$15-Inputs!$C$13)/12)+Inputs!$C$14)</f>
        <v>33340</v>
      </c>
      <c r="J164" s="23" t="n">
        <f aca="false">$I$162*($D$162*(1+IF($C$162&lt;=0,0,MAX($C$162*Inputs!$C$16/12,Inputs!$C$8)))+$D$162*(1+Inputs!$C$11*(Inputs!$C$16-Inputs!$C$12)/12)+$D$162*(1+Inputs!$C$11*(Inputs!$C$16-Inputs!$C$13)/12)+Inputs!$C$14)</f>
        <v>34195</v>
      </c>
      <c r="K164" s="40" t="n">
        <f aca="false">IRR($N$167:$AY$167,0.005)</f>
        <v>0.00593711100638152</v>
      </c>
      <c r="L164" s="41" t="n">
        <f aca="false">(1+$K$164)^12-1</f>
        <v>0.0736184473167751</v>
      </c>
    </row>
    <row r="165" customFormat="false" ht="15" hidden="false" customHeight="false" outlineLevel="0" collapsed="false">
      <c r="B165" s="9" t="s">
        <v>185</v>
      </c>
      <c r="N165" s="40" t="n">
        <f aca="false">0</f>
        <v>0</v>
      </c>
      <c r="O165" s="40" t="n">
        <f aca="false">$E$162*(CHOOSE($L$162,Timing!D$7,Timing!D$8)-CHOOSE($L$162,Timing!C$7,Timing!C$8))</f>
        <v>0.108</v>
      </c>
      <c r="P165" s="40" t="n">
        <f aca="false">$E$162*(CHOOSE($L$162,Timing!E$7,Timing!E$8)-CHOOSE($L$162,Timing!D$7,Timing!D$8))</f>
        <v>0.09</v>
      </c>
      <c r="Q165" s="40" t="n">
        <f aca="false">$E$162*(CHOOSE($L$162,Timing!F$7,Timing!F$8)-CHOOSE($L$162,Timing!E$7,Timing!E$8))</f>
        <v>0.081</v>
      </c>
      <c r="R165" s="40" t="n">
        <f aca="false">$E$162*(CHOOSE($L$162,Timing!G$7,Timing!G$8)-CHOOSE($L$162,Timing!F$7,Timing!F$8))</f>
        <v>0.063</v>
      </c>
      <c r="S165" s="40" t="n">
        <f aca="false">$E$162*(CHOOSE($L$162,Timing!H$7,Timing!H$8)-CHOOSE($L$162,Timing!G$7,Timing!G$8))</f>
        <v>0.063</v>
      </c>
      <c r="T165" s="40" t="n">
        <f aca="false">$E$162*(CHOOSE($L$162,Timing!I$7,Timing!I$8)-CHOOSE($L$162,Timing!H$7,Timing!H$8))</f>
        <v>0.063</v>
      </c>
      <c r="U165" s="40" t="n">
        <f aca="false">$E$162*(CHOOSE($L$162,Timing!J$7,Timing!J$8)-CHOOSE($L$162,Timing!I$7,Timing!I$8))</f>
        <v>0.039</v>
      </c>
      <c r="V165" s="40" t="n">
        <f aca="false">$E$162*(CHOOSE($L$162,Timing!K$7,Timing!K$8)-CHOOSE($L$162,Timing!J$7,Timing!J$8))</f>
        <v>0.039</v>
      </c>
      <c r="W165" s="40" t="n">
        <f aca="false">$E$162*(CHOOSE($L$162,Timing!L$7,Timing!L$8)-CHOOSE($L$162,Timing!K$7,Timing!K$8))</f>
        <v>0.039</v>
      </c>
      <c r="X165" s="40" t="n">
        <f aca="false">$E$162*(CHOOSE($L$162,Timing!M$7,Timing!M$8)-CHOOSE($L$162,Timing!L$7,Timing!L$8))</f>
        <v>0.033</v>
      </c>
      <c r="Y165" s="40" t="n">
        <f aca="false">$E$162*(CHOOSE($L$162,Timing!N$7,Timing!N$8)-CHOOSE($L$162,Timing!M$7,Timing!M$8))</f>
        <v>0.0330000000000001</v>
      </c>
      <c r="Z165" s="40" t="n">
        <f aca="false">$E$162*(CHOOSE($L$162,Timing!O$7,Timing!O$8)-CHOOSE($L$162,Timing!N$7,Timing!N$8))</f>
        <v>0.033</v>
      </c>
      <c r="AA165" s="40" t="n">
        <f aca="false">$E$162*(CHOOSE($L$162,Timing!P$7,Timing!P$8)-CHOOSE($L$162,Timing!O$7,Timing!O$8))</f>
        <v>0.021</v>
      </c>
      <c r="AB165" s="40" t="n">
        <f aca="false">$E$162*(CHOOSE($L$162,Timing!Q$7,Timing!Q$8)-CHOOSE($L$162,Timing!P$7,Timing!P$8))</f>
        <v>0.021</v>
      </c>
      <c r="AC165" s="40" t="n">
        <f aca="false">$E$162*(CHOOSE($L$162,Timing!R$7,Timing!R$8)-CHOOSE($L$162,Timing!Q$7,Timing!Q$8))</f>
        <v>0.0210000000000001</v>
      </c>
      <c r="AD165" s="40" t="n">
        <f aca="false">$E$162*(CHOOSE($L$162,Timing!S$7,Timing!S$8)-CHOOSE($L$162,Timing!R$7,Timing!R$8))</f>
        <v>0.021</v>
      </c>
      <c r="AE165" s="40" t="n">
        <f aca="false">$E$162*(CHOOSE($L$162,Timing!T$7,Timing!T$8)-CHOOSE($L$162,Timing!S$7,Timing!S$8))</f>
        <v>0.021</v>
      </c>
      <c r="AF165" s="40" t="n">
        <f aca="false">$E$162*(CHOOSE($L$162,Timing!U$7,Timing!U$8)-CHOOSE($L$162,Timing!T$7,Timing!T$8))</f>
        <v>0.021</v>
      </c>
      <c r="AG165" s="40" t="n">
        <f aca="false">$E$162*(CHOOSE($L$162,Timing!V$7,Timing!V$8)-CHOOSE($L$162,Timing!U$7,Timing!U$8))</f>
        <v>0.015</v>
      </c>
      <c r="AH165" s="40" t="n">
        <f aca="false">$E$162*(CHOOSE($L$162,Timing!W$7,Timing!W$8)-CHOOSE($L$162,Timing!V$7,Timing!V$8))</f>
        <v>0.0149999999999999</v>
      </c>
      <c r="AI165" s="40" t="n">
        <f aca="false">$E$162*(CHOOSE($L$162,Timing!X$7,Timing!X$8)-CHOOSE($L$162,Timing!W$7,Timing!W$8))</f>
        <v>0.0149999999999999</v>
      </c>
      <c r="AJ165" s="40" t="n">
        <f aca="false">$E$162*(CHOOSE($L$162,Timing!Y$7,Timing!Y$8)-CHOOSE($L$162,Timing!X$7,Timing!X$8))</f>
        <v>0.015</v>
      </c>
      <c r="AK165" s="40" t="n">
        <f aca="false">$E$162*(CHOOSE($L$162,Timing!Z$7,Timing!Z$8)-CHOOSE($L$162,Timing!Y$7,Timing!Y$8))</f>
        <v>0.015</v>
      </c>
      <c r="AL165" s="40" t="n">
        <f aca="false">$E$162*(CHOOSE($L$162,Timing!AA$7,Timing!AA$8)-CHOOSE($L$162,Timing!Z$7,Timing!Z$8))</f>
        <v>0.0149999999999999</v>
      </c>
    </row>
    <row r="166" customFormat="false" ht="15" hidden="false" customHeight="false" outlineLevel="0" collapsed="false">
      <c r="B166" s="9" t="s">
        <v>186</v>
      </c>
      <c r="N166" s="42" t="n">
        <f aca="false">0</f>
        <v>0</v>
      </c>
      <c r="O166" s="42" t="n">
        <f aca="false">$D$162*(1+IF($C$162&lt;=0,0,MAX($C$162*O$5/12,Inputs!$C$8)))+$I$162*(O$5&gt;Inputs!$C$12)*$D$162*(1+Inputs!$C$11*(O$5-Inputs!$C$12)/12)</f>
        <v>9975</v>
      </c>
      <c r="P166" s="42" t="n">
        <f aca="false">$D$162*(1+IF($C$162&lt;=0,0,MAX($C$162*P$5/12,Inputs!$C$8)))+$I$162*(P$5&gt;Inputs!$C$12)*$D$162*(1+Inputs!$C$11*(P$5-Inputs!$C$12)/12)</f>
        <v>9975</v>
      </c>
      <c r="Q166" s="42" t="n">
        <f aca="false">$D$162*(1+IF($C$162&lt;=0,0,MAX($C$162*Q$5/12,Inputs!$C$8)))+$I$162*(Q$5&gt;Inputs!$C$12)*$D$162*(1+Inputs!$C$11*(Q$5-Inputs!$C$12)/12)</f>
        <v>9975</v>
      </c>
      <c r="R166" s="42" t="n">
        <f aca="false">$D$162*(1+IF($C$162&lt;=0,0,MAX($C$162*R$5/12,Inputs!$C$8)))+$I$162*(R$5&gt;Inputs!$C$12)*$D$162*(1+Inputs!$C$11*(R$5-Inputs!$C$12)/12)</f>
        <v>9975</v>
      </c>
      <c r="S166" s="42" t="n">
        <f aca="false">$D$162*(1+IF($C$162&lt;=0,0,MAX($C$162*S$5/12,Inputs!$C$8)))+$I$162*(S$5&gt;Inputs!$C$12)*$D$162*(1+Inputs!$C$11*(S$5-Inputs!$C$12)/12)</f>
        <v>9975</v>
      </c>
      <c r="T166" s="42" t="n">
        <f aca="false">$D$162*(1+IF($C$162&lt;=0,0,MAX($C$162*T$5/12,Inputs!$C$8)))+$I$162*(T$5&gt;Inputs!$C$12)*$D$162*(1+Inputs!$C$11*(T$5-Inputs!$C$12)/12)</f>
        <v>9975</v>
      </c>
      <c r="U166" s="42" t="n">
        <f aca="false">$D$162*(1+IF($C$162&lt;=0,0,MAX($C$162*U$5/12,Inputs!$C$8)))+$I$162*(U$5&gt;Inputs!$C$12)*$D$162*(1+Inputs!$C$11*(U$5-Inputs!$C$12)/12)</f>
        <v>9975</v>
      </c>
      <c r="V166" s="42" t="n">
        <f aca="false">$D$162*(1+IF($C$162&lt;=0,0,MAX($C$162*V$5/12,Inputs!$C$8)))+$I$162*(V$5&gt;Inputs!$C$12)*$D$162*(1+Inputs!$C$11*(V$5-Inputs!$C$12)/12)</f>
        <v>9975</v>
      </c>
      <c r="W166" s="42" t="n">
        <f aca="false">$D$162*(1+IF($C$162&lt;=0,0,MAX($C$162*W$5/12,Inputs!$C$8)))+$I$162*(W$5&gt;Inputs!$C$12)*$D$162*(1+Inputs!$C$11*(W$5-Inputs!$C$12)/12)</f>
        <v>9975</v>
      </c>
      <c r="X166" s="42" t="n">
        <f aca="false">$D$162*(1+IF($C$162&lt;=0,0,MAX($C$162*X$5/12,Inputs!$C$8)))+$I$162*(X$5&gt;Inputs!$C$12)*$D$162*(1+Inputs!$C$11*(X$5-Inputs!$C$12)/12)</f>
        <v>9975</v>
      </c>
      <c r="Y166" s="42" t="n">
        <f aca="false">$D$162*(1+IF($C$162&lt;=0,0,MAX($C$162*Y$5/12,Inputs!$C$8)))+$I$162*(Y$5&gt;Inputs!$C$12)*$D$162*(1+Inputs!$C$11*(Y$5-Inputs!$C$12)/12)</f>
        <v>9975</v>
      </c>
      <c r="Z166" s="42" t="n">
        <f aca="false">$D$162*(1+IF($C$162&lt;=0,0,MAX($C$162*Z$5/12,Inputs!$C$8)))+$I$162*(Z$5&gt;Inputs!$C$12)*$D$162*(1+Inputs!$C$11*(Z$5-Inputs!$C$12)/12)</f>
        <v>9975</v>
      </c>
      <c r="AA166" s="42" t="n">
        <f aca="false">$D$162*(1+IF($C$162&lt;=0,0,MAX($C$162*AA$5/12,Inputs!$C$8)))+$I$162*(AA$5&gt;Inputs!$C$12)*$D$162*(1+Inputs!$C$11*(AA$5-Inputs!$C$12)/12)</f>
        <v>19617.5</v>
      </c>
      <c r="AB166" s="42" t="n">
        <f aca="false">$D$162*(1+IF($C$162&lt;=0,0,MAX($C$162*AB$5/12,Inputs!$C$8)))+$I$162*(AB$5&gt;Inputs!$C$12)*$D$162*(1+Inputs!$C$11*(AB$5-Inputs!$C$12)/12)</f>
        <v>19760</v>
      </c>
      <c r="AC166" s="42" t="n">
        <f aca="false">$D$162*(1+IF($C$162&lt;=0,0,MAX($C$162*AC$5/12,Inputs!$C$8)))+$I$162*(AC$5&gt;Inputs!$C$12)*$D$162*(1+Inputs!$C$11*(AC$5-Inputs!$C$12)/12)</f>
        <v>19902.5</v>
      </c>
      <c r="AD166" s="42" t="n">
        <f aca="false">$D$162*(1+IF($C$162&lt;=0,0,MAX($C$162*AD$5/12,Inputs!$C$8)))+$I$162*(AD$5&gt;Inputs!$C$12)*$D$162*(1+Inputs!$C$11*(AD$5-Inputs!$C$12)/12)</f>
        <v>20045</v>
      </c>
      <c r="AE166" s="42" t="n">
        <f aca="false">$D$162*(1+IF($C$162&lt;=0,0,MAX($C$162*AE$5/12,Inputs!$C$8)))+$I$162*(AE$5&gt;Inputs!$C$12)*$D$162*(1+Inputs!$C$11*(AE$5-Inputs!$C$12)/12)</f>
        <v>20187.5</v>
      </c>
      <c r="AF166" s="42" t="n">
        <f aca="false">$D$162*(1+IF($C$162&lt;=0,0,MAX($C$162*AF$5/12,Inputs!$C$8)))+$I$162*(AF$5&gt;Inputs!$C$12)*$D$162*(1+Inputs!$C$11*(AF$5-Inputs!$C$12)/12)</f>
        <v>20330</v>
      </c>
      <c r="AG166" s="42" t="n">
        <f aca="false">$D$162*(1+IF($C$162&lt;=0,0,MAX($C$162*AG$5/12,Inputs!$C$8)))+$I$162*(AG$5&gt;Inputs!$C$12)*$D$162*(1+Inputs!$C$11*(AG$5-Inputs!$C$12)/12)</f>
        <v>20472.5</v>
      </c>
      <c r="AH166" s="42" t="n">
        <f aca="false">$D$162*(1+IF($C$162&lt;=0,0,MAX($C$162*AH$5/12,Inputs!$C$8)))+$I$162*(AH$5&gt;Inputs!$C$12)*$D$162*(1+Inputs!$C$11*(AH$5-Inputs!$C$12)/12)</f>
        <v>20615</v>
      </c>
      <c r="AI166" s="42" t="n">
        <f aca="false">$D$162*(1+IF($C$162&lt;=0,0,MAX($C$162*AI$5/12,Inputs!$C$8)))+$I$162*(AI$5&gt;Inputs!$C$12)*$D$162*(1+Inputs!$C$11*(AI$5-Inputs!$C$12)/12)</f>
        <v>20757.5</v>
      </c>
      <c r="AJ166" s="42" t="n">
        <f aca="false">$D$162*(1+IF($C$162&lt;=0,0,MAX($C$162*AJ$5/12,Inputs!$C$8)))+$I$162*(AJ$5&gt;Inputs!$C$12)*$D$162*(1+Inputs!$C$11*(AJ$5-Inputs!$C$12)/12)</f>
        <v>20900</v>
      </c>
      <c r="AK166" s="42" t="n">
        <f aca="false">$D$162*(1+IF($C$162&lt;=0,0,MAX($C$162*AK$5/12,Inputs!$C$8)))+$I$162*(AK$5&gt;Inputs!$C$12)*$D$162*(1+Inputs!$C$11*(AK$5-Inputs!$C$12)/12)</f>
        <v>21042.5</v>
      </c>
      <c r="AL166" s="42" t="n">
        <f aca="false">$D$162*(1+IF($C$162&lt;=0,0,MAX($C$162*AL$5/12,Inputs!$C$8)))+$I$162*(AL$5&gt;Inputs!$C$12)*$D$162*(1+Inputs!$C$11*(AL$5-Inputs!$C$12)/12)</f>
        <v>21185</v>
      </c>
    </row>
    <row r="167" customFormat="false" ht="15" hidden="false" customHeight="false" outlineLevel="0" collapsed="false">
      <c r="B167" s="31" t="s">
        <v>187</v>
      </c>
      <c r="N167" s="42" t="n">
        <f aca="false">-($D$162+$J$162)*(N$5=0)+IF(AND(N$5-$K$162&gt;=1,N$5-$K$162&lt;=Inputs!$C$13),INDEX($N$165:$AL$165,1,N$5-$K$162+1)*INDEX($N$166:$AL$166,1,N$5-$K$162+1),0)-$I$162*((N$5=Inputs!$C$12)*$C$164*$D$162+(N$5=Inputs!$C$13)*$D$164*($D$162+Inputs!$C$14))+$I$162*((N$5=Inputs!$C$15+$K$162)*$E$164*$I$164+(N$5=Inputs!$C$16+$K$162)*$F$164*$J$164+(N$5=Inputs!$C$17)*$G$164*$H$162*$H$164)</f>
        <v>-9510</v>
      </c>
      <c r="O167" s="42" t="n">
        <f aca="false">-($D$162+$J$162)*(O$5=0)+IF(AND(O$5-$K$162&gt;=1,O$5-$K$162&lt;=Inputs!$C$13),INDEX($N$165:$AL$165,1,O$5-$K$162+1)*INDEX($N$166:$AL$166,1,O$5-$K$162+1),0)-$I$162*((O$5=Inputs!$C$12)*$C$164*$D$162+(O$5=Inputs!$C$13)*$D$164*($D$162+Inputs!$C$14))+$I$162*((O$5=Inputs!$C$15+$K$162)*$E$164*$I$164+(O$5=Inputs!$C$16+$K$162)*$F$164*$J$164+(O$5=Inputs!$C$17)*$G$164*$H$162*$H$164)</f>
        <v>0</v>
      </c>
      <c r="P167" s="42" t="n">
        <f aca="false">-($D$162+$J$162)*(P$5=0)+IF(AND(P$5-$K$162&gt;=1,P$5-$K$162&lt;=Inputs!$C$13),INDEX($N$165:$AL$165,1,P$5-$K$162+1)*INDEX($N$166:$AL$166,1,P$5-$K$162+1),0)-$I$162*((P$5=Inputs!$C$12)*$C$164*$D$162+(P$5=Inputs!$C$13)*$D$164*($D$162+Inputs!$C$14))+$I$162*((P$5=Inputs!$C$15+$K$162)*$E$164*$I$164+(P$5=Inputs!$C$16+$K$162)*$F$164*$J$164+(P$5=Inputs!$C$17)*$G$164*$H$162*$H$164)</f>
        <v>1077.3</v>
      </c>
      <c r="Q167" s="42" t="n">
        <f aca="false">-($D$162+$J$162)*(Q$5=0)+IF(AND(Q$5-$K$162&gt;=1,Q$5-$K$162&lt;=Inputs!$C$13),INDEX($N$165:$AL$165,1,Q$5-$K$162+1)*INDEX($N$166:$AL$166,1,Q$5-$K$162+1),0)-$I$162*((Q$5=Inputs!$C$12)*$C$164*$D$162+(Q$5=Inputs!$C$13)*$D$164*($D$162+Inputs!$C$14))+$I$162*((Q$5=Inputs!$C$15+$K$162)*$E$164*$I$164+(Q$5=Inputs!$C$16+$K$162)*$F$164*$J$164+(Q$5=Inputs!$C$17)*$G$164*$H$162*$H$164)</f>
        <v>897.75</v>
      </c>
      <c r="R167" s="42" t="n">
        <f aca="false">-($D$162+$J$162)*(R$5=0)+IF(AND(R$5-$K$162&gt;=1,R$5-$K$162&lt;=Inputs!$C$13),INDEX($N$165:$AL$165,1,R$5-$K$162+1)*INDEX($N$166:$AL$166,1,R$5-$K$162+1),0)-$I$162*((R$5=Inputs!$C$12)*$C$164*$D$162+(R$5=Inputs!$C$13)*$D$164*($D$162+Inputs!$C$14))+$I$162*((R$5=Inputs!$C$15+$K$162)*$E$164*$I$164+(R$5=Inputs!$C$16+$K$162)*$F$164*$J$164+(R$5=Inputs!$C$17)*$G$164*$H$162*$H$164)</f>
        <v>807.975</v>
      </c>
      <c r="S167" s="42" t="n">
        <f aca="false">-($D$162+$J$162)*(S$5=0)+IF(AND(S$5-$K$162&gt;=1,S$5-$K$162&lt;=Inputs!$C$13),INDEX($N$165:$AL$165,1,S$5-$K$162+1)*INDEX($N$166:$AL$166,1,S$5-$K$162+1),0)-$I$162*((S$5=Inputs!$C$12)*$C$164*$D$162+(S$5=Inputs!$C$13)*$D$164*($D$162+Inputs!$C$14))+$I$162*((S$5=Inputs!$C$15+$K$162)*$E$164*$I$164+(S$5=Inputs!$C$16+$K$162)*$F$164*$J$164+(S$5=Inputs!$C$17)*$G$164*$H$162*$H$164)</f>
        <v>628.425</v>
      </c>
      <c r="T167" s="42" t="n">
        <f aca="false">-($D$162+$J$162)*(T$5=0)+IF(AND(T$5-$K$162&gt;=1,T$5-$K$162&lt;=Inputs!$C$13),INDEX($N$165:$AL$165,1,T$5-$K$162+1)*INDEX($N$166:$AL$166,1,T$5-$K$162+1),0)-$I$162*((T$5=Inputs!$C$12)*$C$164*$D$162+(T$5=Inputs!$C$13)*$D$164*($D$162+Inputs!$C$14))+$I$162*((T$5=Inputs!$C$15+$K$162)*$E$164*$I$164+(T$5=Inputs!$C$16+$K$162)*$F$164*$J$164+(T$5=Inputs!$C$17)*$G$164*$H$162*$H$164)</f>
        <v>628.425</v>
      </c>
      <c r="U167" s="42" t="n">
        <f aca="false">-($D$162+$J$162)*(U$5=0)+IF(AND(U$5-$K$162&gt;=1,U$5-$K$162&lt;=Inputs!$C$13),INDEX($N$165:$AL$165,1,U$5-$K$162+1)*INDEX($N$166:$AL$166,1,U$5-$K$162+1),0)-$I$162*((U$5=Inputs!$C$12)*$C$164*$D$162+(U$5=Inputs!$C$13)*$D$164*($D$162+Inputs!$C$14))+$I$162*((U$5=Inputs!$C$15+$K$162)*$E$164*$I$164+(U$5=Inputs!$C$16+$K$162)*$F$164*$J$164+(U$5=Inputs!$C$17)*$G$164*$H$162*$H$164)</f>
        <v>628.425</v>
      </c>
      <c r="V167" s="42" t="n">
        <f aca="false">-($D$162+$J$162)*(V$5=0)+IF(AND(V$5-$K$162&gt;=1,V$5-$K$162&lt;=Inputs!$C$13),INDEX($N$165:$AL$165,1,V$5-$K$162+1)*INDEX($N$166:$AL$166,1,V$5-$K$162+1),0)-$I$162*((V$5=Inputs!$C$12)*$C$164*$D$162+(V$5=Inputs!$C$13)*$D$164*($D$162+Inputs!$C$14))+$I$162*((V$5=Inputs!$C$15+$K$162)*$E$164*$I$164+(V$5=Inputs!$C$16+$K$162)*$F$164*$J$164+(V$5=Inputs!$C$17)*$G$164*$H$162*$H$164)</f>
        <v>389.025</v>
      </c>
      <c r="W167" s="42" t="n">
        <f aca="false">-($D$162+$J$162)*(W$5=0)+IF(AND(W$5-$K$162&gt;=1,W$5-$K$162&lt;=Inputs!$C$13),INDEX($N$165:$AL$165,1,W$5-$K$162+1)*INDEX($N$166:$AL$166,1,W$5-$K$162+1),0)-$I$162*((W$5=Inputs!$C$12)*$C$164*$D$162+(W$5=Inputs!$C$13)*$D$164*($D$162+Inputs!$C$14))+$I$162*((W$5=Inputs!$C$15+$K$162)*$E$164*$I$164+(W$5=Inputs!$C$16+$K$162)*$F$164*$J$164+(W$5=Inputs!$C$17)*$G$164*$H$162*$H$164)</f>
        <v>389.025</v>
      </c>
      <c r="X167" s="42" t="n">
        <f aca="false">-($D$162+$J$162)*(X$5=0)+IF(AND(X$5-$K$162&gt;=1,X$5-$K$162&lt;=Inputs!$C$13),INDEX($N$165:$AL$165,1,X$5-$K$162+1)*INDEX($N$166:$AL$166,1,X$5-$K$162+1),0)-$I$162*((X$5=Inputs!$C$12)*$C$164*$D$162+(X$5=Inputs!$C$13)*$D$164*($D$162+Inputs!$C$14))+$I$162*((X$5=Inputs!$C$15+$K$162)*$E$164*$I$164+(X$5=Inputs!$C$16+$K$162)*$F$164*$J$164+(X$5=Inputs!$C$17)*$G$164*$H$162*$H$164)</f>
        <v>389.025</v>
      </c>
      <c r="Y167" s="42" t="n">
        <f aca="false">-($D$162+$J$162)*(Y$5=0)+IF(AND(Y$5-$K$162&gt;=1,Y$5-$K$162&lt;=Inputs!$C$13),INDEX($N$165:$AL$165,1,Y$5-$K$162+1)*INDEX($N$166:$AL$166,1,Y$5-$K$162+1),0)-$I$162*((Y$5=Inputs!$C$12)*$C$164*$D$162+(Y$5=Inputs!$C$13)*$D$164*($D$162+Inputs!$C$14))+$I$162*((Y$5=Inputs!$C$15+$K$162)*$E$164*$I$164+(Y$5=Inputs!$C$16+$K$162)*$F$164*$J$164+(Y$5=Inputs!$C$17)*$G$164*$H$162*$H$164)</f>
        <v>329.175</v>
      </c>
      <c r="Z167" s="42" t="n">
        <f aca="false">-($D$162+$J$162)*(Z$5=0)+IF(AND(Z$5-$K$162&gt;=1,Z$5-$K$162&lt;=Inputs!$C$13),INDEX($N$165:$AL$165,1,Z$5-$K$162+1)*INDEX($N$166:$AL$166,1,Z$5-$K$162+1),0)-$I$162*((Z$5=Inputs!$C$12)*$C$164*$D$162+(Z$5=Inputs!$C$13)*$D$164*($D$162+Inputs!$C$14))+$I$162*((Z$5=Inputs!$C$15+$K$162)*$E$164*$I$164+(Z$5=Inputs!$C$16+$K$162)*$F$164*$J$164+(Z$5=Inputs!$C$17)*$G$164*$H$162*$H$164)</f>
        <v>-2672.825</v>
      </c>
      <c r="AA167" s="42" t="n">
        <f aca="false">-($D$162+$J$162)*(AA$5=0)+IF(AND(AA$5-$K$162&gt;=1,AA$5-$K$162&lt;=Inputs!$C$13),INDEX($N$165:$AL$165,1,AA$5-$K$162+1)*INDEX($N$166:$AL$166,1,AA$5-$K$162+1),0)-$I$162*((AA$5=Inputs!$C$12)*$C$164*$D$162+(AA$5=Inputs!$C$13)*$D$164*($D$162+Inputs!$C$14))+$I$162*((AA$5=Inputs!$C$15+$K$162)*$E$164*$I$164+(AA$5=Inputs!$C$16+$K$162)*$F$164*$J$164+(AA$5=Inputs!$C$17)*$G$164*$H$162*$H$164)</f>
        <v>329.175</v>
      </c>
      <c r="AB167" s="42" t="n">
        <f aca="false">-($D$162+$J$162)*(AB$5=0)+IF(AND(AB$5-$K$162&gt;=1,AB$5-$K$162&lt;=Inputs!$C$13),INDEX($N$165:$AL$165,1,AB$5-$K$162+1)*INDEX($N$166:$AL$166,1,AB$5-$K$162+1),0)-$I$162*((AB$5=Inputs!$C$12)*$C$164*$D$162+(AB$5=Inputs!$C$13)*$D$164*($D$162+Inputs!$C$14))+$I$162*((AB$5=Inputs!$C$15+$K$162)*$E$164*$I$164+(AB$5=Inputs!$C$16+$K$162)*$F$164*$J$164+(AB$5=Inputs!$C$17)*$G$164*$H$162*$H$164)</f>
        <v>411.9675</v>
      </c>
      <c r="AC167" s="42" t="n">
        <f aca="false">-($D$162+$J$162)*(AC$5=0)+IF(AND(AC$5-$K$162&gt;=1,AC$5-$K$162&lt;=Inputs!$C$13),INDEX($N$165:$AL$165,1,AC$5-$K$162+1)*INDEX($N$166:$AL$166,1,AC$5-$K$162+1),0)-$I$162*((AC$5=Inputs!$C$12)*$C$164*$D$162+(AC$5=Inputs!$C$13)*$D$164*($D$162+Inputs!$C$14))+$I$162*((AC$5=Inputs!$C$15+$K$162)*$E$164*$I$164+(AC$5=Inputs!$C$16+$K$162)*$F$164*$J$164+(AC$5=Inputs!$C$17)*$G$164*$H$162*$H$164)</f>
        <v>414.96</v>
      </c>
      <c r="AD167" s="42" t="n">
        <f aca="false">-($D$162+$J$162)*(AD$5=0)+IF(AND(AD$5-$K$162&gt;=1,AD$5-$K$162&lt;=Inputs!$C$13),INDEX($N$165:$AL$165,1,AD$5-$K$162+1)*INDEX($N$166:$AL$166,1,AD$5-$K$162+1),0)-$I$162*((AD$5=Inputs!$C$12)*$C$164*$D$162+(AD$5=Inputs!$C$13)*$D$164*($D$162+Inputs!$C$14))+$I$162*((AD$5=Inputs!$C$15+$K$162)*$E$164*$I$164+(AD$5=Inputs!$C$16+$K$162)*$F$164*$J$164+(AD$5=Inputs!$C$17)*$G$164*$H$162*$H$164)</f>
        <v>417.952500000002</v>
      </c>
      <c r="AE167" s="42" t="n">
        <f aca="false">-($D$162+$J$162)*(AE$5=0)+IF(AND(AE$5-$K$162&gt;=1,AE$5-$K$162&lt;=Inputs!$C$13),INDEX($N$165:$AL$165,1,AE$5-$K$162+1)*INDEX($N$166:$AL$166,1,AE$5-$K$162+1),0)-$I$162*((AE$5=Inputs!$C$12)*$C$164*$D$162+(AE$5=Inputs!$C$13)*$D$164*($D$162+Inputs!$C$14))+$I$162*((AE$5=Inputs!$C$15+$K$162)*$E$164*$I$164+(AE$5=Inputs!$C$16+$K$162)*$F$164*$J$164+(AE$5=Inputs!$C$17)*$G$164*$H$162*$H$164)</f>
        <v>420.945</v>
      </c>
      <c r="AF167" s="42" t="n">
        <f aca="false">-($D$162+$J$162)*(AF$5=0)+IF(AND(AF$5-$K$162&gt;=1,AF$5-$K$162&lt;=Inputs!$C$13),INDEX($N$165:$AL$165,1,AF$5-$K$162+1)*INDEX($N$166:$AL$166,1,AF$5-$K$162+1),0)-$I$162*((AF$5=Inputs!$C$12)*$C$164*$D$162+(AF$5=Inputs!$C$13)*$D$164*($D$162+Inputs!$C$14))+$I$162*((AF$5=Inputs!$C$15+$K$162)*$E$164*$I$164+(AF$5=Inputs!$C$16+$K$162)*$F$164*$J$164+(AF$5=Inputs!$C$17)*$G$164*$H$162*$H$164)</f>
        <v>423.9375</v>
      </c>
      <c r="AG167" s="42" t="n">
        <f aca="false">-($D$162+$J$162)*(AG$5=0)+IF(AND(AG$5-$K$162&gt;=1,AG$5-$K$162&lt;=Inputs!$C$13),INDEX($N$165:$AL$165,1,AG$5-$K$162+1)*INDEX($N$166:$AL$166,1,AG$5-$K$162+1),0)-$I$162*((AG$5=Inputs!$C$12)*$C$164*$D$162+(AG$5=Inputs!$C$13)*$D$164*($D$162+Inputs!$C$14))+$I$162*((AG$5=Inputs!$C$15+$K$162)*$E$164*$I$164+(AG$5=Inputs!$C$16+$K$162)*$F$164*$J$164+(AG$5=Inputs!$C$17)*$G$164*$H$162*$H$164)</f>
        <v>426.93</v>
      </c>
      <c r="AH167" s="42" t="n">
        <f aca="false">-($D$162+$J$162)*(AH$5=0)+IF(AND(AH$5-$K$162&gt;=1,AH$5-$K$162&lt;=Inputs!$C$13),INDEX($N$165:$AL$165,1,AH$5-$K$162+1)*INDEX($N$166:$AL$166,1,AH$5-$K$162+1),0)-$I$162*((AH$5=Inputs!$C$12)*$C$164*$D$162+(AH$5=Inputs!$C$13)*$D$164*($D$162+Inputs!$C$14))+$I$162*((AH$5=Inputs!$C$15+$K$162)*$E$164*$I$164+(AH$5=Inputs!$C$16+$K$162)*$F$164*$J$164+(AH$5=Inputs!$C$17)*$G$164*$H$162*$H$164)</f>
        <v>307.087500000001</v>
      </c>
      <c r="AI167" s="42" t="n">
        <f aca="false">-($D$162+$J$162)*(AI$5=0)+IF(AND(AI$5-$K$162&gt;=1,AI$5-$K$162&lt;=Inputs!$C$13),INDEX($N$165:$AL$165,1,AI$5-$K$162+1)*INDEX($N$166:$AL$166,1,AI$5-$K$162+1),0)-$I$162*((AI$5=Inputs!$C$12)*$C$164*$D$162+(AI$5=Inputs!$C$13)*$D$164*($D$162+Inputs!$C$14))+$I$162*((AI$5=Inputs!$C$15+$K$162)*$E$164*$I$164+(AI$5=Inputs!$C$16+$K$162)*$F$164*$J$164+(AI$5=Inputs!$C$17)*$G$164*$H$162*$H$164)</f>
        <v>309.224999999999</v>
      </c>
      <c r="AJ167" s="42" t="n">
        <f aca="false">-($D$162+$J$162)*(AJ$5=0)+IF(AND(AJ$5-$K$162&gt;=1,AJ$5-$K$162&lt;=Inputs!$C$13),INDEX($N$165:$AL$165,1,AJ$5-$K$162+1)*INDEX($N$166:$AL$166,1,AJ$5-$K$162+1),0)-$I$162*((AJ$5=Inputs!$C$12)*$C$164*$D$162+(AJ$5=Inputs!$C$13)*$D$164*($D$162+Inputs!$C$14))+$I$162*((AJ$5=Inputs!$C$15+$K$162)*$E$164*$I$164+(AJ$5=Inputs!$C$16+$K$162)*$F$164*$J$164+(AJ$5=Inputs!$C$17)*$G$164*$H$162*$H$164)</f>
        <v>311.362499999999</v>
      </c>
      <c r="AK167" s="42" t="n">
        <f aca="false">-($D$162+$J$162)*(AK$5=0)+IF(AND(AK$5-$K$162&gt;=1,AK$5-$K$162&lt;=Inputs!$C$13),INDEX($N$165:$AL$165,1,AK$5-$K$162+1)*INDEX($N$166:$AL$166,1,AK$5-$K$162+1),0)-$I$162*((AK$5=Inputs!$C$12)*$C$164*$D$162+(AK$5=Inputs!$C$13)*$D$164*($D$162+Inputs!$C$14))+$I$162*((AK$5=Inputs!$C$15+$K$162)*$E$164*$I$164+(AK$5=Inputs!$C$16+$K$162)*$F$164*$J$164+(AK$5=Inputs!$C$17)*$G$164*$H$162*$H$164)</f>
        <v>313.500000000001</v>
      </c>
      <c r="AL167" s="42" t="n">
        <f aca="false">-($D$162+$J$162)*(AL$5=0)+IF(AND(AL$5-$K$162&gt;=1,AL$5-$K$162&lt;=Inputs!$C$13),INDEX($N$165:$AL$165,1,AL$5-$K$162+1)*INDEX($N$166:$AL$166,1,AL$5-$K$162+1),0)-$I$162*((AL$5=Inputs!$C$12)*$C$164*$D$162+(AL$5=Inputs!$C$13)*$D$164*($D$162+Inputs!$C$14))+$I$162*((AL$5=Inputs!$C$15+$K$162)*$E$164*$I$164+(AL$5=Inputs!$C$16+$K$162)*$F$164*$J$164+(AL$5=Inputs!$C$17)*$G$164*$H$162*$H$164)</f>
        <v>-814.362499999999</v>
      </c>
      <c r="AM167" s="42" t="n">
        <f aca="false">-($D$162+$J$162)*(AM$5=0)+IF(AND(AM$5-$K$162&gt;=1,AM$5-$K$162&lt;=Inputs!$C$13),INDEX($N$165:$AL$165,1,AM$5-$K$162+1)*INDEX($N$166:$AL$166,1,AM$5-$K$162+1),0)-$I$162*((AM$5=Inputs!$C$12)*$C$164*$D$162+(AM$5=Inputs!$C$13)*$D$164*($D$162+Inputs!$C$14))+$I$162*((AM$5=Inputs!$C$15+$K$162)*$E$164*$I$164+(AM$5=Inputs!$C$16+$K$162)*$F$164*$J$164+(AM$5=Inputs!$C$17)*$G$164*$H$162*$H$164)</f>
        <v>317.774999999999</v>
      </c>
      <c r="AN167" s="42" t="n">
        <f aca="false">-($D$162+$J$162)*(AN$5=0)+IF(AND(AN$5-$K$162&gt;=1,AN$5-$K$162&lt;=Inputs!$C$13),INDEX($N$165:$AL$165,1,AN$5-$K$162+1)*INDEX($N$166:$AL$166,1,AN$5-$K$162+1),0)-$I$162*((AN$5=Inputs!$C$12)*$C$164*$D$162+(AN$5=Inputs!$C$13)*$D$164*($D$162+Inputs!$C$14))+$I$162*((AN$5=Inputs!$C$15+$K$162)*$E$164*$I$164+(AN$5=Inputs!$C$16+$K$162)*$F$164*$J$164+(AN$5=Inputs!$C$17)*$G$164*$H$162*$H$164)</f>
        <v>0</v>
      </c>
      <c r="AO167" s="42" t="n">
        <f aca="false">-($D$162+$J$162)*(AO$5=0)+IF(AND(AO$5-$K$162&gt;=1,AO$5-$K$162&lt;=Inputs!$C$13),INDEX($N$165:$AL$165,1,AO$5-$K$162+1)*INDEX($N$166:$AL$166,1,AO$5-$K$162+1),0)-$I$162*((AO$5=Inputs!$C$12)*$C$164*$D$162+(AO$5=Inputs!$C$13)*$D$164*($D$162+Inputs!$C$14))+$I$162*((AO$5=Inputs!$C$15+$K$162)*$E$164*$I$164+(AO$5=Inputs!$C$16+$K$162)*$F$164*$J$164+(AO$5=Inputs!$C$17)*$G$164*$H$162*$H$164)</f>
        <v>0</v>
      </c>
      <c r="AP167" s="42" t="n">
        <f aca="false">-($D$162+$J$162)*(AP$5=0)+IF(AND(AP$5-$K$162&gt;=1,AP$5-$K$162&lt;=Inputs!$C$13),INDEX($N$165:$AL$165,1,AP$5-$K$162+1)*INDEX($N$166:$AL$166,1,AP$5-$K$162+1),0)-$I$162*((AP$5=Inputs!$C$12)*$C$164*$D$162+(AP$5=Inputs!$C$13)*$D$164*($D$162+Inputs!$C$14))+$I$162*((AP$5=Inputs!$C$15+$K$162)*$E$164*$I$164+(AP$5=Inputs!$C$16+$K$162)*$F$164*$J$164+(AP$5=Inputs!$C$17)*$G$164*$H$162*$H$164)</f>
        <v>2000.4</v>
      </c>
      <c r="AQ167" s="42" t="n">
        <f aca="false">-($D$162+$J$162)*(AQ$5=0)+IF(AND(AQ$5-$K$162&gt;=1,AQ$5-$K$162&lt;=Inputs!$C$13),INDEX($N$165:$AL$165,1,AQ$5-$K$162+1)*INDEX($N$166:$AL$166,1,AQ$5-$K$162+1),0)-$I$162*((AQ$5=Inputs!$C$12)*$C$164*$D$162+(AQ$5=Inputs!$C$13)*$D$164*($D$162+Inputs!$C$14))+$I$162*((AQ$5=Inputs!$C$15+$K$162)*$E$164*$I$164+(AQ$5=Inputs!$C$16+$K$162)*$F$164*$J$164+(AQ$5=Inputs!$C$17)*$G$164*$H$162*$H$164)</f>
        <v>0</v>
      </c>
      <c r="AR167" s="42" t="n">
        <f aca="false">-($D$162+$J$162)*(AR$5=0)+IF(AND(AR$5-$K$162&gt;=1,AR$5-$K$162&lt;=Inputs!$C$13),INDEX($N$165:$AL$165,1,AR$5-$K$162+1)*INDEX($N$166:$AL$166,1,AR$5-$K$162+1),0)-$I$162*((AR$5=Inputs!$C$12)*$C$164*$D$162+(AR$5=Inputs!$C$13)*$D$164*($D$162+Inputs!$C$14))+$I$162*((AR$5=Inputs!$C$15+$K$162)*$E$164*$I$164+(AR$5=Inputs!$C$16+$K$162)*$F$164*$J$164+(AR$5=Inputs!$C$17)*$G$164*$H$162*$H$164)</f>
        <v>0</v>
      </c>
      <c r="AS167" s="42" t="n">
        <f aca="false">-($D$162+$J$162)*(AS$5=0)+IF(AND(AS$5-$K$162&gt;=1,AS$5-$K$162&lt;=Inputs!$C$13),INDEX($N$165:$AL$165,1,AS$5-$K$162+1)*INDEX($N$166:$AL$166,1,AS$5-$K$162+1),0)-$I$162*((AS$5=Inputs!$C$12)*$C$164*$D$162+(AS$5=Inputs!$C$13)*$D$164*($D$162+Inputs!$C$14))+$I$162*((AS$5=Inputs!$C$15+$K$162)*$E$164*$I$164+(AS$5=Inputs!$C$16+$K$162)*$F$164*$J$164+(AS$5=Inputs!$C$17)*$G$164*$H$162*$H$164)</f>
        <v>1094.24</v>
      </c>
      <c r="AT167" s="42" t="n">
        <f aca="false">-($D$162+$J$162)*(AT$5=0)+IF(AND(AT$5-$K$162&gt;=1,AT$5-$K$162&lt;=Inputs!$C$13),INDEX($N$165:$AL$165,1,AT$5-$K$162+1)*INDEX($N$166:$AL$166,1,AT$5-$K$162+1),0)-$I$162*((AT$5=Inputs!$C$12)*$C$164*$D$162+(AT$5=Inputs!$C$13)*$D$164*($D$162+Inputs!$C$14))+$I$162*((AT$5=Inputs!$C$15+$K$162)*$E$164*$I$164+(AT$5=Inputs!$C$16+$K$162)*$F$164*$J$164+(AT$5=Inputs!$C$17)*$G$164*$H$162*$H$164)</f>
        <v>0</v>
      </c>
      <c r="AU167" s="42" t="n">
        <f aca="false">-($D$162+$J$162)*(AU$5=0)+IF(AND(AU$5-$K$162&gt;=1,AU$5-$K$162&lt;=Inputs!$C$13),INDEX($N$165:$AL$165,1,AU$5-$K$162+1)*INDEX($N$166:$AL$166,1,AU$5-$K$162+1),0)-$I$162*((AU$5=Inputs!$C$12)*$C$164*$D$162+(AU$5=Inputs!$C$13)*$D$164*($D$162+Inputs!$C$14))+$I$162*((AU$5=Inputs!$C$15+$K$162)*$E$164*$I$164+(AU$5=Inputs!$C$16+$K$162)*$F$164*$J$164+(AU$5=Inputs!$C$17)*$G$164*$H$162*$H$164)</f>
        <v>0</v>
      </c>
      <c r="AV167" s="42" t="n">
        <f aca="false">-($D$162+$J$162)*(AV$5=0)+IF(AND(AV$5-$K$162&gt;=1,AV$5-$K$162&lt;=Inputs!$C$13),INDEX($N$165:$AL$165,1,AV$5-$K$162+1)*INDEX($N$166:$AL$166,1,AV$5-$K$162+1),0)-$I$162*((AV$5=Inputs!$C$12)*$C$164*$D$162+(AV$5=Inputs!$C$13)*$D$164*($D$162+Inputs!$C$14))+$I$162*((AV$5=Inputs!$C$15+$K$162)*$E$164*$I$164+(AV$5=Inputs!$C$16+$K$162)*$F$164*$J$164+(AV$5=Inputs!$C$17)*$G$164*$H$162*$H$164)</f>
        <v>0</v>
      </c>
      <c r="AW167" s="42" t="n">
        <f aca="false">-($D$162+$J$162)*(AW$5=0)+IF(AND(AW$5-$K$162&gt;=1,AW$5-$K$162&lt;=Inputs!$C$13),INDEX($N$165:$AL$165,1,AW$5-$K$162+1)*INDEX($N$166:$AL$166,1,AW$5-$K$162+1),0)-$I$162*((AW$5=Inputs!$C$12)*$C$164*$D$162+(AW$5=Inputs!$C$13)*$D$164*($D$162+Inputs!$C$14))+$I$162*((AW$5=Inputs!$C$15+$K$162)*$E$164*$I$164+(AW$5=Inputs!$C$16+$K$162)*$F$164*$J$164+(AW$5=Inputs!$C$17)*$G$164*$H$162*$H$164)</f>
        <v>0</v>
      </c>
      <c r="AX167" s="42" t="n">
        <f aca="false">-($D$162+$J$162)*(AX$5=0)+IF(AND(AX$5-$K$162&gt;=1,AX$5-$K$162&lt;=Inputs!$C$13),INDEX($N$165:$AL$165,1,AX$5-$K$162+1)*INDEX($N$166:$AL$166,1,AX$5-$K$162+1),0)-$I$162*((AX$5=Inputs!$C$12)*$C$164*$D$162+(AX$5=Inputs!$C$13)*$D$164*($D$162+Inputs!$C$14))+$I$162*((AX$5=Inputs!$C$15+$K$162)*$E$164*$I$164+(AX$5=Inputs!$C$16+$K$162)*$F$164*$J$164+(AX$5=Inputs!$C$17)*$G$164*$H$162*$H$164)</f>
        <v>218.16</v>
      </c>
      <c r="AY167" s="42" t="n">
        <f aca="false">-($D$162+$J$162)*(AY$5=0)+IF(AND(AY$5-$K$162&gt;=1,AY$5-$K$162&lt;=Inputs!$C$13),INDEX($N$165:$AL$165,1,AY$5-$K$162+1)*INDEX($N$166:$AL$166,1,AY$5-$K$162+1),0)-$I$162*((AY$5=Inputs!$C$12)*$C$164*$D$162+(AY$5=Inputs!$C$13)*$D$164*($D$162+Inputs!$C$14))+$I$162*((AY$5=Inputs!$C$15+$K$162)*$E$164*$I$164+(AY$5=Inputs!$C$16+$K$162)*$F$164*$J$164+(AY$5=Inputs!$C$17)*$G$164*$H$162*$H$164)</f>
        <v>0</v>
      </c>
    </row>
    <row r="169" customFormat="false" ht="15" hidden="false" customHeight="false" outlineLevel="0" collapsed="false">
      <c r="B169" s="7" t="s">
        <v>205</v>
      </c>
      <c r="C169" s="8"/>
      <c r="D169" s="8"/>
      <c r="E169" s="8"/>
      <c r="F169" s="8"/>
      <c r="G169" s="8"/>
      <c r="H169" s="8"/>
      <c r="I169" s="8"/>
      <c r="J169" s="8"/>
      <c r="K169" s="8"/>
      <c r="L169" s="8"/>
    </row>
    <row r="170" customFormat="false" ht="30" hidden="false" customHeight="true" outlineLevel="0" collapsed="false">
      <c r="B170" s="37"/>
      <c r="C170" s="38" t="s">
        <v>169</v>
      </c>
      <c r="D170" s="38" t="s">
        <v>170</v>
      </c>
      <c r="E170" s="38" t="s">
        <v>171</v>
      </c>
      <c r="F170" s="38" t="s">
        <v>43</v>
      </c>
      <c r="G170" s="38" t="s">
        <v>44</v>
      </c>
      <c r="H170" s="38" t="s">
        <v>45</v>
      </c>
      <c r="I170" s="38" t="s">
        <v>172</v>
      </c>
      <c r="J170" s="38" t="s">
        <v>90</v>
      </c>
      <c r="K170" s="38" t="s">
        <v>89</v>
      </c>
      <c r="L170" s="38" t="s">
        <v>173</v>
      </c>
    </row>
    <row r="171" customFormat="false" ht="15" hidden="false" customHeight="false" outlineLevel="0" collapsed="false">
      <c r="B171" s="39" t="s">
        <v>174</v>
      </c>
      <c r="C171" s="26" t="n">
        <f aca="false">Class_IRR!$E$5</f>
        <v>0.03</v>
      </c>
      <c r="D171" s="30" t="n">
        <f aca="false">Inputs!$E$25</f>
        <v>9500</v>
      </c>
      <c r="E171" s="26" t="n">
        <f aca="false">Inputs!$F$25</f>
        <v>0.9</v>
      </c>
      <c r="F171" s="25" t="n">
        <f aca="false">Inputs!$G$25</f>
        <v>0.6</v>
      </c>
      <c r="G171" s="25" t="n">
        <f aca="false">Inputs!$H$25</f>
        <v>0.8</v>
      </c>
      <c r="H171" s="25" t="n">
        <f aca="false">Inputs!$I$25</f>
        <v>0.9</v>
      </c>
      <c r="I171" s="22" t="n">
        <f aca="false">Inputs!$J$25</f>
        <v>1</v>
      </c>
      <c r="J171" s="23" t="n">
        <f aca="false">Inputs!$C$9</f>
        <v>10</v>
      </c>
      <c r="K171" s="22" t="n">
        <f aca="false">Inputs!$C$10</f>
        <v>1</v>
      </c>
      <c r="L171" s="22" t="n">
        <f aca="false">1</f>
        <v>1</v>
      </c>
    </row>
    <row r="172" customFormat="false" ht="30" hidden="false" customHeight="true" outlineLevel="0" collapsed="false">
      <c r="B172" s="37"/>
      <c r="C172" s="38" t="s">
        <v>175</v>
      </c>
      <c r="D172" s="38" t="s">
        <v>176</v>
      </c>
      <c r="E172" s="38" t="s">
        <v>177</v>
      </c>
      <c r="F172" s="38" t="s">
        <v>178</v>
      </c>
      <c r="G172" s="38" t="s">
        <v>112</v>
      </c>
      <c r="H172" s="38" t="s">
        <v>179</v>
      </c>
      <c r="I172" s="38" t="s">
        <v>180</v>
      </c>
      <c r="J172" s="38" t="s">
        <v>181</v>
      </c>
      <c r="K172" s="38" t="s">
        <v>182</v>
      </c>
      <c r="L172" s="38" t="s">
        <v>183</v>
      </c>
    </row>
    <row r="173" customFormat="false" ht="15" hidden="false" customHeight="false" outlineLevel="0" collapsed="false">
      <c r="B173" s="39" t="s">
        <v>184</v>
      </c>
      <c r="C173" s="40" t="n">
        <f aca="false">1-$E$171*CHOOSE($L$171,INDEX(Timing!$C$7:$AA$7,1,Inputs!$C$12+1),INDEX(Timing!$C$8:$AA$8,1,Inputs!$C$12+1))</f>
        <v>0.316</v>
      </c>
      <c r="D173" s="40" t="n">
        <f aca="false">1-$E$171*CHOOSE($L$171,INDEX(Timing!$C$7:$AA$7,1,Inputs!$C$13+1),INDEX(Timing!$C$8:$AA$8,1,Inputs!$C$13+1))</f>
        <v>0.1</v>
      </c>
      <c r="E173" s="40" t="n">
        <f aca="false">$I$171*$D$173*$F$171</f>
        <v>0.06</v>
      </c>
      <c r="F173" s="40" t="n">
        <f aca="false">$I$171*($D$173-$E$173)*$G$171</f>
        <v>0.032</v>
      </c>
      <c r="G173" s="40" t="n">
        <f aca="false">$I$171*($D$173-$E$173-$F$173)</f>
        <v>0.008</v>
      </c>
      <c r="H173" s="23" t="n">
        <f aca="false">$I$171*(3*$D$171+Inputs!$C$14)</f>
        <v>30300</v>
      </c>
      <c r="I173" s="23" t="n">
        <f aca="false">$I$171*($D$171*(1+IF($C$171&lt;=0,0,MAX($C$171*Inputs!$C$15/12,Inputs!$C$8)))+$D$171*(1+Inputs!$C$11*(Inputs!$C$15-Inputs!$C$12)/12)+$D$171*(1+Inputs!$C$11*(Inputs!$C$15-Inputs!$C$13)/12)+Inputs!$C$14)</f>
        <v>33506.25</v>
      </c>
      <c r="J173" s="23" t="n">
        <f aca="false">$I$171*($D$171*(1+IF($C$171&lt;=0,0,MAX($C$171*Inputs!$C$16/12,Inputs!$C$8)))+$D$171*(1+Inputs!$C$11*(Inputs!$C$16-Inputs!$C$12)/12)+$D$171*(1+Inputs!$C$11*(Inputs!$C$16-Inputs!$C$13)/12)+Inputs!$C$14)</f>
        <v>34432.5</v>
      </c>
      <c r="K173" s="40" t="n">
        <f aca="false">IRR($N$176:$AY$176,0.005)</f>
        <v>0.00606580829432574</v>
      </c>
      <c r="L173" s="41" t="n">
        <f aca="false">(1+$K$173)^12-1</f>
        <v>0.0752678830281852</v>
      </c>
    </row>
    <row r="174" customFormat="false" ht="15" hidden="false" customHeight="false" outlineLevel="0" collapsed="false">
      <c r="B174" s="9" t="s">
        <v>185</v>
      </c>
      <c r="N174" s="40" t="n">
        <f aca="false">0</f>
        <v>0</v>
      </c>
      <c r="O174" s="40" t="n">
        <f aca="false">$E$171*(CHOOSE($L$171,Timing!D$7,Timing!D$8)-CHOOSE($L$171,Timing!C$7,Timing!C$8))</f>
        <v>0.108</v>
      </c>
      <c r="P174" s="40" t="n">
        <f aca="false">$E$171*(CHOOSE($L$171,Timing!E$7,Timing!E$8)-CHOOSE($L$171,Timing!D$7,Timing!D$8))</f>
        <v>0.09</v>
      </c>
      <c r="Q174" s="40" t="n">
        <f aca="false">$E$171*(CHOOSE($L$171,Timing!F$7,Timing!F$8)-CHOOSE($L$171,Timing!E$7,Timing!E$8))</f>
        <v>0.081</v>
      </c>
      <c r="R174" s="40" t="n">
        <f aca="false">$E$171*(CHOOSE($L$171,Timing!G$7,Timing!G$8)-CHOOSE($L$171,Timing!F$7,Timing!F$8))</f>
        <v>0.063</v>
      </c>
      <c r="S174" s="40" t="n">
        <f aca="false">$E$171*(CHOOSE($L$171,Timing!H$7,Timing!H$8)-CHOOSE($L$171,Timing!G$7,Timing!G$8))</f>
        <v>0.063</v>
      </c>
      <c r="T174" s="40" t="n">
        <f aca="false">$E$171*(CHOOSE($L$171,Timing!I$7,Timing!I$8)-CHOOSE($L$171,Timing!H$7,Timing!H$8))</f>
        <v>0.063</v>
      </c>
      <c r="U174" s="40" t="n">
        <f aca="false">$E$171*(CHOOSE($L$171,Timing!J$7,Timing!J$8)-CHOOSE($L$171,Timing!I$7,Timing!I$8))</f>
        <v>0.039</v>
      </c>
      <c r="V174" s="40" t="n">
        <f aca="false">$E$171*(CHOOSE($L$171,Timing!K$7,Timing!K$8)-CHOOSE($L$171,Timing!J$7,Timing!J$8))</f>
        <v>0.039</v>
      </c>
      <c r="W174" s="40" t="n">
        <f aca="false">$E$171*(CHOOSE($L$171,Timing!L$7,Timing!L$8)-CHOOSE($L$171,Timing!K$7,Timing!K$8))</f>
        <v>0.039</v>
      </c>
      <c r="X174" s="40" t="n">
        <f aca="false">$E$171*(CHOOSE($L$171,Timing!M$7,Timing!M$8)-CHOOSE($L$171,Timing!L$7,Timing!L$8))</f>
        <v>0.033</v>
      </c>
      <c r="Y174" s="40" t="n">
        <f aca="false">$E$171*(CHOOSE($L$171,Timing!N$7,Timing!N$8)-CHOOSE($L$171,Timing!M$7,Timing!M$8))</f>
        <v>0.0330000000000001</v>
      </c>
      <c r="Z174" s="40" t="n">
        <f aca="false">$E$171*(CHOOSE($L$171,Timing!O$7,Timing!O$8)-CHOOSE($L$171,Timing!N$7,Timing!N$8))</f>
        <v>0.033</v>
      </c>
      <c r="AA174" s="40" t="n">
        <f aca="false">$E$171*(CHOOSE($L$171,Timing!P$7,Timing!P$8)-CHOOSE($L$171,Timing!O$7,Timing!O$8))</f>
        <v>0.021</v>
      </c>
      <c r="AB174" s="40" t="n">
        <f aca="false">$E$171*(CHOOSE($L$171,Timing!Q$7,Timing!Q$8)-CHOOSE($L$171,Timing!P$7,Timing!P$8))</f>
        <v>0.021</v>
      </c>
      <c r="AC174" s="40" t="n">
        <f aca="false">$E$171*(CHOOSE($L$171,Timing!R$7,Timing!R$8)-CHOOSE($L$171,Timing!Q$7,Timing!Q$8))</f>
        <v>0.0210000000000001</v>
      </c>
      <c r="AD174" s="40" t="n">
        <f aca="false">$E$171*(CHOOSE($L$171,Timing!S$7,Timing!S$8)-CHOOSE($L$171,Timing!R$7,Timing!R$8))</f>
        <v>0.021</v>
      </c>
      <c r="AE174" s="40" t="n">
        <f aca="false">$E$171*(CHOOSE($L$171,Timing!T$7,Timing!T$8)-CHOOSE($L$171,Timing!S$7,Timing!S$8))</f>
        <v>0.021</v>
      </c>
      <c r="AF174" s="40" t="n">
        <f aca="false">$E$171*(CHOOSE($L$171,Timing!U$7,Timing!U$8)-CHOOSE($L$171,Timing!T$7,Timing!T$8))</f>
        <v>0.021</v>
      </c>
      <c r="AG174" s="40" t="n">
        <f aca="false">$E$171*(CHOOSE($L$171,Timing!V$7,Timing!V$8)-CHOOSE($L$171,Timing!U$7,Timing!U$8))</f>
        <v>0.015</v>
      </c>
      <c r="AH174" s="40" t="n">
        <f aca="false">$E$171*(CHOOSE($L$171,Timing!W$7,Timing!W$8)-CHOOSE($L$171,Timing!V$7,Timing!V$8))</f>
        <v>0.0149999999999999</v>
      </c>
      <c r="AI174" s="40" t="n">
        <f aca="false">$E$171*(CHOOSE($L$171,Timing!X$7,Timing!X$8)-CHOOSE($L$171,Timing!W$7,Timing!W$8))</f>
        <v>0.0149999999999999</v>
      </c>
      <c r="AJ174" s="40" t="n">
        <f aca="false">$E$171*(CHOOSE($L$171,Timing!Y$7,Timing!Y$8)-CHOOSE($L$171,Timing!X$7,Timing!X$8))</f>
        <v>0.015</v>
      </c>
      <c r="AK174" s="40" t="n">
        <f aca="false">$E$171*(CHOOSE($L$171,Timing!Z$7,Timing!Z$8)-CHOOSE($L$171,Timing!Y$7,Timing!Y$8))</f>
        <v>0.015</v>
      </c>
      <c r="AL174" s="40" t="n">
        <f aca="false">$E$171*(CHOOSE($L$171,Timing!AA$7,Timing!AA$8)-CHOOSE($L$171,Timing!Z$7,Timing!Z$8))</f>
        <v>0.0149999999999999</v>
      </c>
    </row>
    <row r="175" customFormat="false" ht="15" hidden="false" customHeight="false" outlineLevel="0" collapsed="false">
      <c r="B175" s="9" t="s">
        <v>186</v>
      </c>
      <c r="N175" s="42" t="n">
        <f aca="false">0</f>
        <v>0</v>
      </c>
      <c r="O175" s="42" t="n">
        <f aca="false">$D$171*(1+IF($C$171&lt;=0,0,MAX($C$171*O$5/12,Inputs!$C$8)))+$I$171*(O$5&gt;Inputs!$C$12)*$D$171*(1+Inputs!$C$11*(O$5-Inputs!$C$12)/12)</f>
        <v>9975</v>
      </c>
      <c r="P175" s="42" t="n">
        <f aca="false">$D$171*(1+IF($C$171&lt;=0,0,MAX($C$171*P$5/12,Inputs!$C$8)))+$I$171*(P$5&gt;Inputs!$C$12)*$D$171*(1+Inputs!$C$11*(P$5-Inputs!$C$12)/12)</f>
        <v>9975</v>
      </c>
      <c r="Q175" s="42" t="n">
        <f aca="false">$D$171*(1+IF($C$171&lt;=0,0,MAX($C$171*Q$5/12,Inputs!$C$8)))+$I$171*(Q$5&gt;Inputs!$C$12)*$D$171*(1+Inputs!$C$11*(Q$5-Inputs!$C$12)/12)</f>
        <v>9975</v>
      </c>
      <c r="R175" s="42" t="n">
        <f aca="false">$D$171*(1+IF($C$171&lt;=0,0,MAX($C$171*R$5/12,Inputs!$C$8)))+$I$171*(R$5&gt;Inputs!$C$12)*$D$171*(1+Inputs!$C$11*(R$5-Inputs!$C$12)/12)</f>
        <v>9975</v>
      </c>
      <c r="S175" s="42" t="n">
        <f aca="false">$D$171*(1+IF($C$171&lt;=0,0,MAX($C$171*S$5/12,Inputs!$C$8)))+$I$171*(S$5&gt;Inputs!$C$12)*$D$171*(1+Inputs!$C$11*(S$5-Inputs!$C$12)/12)</f>
        <v>9975</v>
      </c>
      <c r="T175" s="42" t="n">
        <f aca="false">$D$171*(1+IF($C$171&lt;=0,0,MAX($C$171*T$5/12,Inputs!$C$8)))+$I$171*(T$5&gt;Inputs!$C$12)*$D$171*(1+Inputs!$C$11*(T$5-Inputs!$C$12)/12)</f>
        <v>9975</v>
      </c>
      <c r="U175" s="42" t="n">
        <f aca="false">$D$171*(1+IF($C$171&lt;=0,0,MAX($C$171*U$5/12,Inputs!$C$8)))+$I$171*(U$5&gt;Inputs!$C$12)*$D$171*(1+Inputs!$C$11*(U$5-Inputs!$C$12)/12)</f>
        <v>9975</v>
      </c>
      <c r="V175" s="42" t="n">
        <f aca="false">$D$171*(1+IF($C$171&lt;=0,0,MAX($C$171*V$5/12,Inputs!$C$8)))+$I$171*(V$5&gt;Inputs!$C$12)*$D$171*(1+Inputs!$C$11*(V$5-Inputs!$C$12)/12)</f>
        <v>9975</v>
      </c>
      <c r="W175" s="42" t="n">
        <f aca="false">$D$171*(1+IF($C$171&lt;=0,0,MAX($C$171*W$5/12,Inputs!$C$8)))+$I$171*(W$5&gt;Inputs!$C$12)*$D$171*(1+Inputs!$C$11*(W$5-Inputs!$C$12)/12)</f>
        <v>9975</v>
      </c>
      <c r="X175" s="42" t="n">
        <f aca="false">$D$171*(1+IF($C$171&lt;=0,0,MAX($C$171*X$5/12,Inputs!$C$8)))+$I$171*(X$5&gt;Inputs!$C$12)*$D$171*(1+Inputs!$C$11*(X$5-Inputs!$C$12)/12)</f>
        <v>9975</v>
      </c>
      <c r="Y175" s="42" t="n">
        <f aca="false">$D$171*(1+IF($C$171&lt;=0,0,MAX($C$171*Y$5/12,Inputs!$C$8)))+$I$171*(Y$5&gt;Inputs!$C$12)*$D$171*(1+Inputs!$C$11*(Y$5-Inputs!$C$12)/12)</f>
        <v>9975</v>
      </c>
      <c r="Z175" s="42" t="n">
        <f aca="false">$D$171*(1+IF($C$171&lt;=0,0,MAX($C$171*Z$5/12,Inputs!$C$8)))+$I$171*(Z$5&gt;Inputs!$C$12)*$D$171*(1+Inputs!$C$11*(Z$5-Inputs!$C$12)/12)</f>
        <v>9975</v>
      </c>
      <c r="AA175" s="42" t="n">
        <f aca="false">$D$171*(1+IF($C$171&lt;=0,0,MAX($C$171*AA$5/12,Inputs!$C$8)))+$I$171*(AA$5&gt;Inputs!$C$12)*$D$171*(1+Inputs!$C$11*(AA$5-Inputs!$C$12)/12)</f>
        <v>19617.5</v>
      </c>
      <c r="AB175" s="42" t="n">
        <f aca="false">$D$171*(1+IF($C$171&lt;=0,0,MAX($C$171*AB$5/12,Inputs!$C$8)))+$I$171*(AB$5&gt;Inputs!$C$12)*$D$171*(1+Inputs!$C$11*(AB$5-Inputs!$C$12)/12)</f>
        <v>19760</v>
      </c>
      <c r="AC175" s="42" t="n">
        <f aca="false">$D$171*(1+IF($C$171&lt;=0,0,MAX($C$171*AC$5/12,Inputs!$C$8)))+$I$171*(AC$5&gt;Inputs!$C$12)*$D$171*(1+Inputs!$C$11*(AC$5-Inputs!$C$12)/12)</f>
        <v>19902.5</v>
      </c>
      <c r="AD175" s="42" t="n">
        <f aca="false">$D$171*(1+IF($C$171&lt;=0,0,MAX($C$171*AD$5/12,Inputs!$C$8)))+$I$171*(AD$5&gt;Inputs!$C$12)*$D$171*(1+Inputs!$C$11*(AD$5-Inputs!$C$12)/12)</f>
        <v>20045</v>
      </c>
      <c r="AE175" s="42" t="n">
        <f aca="false">$D$171*(1+IF($C$171&lt;=0,0,MAX($C$171*AE$5/12,Inputs!$C$8)))+$I$171*(AE$5&gt;Inputs!$C$12)*$D$171*(1+Inputs!$C$11*(AE$5-Inputs!$C$12)/12)</f>
        <v>20187.5</v>
      </c>
      <c r="AF175" s="42" t="n">
        <f aca="false">$D$171*(1+IF($C$171&lt;=0,0,MAX($C$171*AF$5/12,Inputs!$C$8)))+$I$171*(AF$5&gt;Inputs!$C$12)*$D$171*(1+Inputs!$C$11*(AF$5-Inputs!$C$12)/12)</f>
        <v>20330</v>
      </c>
      <c r="AG175" s="42" t="n">
        <f aca="false">$D$171*(1+IF($C$171&lt;=0,0,MAX($C$171*AG$5/12,Inputs!$C$8)))+$I$171*(AG$5&gt;Inputs!$C$12)*$D$171*(1+Inputs!$C$11*(AG$5-Inputs!$C$12)/12)</f>
        <v>20472.5</v>
      </c>
      <c r="AH175" s="42" t="n">
        <f aca="false">$D$171*(1+IF($C$171&lt;=0,0,MAX($C$171*AH$5/12,Inputs!$C$8)))+$I$171*(AH$5&gt;Inputs!$C$12)*$D$171*(1+Inputs!$C$11*(AH$5-Inputs!$C$12)/12)</f>
        <v>20615</v>
      </c>
      <c r="AI175" s="42" t="n">
        <f aca="false">$D$171*(1+IF($C$171&lt;=0,0,MAX($C$171*AI$5/12,Inputs!$C$8)))+$I$171*(AI$5&gt;Inputs!$C$12)*$D$171*(1+Inputs!$C$11*(AI$5-Inputs!$C$12)/12)</f>
        <v>20781.25</v>
      </c>
      <c r="AJ175" s="42" t="n">
        <f aca="false">$D$171*(1+IF($C$171&lt;=0,0,MAX($C$171*AJ$5/12,Inputs!$C$8)))+$I$171*(AJ$5&gt;Inputs!$C$12)*$D$171*(1+Inputs!$C$11*(AJ$5-Inputs!$C$12)/12)</f>
        <v>20947.5</v>
      </c>
      <c r="AK175" s="42" t="n">
        <f aca="false">$D$171*(1+IF($C$171&lt;=0,0,MAX($C$171*AK$5/12,Inputs!$C$8)))+$I$171*(AK$5&gt;Inputs!$C$12)*$D$171*(1+Inputs!$C$11*(AK$5-Inputs!$C$12)/12)</f>
        <v>21113.75</v>
      </c>
      <c r="AL175" s="42" t="n">
        <f aca="false">$D$171*(1+IF($C$171&lt;=0,0,MAX($C$171*AL$5/12,Inputs!$C$8)))+$I$171*(AL$5&gt;Inputs!$C$12)*$D$171*(1+Inputs!$C$11*(AL$5-Inputs!$C$12)/12)</f>
        <v>21280</v>
      </c>
    </row>
    <row r="176" customFormat="false" ht="15" hidden="false" customHeight="false" outlineLevel="0" collapsed="false">
      <c r="B176" s="31" t="s">
        <v>187</v>
      </c>
      <c r="N176" s="42" t="n">
        <f aca="false">-($D$171+$J$171)*(N$5=0)+IF(AND(N$5-$K$171&gt;=1,N$5-$K$171&lt;=Inputs!$C$13),INDEX($N$174:$AL$174,1,N$5-$K$171+1)*INDEX($N$175:$AL$175,1,N$5-$K$171+1),0)-$I$171*((N$5=Inputs!$C$12)*$C$173*$D$171+(N$5=Inputs!$C$13)*$D$173*($D$171+Inputs!$C$14))+$I$171*((N$5=Inputs!$C$15+$K$171)*$E$173*$I$173+(N$5=Inputs!$C$16+$K$171)*$F$173*$J$173+(N$5=Inputs!$C$17)*$G$173*$H$171*$H$173)</f>
        <v>-9510</v>
      </c>
      <c r="O176" s="42" t="n">
        <f aca="false">-($D$171+$J$171)*(O$5=0)+IF(AND(O$5-$K$171&gt;=1,O$5-$K$171&lt;=Inputs!$C$13),INDEX($N$174:$AL$174,1,O$5-$K$171+1)*INDEX($N$175:$AL$175,1,O$5-$K$171+1),0)-$I$171*((O$5=Inputs!$C$12)*$C$173*$D$171+(O$5=Inputs!$C$13)*$D$173*($D$171+Inputs!$C$14))+$I$171*((O$5=Inputs!$C$15+$K$171)*$E$173*$I$173+(O$5=Inputs!$C$16+$K$171)*$F$173*$J$173+(O$5=Inputs!$C$17)*$G$173*$H$171*$H$173)</f>
        <v>0</v>
      </c>
      <c r="P176" s="42" t="n">
        <f aca="false">-($D$171+$J$171)*(P$5=0)+IF(AND(P$5-$K$171&gt;=1,P$5-$K$171&lt;=Inputs!$C$13),INDEX($N$174:$AL$174,1,P$5-$K$171+1)*INDEX($N$175:$AL$175,1,P$5-$K$171+1),0)-$I$171*((P$5=Inputs!$C$12)*$C$173*$D$171+(P$5=Inputs!$C$13)*$D$173*($D$171+Inputs!$C$14))+$I$171*((P$5=Inputs!$C$15+$K$171)*$E$173*$I$173+(P$5=Inputs!$C$16+$K$171)*$F$173*$J$173+(P$5=Inputs!$C$17)*$G$173*$H$171*$H$173)</f>
        <v>1077.3</v>
      </c>
      <c r="Q176" s="42" t="n">
        <f aca="false">-($D$171+$J$171)*(Q$5=0)+IF(AND(Q$5-$K$171&gt;=1,Q$5-$K$171&lt;=Inputs!$C$13),INDEX($N$174:$AL$174,1,Q$5-$K$171+1)*INDEX($N$175:$AL$175,1,Q$5-$K$171+1),0)-$I$171*((Q$5=Inputs!$C$12)*$C$173*$D$171+(Q$5=Inputs!$C$13)*$D$173*($D$171+Inputs!$C$14))+$I$171*((Q$5=Inputs!$C$15+$K$171)*$E$173*$I$173+(Q$5=Inputs!$C$16+$K$171)*$F$173*$J$173+(Q$5=Inputs!$C$17)*$G$173*$H$171*$H$173)</f>
        <v>897.75</v>
      </c>
      <c r="R176" s="42" t="n">
        <f aca="false">-($D$171+$J$171)*(R$5=0)+IF(AND(R$5-$K$171&gt;=1,R$5-$K$171&lt;=Inputs!$C$13),INDEX($N$174:$AL$174,1,R$5-$K$171+1)*INDEX($N$175:$AL$175,1,R$5-$K$171+1),0)-$I$171*((R$5=Inputs!$C$12)*$C$173*$D$171+(R$5=Inputs!$C$13)*$D$173*($D$171+Inputs!$C$14))+$I$171*((R$5=Inputs!$C$15+$K$171)*$E$173*$I$173+(R$5=Inputs!$C$16+$K$171)*$F$173*$J$173+(R$5=Inputs!$C$17)*$G$173*$H$171*$H$173)</f>
        <v>807.975</v>
      </c>
      <c r="S176" s="42" t="n">
        <f aca="false">-($D$171+$J$171)*(S$5=0)+IF(AND(S$5-$K$171&gt;=1,S$5-$K$171&lt;=Inputs!$C$13),INDEX($N$174:$AL$174,1,S$5-$K$171+1)*INDEX($N$175:$AL$175,1,S$5-$K$171+1),0)-$I$171*((S$5=Inputs!$C$12)*$C$173*$D$171+(S$5=Inputs!$C$13)*$D$173*($D$171+Inputs!$C$14))+$I$171*((S$5=Inputs!$C$15+$K$171)*$E$173*$I$173+(S$5=Inputs!$C$16+$K$171)*$F$173*$J$173+(S$5=Inputs!$C$17)*$G$173*$H$171*$H$173)</f>
        <v>628.425</v>
      </c>
      <c r="T176" s="42" t="n">
        <f aca="false">-($D$171+$J$171)*(T$5=0)+IF(AND(T$5-$K$171&gt;=1,T$5-$K$171&lt;=Inputs!$C$13),INDEX($N$174:$AL$174,1,T$5-$K$171+1)*INDEX($N$175:$AL$175,1,T$5-$K$171+1),0)-$I$171*((T$5=Inputs!$C$12)*$C$173*$D$171+(T$5=Inputs!$C$13)*$D$173*($D$171+Inputs!$C$14))+$I$171*((T$5=Inputs!$C$15+$K$171)*$E$173*$I$173+(T$5=Inputs!$C$16+$K$171)*$F$173*$J$173+(T$5=Inputs!$C$17)*$G$173*$H$171*$H$173)</f>
        <v>628.425</v>
      </c>
      <c r="U176" s="42" t="n">
        <f aca="false">-($D$171+$J$171)*(U$5=0)+IF(AND(U$5-$K$171&gt;=1,U$5-$K$171&lt;=Inputs!$C$13),INDEX($N$174:$AL$174,1,U$5-$K$171+1)*INDEX($N$175:$AL$175,1,U$5-$K$171+1),0)-$I$171*((U$5=Inputs!$C$12)*$C$173*$D$171+(U$5=Inputs!$C$13)*$D$173*($D$171+Inputs!$C$14))+$I$171*((U$5=Inputs!$C$15+$K$171)*$E$173*$I$173+(U$5=Inputs!$C$16+$K$171)*$F$173*$J$173+(U$5=Inputs!$C$17)*$G$173*$H$171*$H$173)</f>
        <v>628.425</v>
      </c>
      <c r="V176" s="42" t="n">
        <f aca="false">-($D$171+$J$171)*(V$5=0)+IF(AND(V$5-$K$171&gt;=1,V$5-$K$171&lt;=Inputs!$C$13),INDEX($N$174:$AL$174,1,V$5-$K$171+1)*INDEX($N$175:$AL$175,1,V$5-$K$171+1),0)-$I$171*((V$5=Inputs!$C$12)*$C$173*$D$171+(V$5=Inputs!$C$13)*$D$173*($D$171+Inputs!$C$14))+$I$171*((V$5=Inputs!$C$15+$K$171)*$E$173*$I$173+(V$5=Inputs!$C$16+$K$171)*$F$173*$J$173+(V$5=Inputs!$C$17)*$G$173*$H$171*$H$173)</f>
        <v>389.025</v>
      </c>
      <c r="W176" s="42" t="n">
        <f aca="false">-($D$171+$J$171)*(W$5=0)+IF(AND(W$5-$K$171&gt;=1,W$5-$K$171&lt;=Inputs!$C$13),INDEX($N$174:$AL$174,1,W$5-$K$171+1)*INDEX($N$175:$AL$175,1,W$5-$K$171+1),0)-$I$171*((W$5=Inputs!$C$12)*$C$173*$D$171+(W$5=Inputs!$C$13)*$D$173*($D$171+Inputs!$C$14))+$I$171*((W$5=Inputs!$C$15+$K$171)*$E$173*$I$173+(W$5=Inputs!$C$16+$K$171)*$F$173*$J$173+(W$5=Inputs!$C$17)*$G$173*$H$171*$H$173)</f>
        <v>389.025</v>
      </c>
      <c r="X176" s="42" t="n">
        <f aca="false">-($D$171+$J$171)*(X$5=0)+IF(AND(X$5-$K$171&gt;=1,X$5-$K$171&lt;=Inputs!$C$13),INDEX($N$174:$AL$174,1,X$5-$K$171+1)*INDEX($N$175:$AL$175,1,X$5-$K$171+1),0)-$I$171*((X$5=Inputs!$C$12)*$C$173*$D$171+(X$5=Inputs!$C$13)*$D$173*($D$171+Inputs!$C$14))+$I$171*((X$5=Inputs!$C$15+$K$171)*$E$173*$I$173+(X$5=Inputs!$C$16+$K$171)*$F$173*$J$173+(X$5=Inputs!$C$17)*$G$173*$H$171*$H$173)</f>
        <v>389.025</v>
      </c>
      <c r="Y176" s="42" t="n">
        <f aca="false">-($D$171+$J$171)*(Y$5=0)+IF(AND(Y$5-$K$171&gt;=1,Y$5-$K$171&lt;=Inputs!$C$13),INDEX($N$174:$AL$174,1,Y$5-$K$171+1)*INDEX($N$175:$AL$175,1,Y$5-$K$171+1),0)-$I$171*((Y$5=Inputs!$C$12)*$C$173*$D$171+(Y$5=Inputs!$C$13)*$D$173*($D$171+Inputs!$C$14))+$I$171*((Y$5=Inputs!$C$15+$K$171)*$E$173*$I$173+(Y$5=Inputs!$C$16+$K$171)*$F$173*$J$173+(Y$5=Inputs!$C$17)*$G$173*$H$171*$H$173)</f>
        <v>329.175</v>
      </c>
      <c r="Z176" s="42" t="n">
        <f aca="false">-($D$171+$J$171)*(Z$5=0)+IF(AND(Z$5-$K$171&gt;=1,Z$5-$K$171&lt;=Inputs!$C$13),INDEX($N$174:$AL$174,1,Z$5-$K$171+1)*INDEX($N$175:$AL$175,1,Z$5-$K$171+1),0)-$I$171*((Z$5=Inputs!$C$12)*$C$173*$D$171+(Z$5=Inputs!$C$13)*$D$173*($D$171+Inputs!$C$14))+$I$171*((Z$5=Inputs!$C$15+$K$171)*$E$173*$I$173+(Z$5=Inputs!$C$16+$K$171)*$F$173*$J$173+(Z$5=Inputs!$C$17)*$G$173*$H$171*$H$173)</f>
        <v>-2672.825</v>
      </c>
      <c r="AA176" s="42" t="n">
        <f aca="false">-($D$171+$J$171)*(AA$5=0)+IF(AND(AA$5-$K$171&gt;=1,AA$5-$K$171&lt;=Inputs!$C$13),INDEX($N$174:$AL$174,1,AA$5-$K$171+1)*INDEX($N$175:$AL$175,1,AA$5-$K$171+1),0)-$I$171*((AA$5=Inputs!$C$12)*$C$173*$D$171+(AA$5=Inputs!$C$13)*$D$173*($D$171+Inputs!$C$14))+$I$171*((AA$5=Inputs!$C$15+$K$171)*$E$173*$I$173+(AA$5=Inputs!$C$16+$K$171)*$F$173*$J$173+(AA$5=Inputs!$C$17)*$G$173*$H$171*$H$173)</f>
        <v>329.175</v>
      </c>
      <c r="AB176" s="42" t="n">
        <f aca="false">-($D$171+$J$171)*(AB$5=0)+IF(AND(AB$5-$K$171&gt;=1,AB$5-$K$171&lt;=Inputs!$C$13),INDEX($N$174:$AL$174,1,AB$5-$K$171+1)*INDEX($N$175:$AL$175,1,AB$5-$K$171+1),0)-$I$171*((AB$5=Inputs!$C$12)*$C$173*$D$171+(AB$5=Inputs!$C$13)*$D$173*($D$171+Inputs!$C$14))+$I$171*((AB$5=Inputs!$C$15+$K$171)*$E$173*$I$173+(AB$5=Inputs!$C$16+$K$171)*$F$173*$J$173+(AB$5=Inputs!$C$17)*$G$173*$H$171*$H$173)</f>
        <v>411.9675</v>
      </c>
      <c r="AC176" s="42" t="n">
        <f aca="false">-($D$171+$J$171)*(AC$5=0)+IF(AND(AC$5-$K$171&gt;=1,AC$5-$K$171&lt;=Inputs!$C$13),INDEX($N$174:$AL$174,1,AC$5-$K$171+1)*INDEX($N$175:$AL$175,1,AC$5-$K$171+1),0)-$I$171*((AC$5=Inputs!$C$12)*$C$173*$D$171+(AC$5=Inputs!$C$13)*$D$173*($D$171+Inputs!$C$14))+$I$171*((AC$5=Inputs!$C$15+$K$171)*$E$173*$I$173+(AC$5=Inputs!$C$16+$K$171)*$F$173*$J$173+(AC$5=Inputs!$C$17)*$G$173*$H$171*$H$173)</f>
        <v>414.96</v>
      </c>
      <c r="AD176" s="42" t="n">
        <f aca="false">-($D$171+$J$171)*(AD$5=0)+IF(AND(AD$5-$K$171&gt;=1,AD$5-$K$171&lt;=Inputs!$C$13),INDEX($N$174:$AL$174,1,AD$5-$K$171+1)*INDEX($N$175:$AL$175,1,AD$5-$K$171+1),0)-$I$171*((AD$5=Inputs!$C$12)*$C$173*$D$171+(AD$5=Inputs!$C$13)*$D$173*($D$171+Inputs!$C$14))+$I$171*((AD$5=Inputs!$C$15+$K$171)*$E$173*$I$173+(AD$5=Inputs!$C$16+$K$171)*$F$173*$J$173+(AD$5=Inputs!$C$17)*$G$173*$H$171*$H$173)</f>
        <v>417.952500000002</v>
      </c>
      <c r="AE176" s="42" t="n">
        <f aca="false">-($D$171+$J$171)*(AE$5=0)+IF(AND(AE$5-$K$171&gt;=1,AE$5-$K$171&lt;=Inputs!$C$13),INDEX($N$174:$AL$174,1,AE$5-$K$171+1)*INDEX($N$175:$AL$175,1,AE$5-$K$171+1),0)-$I$171*((AE$5=Inputs!$C$12)*$C$173*$D$171+(AE$5=Inputs!$C$13)*$D$173*($D$171+Inputs!$C$14))+$I$171*((AE$5=Inputs!$C$15+$K$171)*$E$173*$I$173+(AE$5=Inputs!$C$16+$K$171)*$F$173*$J$173+(AE$5=Inputs!$C$17)*$G$173*$H$171*$H$173)</f>
        <v>420.945</v>
      </c>
      <c r="AF176" s="42" t="n">
        <f aca="false">-($D$171+$J$171)*(AF$5=0)+IF(AND(AF$5-$K$171&gt;=1,AF$5-$K$171&lt;=Inputs!$C$13),INDEX($N$174:$AL$174,1,AF$5-$K$171+1)*INDEX($N$175:$AL$175,1,AF$5-$K$171+1),0)-$I$171*((AF$5=Inputs!$C$12)*$C$173*$D$171+(AF$5=Inputs!$C$13)*$D$173*($D$171+Inputs!$C$14))+$I$171*((AF$5=Inputs!$C$15+$K$171)*$E$173*$I$173+(AF$5=Inputs!$C$16+$K$171)*$F$173*$J$173+(AF$5=Inputs!$C$17)*$G$173*$H$171*$H$173)</f>
        <v>423.9375</v>
      </c>
      <c r="AG176" s="42" t="n">
        <f aca="false">-($D$171+$J$171)*(AG$5=0)+IF(AND(AG$5-$K$171&gt;=1,AG$5-$K$171&lt;=Inputs!$C$13),INDEX($N$174:$AL$174,1,AG$5-$K$171+1)*INDEX($N$175:$AL$175,1,AG$5-$K$171+1),0)-$I$171*((AG$5=Inputs!$C$12)*$C$173*$D$171+(AG$5=Inputs!$C$13)*$D$173*($D$171+Inputs!$C$14))+$I$171*((AG$5=Inputs!$C$15+$K$171)*$E$173*$I$173+(AG$5=Inputs!$C$16+$K$171)*$F$173*$J$173+(AG$5=Inputs!$C$17)*$G$173*$H$171*$H$173)</f>
        <v>426.93</v>
      </c>
      <c r="AH176" s="42" t="n">
        <f aca="false">-($D$171+$J$171)*(AH$5=0)+IF(AND(AH$5-$K$171&gt;=1,AH$5-$K$171&lt;=Inputs!$C$13),INDEX($N$174:$AL$174,1,AH$5-$K$171+1)*INDEX($N$175:$AL$175,1,AH$5-$K$171+1),0)-$I$171*((AH$5=Inputs!$C$12)*$C$173*$D$171+(AH$5=Inputs!$C$13)*$D$173*($D$171+Inputs!$C$14))+$I$171*((AH$5=Inputs!$C$15+$K$171)*$E$173*$I$173+(AH$5=Inputs!$C$16+$K$171)*$F$173*$J$173+(AH$5=Inputs!$C$17)*$G$173*$H$171*$H$173)</f>
        <v>307.087500000001</v>
      </c>
      <c r="AI176" s="42" t="n">
        <f aca="false">-($D$171+$J$171)*(AI$5=0)+IF(AND(AI$5-$K$171&gt;=1,AI$5-$K$171&lt;=Inputs!$C$13),INDEX($N$174:$AL$174,1,AI$5-$K$171+1)*INDEX($N$175:$AL$175,1,AI$5-$K$171+1),0)-$I$171*((AI$5=Inputs!$C$12)*$C$173*$D$171+(AI$5=Inputs!$C$13)*$D$173*($D$171+Inputs!$C$14))+$I$171*((AI$5=Inputs!$C$15+$K$171)*$E$173*$I$173+(AI$5=Inputs!$C$16+$K$171)*$F$173*$J$173+(AI$5=Inputs!$C$17)*$G$173*$H$171*$H$173)</f>
        <v>309.224999999999</v>
      </c>
      <c r="AJ176" s="42" t="n">
        <f aca="false">-($D$171+$J$171)*(AJ$5=0)+IF(AND(AJ$5-$K$171&gt;=1,AJ$5-$K$171&lt;=Inputs!$C$13),INDEX($N$174:$AL$174,1,AJ$5-$K$171+1)*INDEX($N$175:$AL$175,1,AJ$5-$K$171+1),0)-$I$171*((AJ$5=Inputs!$C$12)*$C$173*$D$171+(AJ$5=Inputs!$C$13)*$D$173*($D$171+Inputs!$C$14))+$I$171*((AJ$5=Inputs!$C$15+$K$171)*$E$173*$I$173+(AJ$5=Inputs!$C$16+$K$171)*$F$173*$J$173+(AJ$5=Inputs!$C$17)*$G$173*$H$171*$H$173)</f>
        <v>311.718749999999</v>
      </c>
      <c r="AK176" s="42" t="n">
        <f aca="false">-($D$171+$J$171)*(AK$5=0)+IF(AND(AK$5-$K$171&gt;=1,AK$5-$K$171&lt;=Inputs!$C$13),INDEX($N$174:$AL$174,1,AK$5-$K$171+1)*INDEX($N$175:$AL$175,1,AK$5-$K$171+1),0)-$I$171*((AK$5=Inputs!$C$12)*$C$173*$D$171+(AK$5=Inputs!$C$13)*$D$173*($D$171+Inputs!$C$14))+$I$171*((AK$5=Inputs!$C$15+$K$171)*$E$173*$I$173+(AK$5=Inputs!$C$16+$K$171)*$F$173*$J$173+(AK$5=Inputs!$C$17)*$G$173*$H$171*$H$173)</f>
        <v>314.212500000001</v>
      </c>
      <c r="AL176" s="42" t="n">
        <f aca="false">-($D$171+$J$171)*(AL$5=0)+IF(AND(AL$5-$K$171&gt;=1,AL$5-$K$171&lt;=Inputs!$C$13),INDEX($N$174:$AL$174,1,AL$5-$K$171+1)*INDEX($N$175:$AL$175,1,AL$5-$K$171+1),0)-$I$171*((AL$5=Inputs!$C$12)*$C$173*$D$171+(AL$5=Inputs!$C$13)*$D$173*($D$171+Inputs!$C$14))+$I$171*((AL$5=Inputs!$C$15+$K$171)*$E$173*$I$173+(AL$5=Inputs!$C$16+$K$171)*$F$173*$J$173+(AL$5=Inputs!$C$17)*$G$173*$H$171*$H$173)</f>
        <v>-813.293749999999</v>
      </c>
      <c r="AM176" s="42" t="n">
        <f aca="false">-($D$171+$J$171)*(AM$5=0)+IF(AND(AM$5-$K$171&gt;=1,AM$5-$K$171&lt;=Inputs!$C$13),INDEX($N$174:$AL$174,1,AM$5-$K$171+1)*INDEX($N$175:$AL$175,1,AM$5-$K$171+1),0)-$I$171*((AM$5=Inputs!$C$12)*$C$173*$D$171+(AM$5=Inputs!$C$13)*$D$173*($D$171+Inputs!$C$14))+$I$171*((AM$5=Inputs!$C$15+$K$171)*$E$173*$I$173+(AM$5=Inputs!$C$16+$K$171)*$F$173*$J$173+(AM$5=Inputs!$C$17)*$G$173*$H$171*$H$173)</f>
        <v>319.199999999999</v>
      </c>
      <c r="AN176" s="42" t="n">
        <f aca="false">-($D$171+$J$171)*(AN$5=0)+IF(AND(AN$5-$K$171&gt;=1,AN$5-$K$171&lt;=Inputs!$C$13),INDEX($N$174:$AL$174,1,AN$5-$K$171+1)*INDEX($N$175:$AL$175,1,AN$5-$K$171+1),0)-$I$171*((AN$5=Inputs!$C$12)*$C$173*$D$171+(AN$5=Inputs!$C$13)*$D$173*($D$171+Inputs!$C$14))+$I$171*((AN$5=Inputs!$C$15+$K$171)*$E$173*$I$173+(AN$5=Inputs!$C$16+$K$171)*$F$173*$J$173+(AN$5=Inputs!$C$17)*$G$173*$H$171*$H$173)</f>
        <v>0</v>
      </c>
      <c r="AO176" s="42" t="n">
        <f aca="false">-($D$171+$J$171)*(AO$5=0)+IF(AND(AO$5-$K$171&gt;=1,AO$5-$K$171&lt;=Inputs!$C$13),INDEX($N$174:$AL$174,1,AO$5-$K$171+1)*INDEX($N$175:$AL$175,1,AO$5-$K$171+1),0)-$I$171*((AO$5=Inputs!$C$12)*$C$173*$D$171+(AO$5=Inputs!$C$13)*$D$173*($D$171+Inputs!$C$14))+$I$171*((AO$5=Inputs!$C$15+$K$171)*$E$173*$I$173+(AO$5=Inputs!$C$16+$K$171)*$F$173*$J$173+(AO$5=Inputs!$C$17)*$G$173*$H$171*$H$173)</f>
        <v>0</v>
      </c>
      <c r="AP176" s="42" t="n">
        <f aca="false">-($D$171+$J$171)*(AP$5=0)+IF(AND(AP$5-$K$171&gt;=1,AP$5-$K$171&lt;=Inputs!$C$13),INDEX($N$174:$AL$174,1,AP$5-$K$171+1)*INDEX($N$175:$AL$175,1,AP$5-$K$171+1),0)-$I$171*((AP$5=Inputs!$C$12)*$C$173*$D$171+(AP$5=Inputs!$C$13)*$D$173*($D$171+Inputs!$C$14))+$I$171*((AP$5=Inputs!$C$15+$K$171)*$E$173*$I$173+(AP$5=Inputs!$C$16+$K$171)*$F$173*$J$173+(AP$5=Inputs!$C$17)*$G$173*$H$171*$H$173)</f>
        <v>2010.375</v>
      </c>
      <c r="AQ176" s="42" t="n">
        <f aca="false">-($D$171+$J$171)*(AQ$5=0)+IF(AND(AQ$5-$K$171&gt;=1,AQ$5-$K$171&lt;=Inputs!$C$13),INDEX($N$174:$AL$174,1,AQ$5-$K$171+1)*INDEX($N$175:$AL$175,1,AQ$5-$K$171+1),0)-$I$171*((AQ$5=Inputs!$C$12)*$C$173*$D$171+(AQ$5=Inputs!$C$13)*$D$173*($D$171+Inputs!$C$14))+$I$171*((AQ$5=Inputs!$C$15+$K$171)*$E$173*$I$173+(AQ$5=Inputs!$C$16+$K$171)*$F$173*$J$173+(AQ$5=Inputs!$C$17)*$G$173*$H$171*$H$173)</f>
        <v>0</v>
      </c>
      <c r="AR176" s="42" t="n">
        <f aca="false">-($D$171+$J$171)*(AR$5=0)+IF(AND(AR$5-$K$171&gt;=1,AR$5-$K$171&lt;=Inputs!$C$13),INDEX($N$174:$AL$174,1,AR$5-$K$171+1)*INDEX($N$175:$AL$175,1,AR$5-$K$171+1),0)-$I$171*((AR$5=Inputs!$C$12)*$C$173*$D$171+(AR$5=Inputs!$C$13)*$D$173*($D$171+Inputs!$C$14))+$I$171*((AR$5=Inputs!$C$15+$K$171)*$E$173*$I$173+(AR$5=Inputs!$C$16+$K$171)*$F$173*$J$173+(AR$5=Inputs!$C$17)*$G$173*$H$171*$H$173)</f>
        <v>0</v>
      </c>
      <c r="AS176" s="42" t="n">
        <f aca="false">-($D$171+$J$171)*(AS$5=0)+IF(AND(AS$5-$K$171&gt;=1,AS$5-$K$171&lt;=Inputs!$C$13),INDEX($N$174:$AL$174,1,AS$5-$K$171+1)*INDEX($N$175:$AL$175,1,AS$5-$K$171+1),0)-$I$171*((AS$5=Inputs!$C$12)*$C$173*$D$171+(AS$5=Inputs!$C$13)*$D$173*($D$171+Inputs!$C$14))+$I$171*((AS$5=Inputs!$C$15+$K$171)*$E$173*$I$173+(AS$5=Inputs!$C$16+$K$171)*$F$173*$J$173+(AS$5=Inputs!$C$17)*$G$173*$H$171*$H$173)</f>
        <v>1101.84</v>
      </c>
      <c r="AT176" s="42" t="n">
        <f aca="false">-($D$171+$J$171)*(AT$5=0)+IF(AND(AT$5-$K$171&gt;=1,AT$5-$K$171&lt;=Inputs!$C$13),INDEX($N$174:$AL$174,1,AT$5-$K$171+1)*INDEX($N$175:$AL$175,1,AT$5-$K$171+1),0)-$I$171*((AT$5=Inputs!$C$12)*$C$173*$D$171+(AT$5=Inputs!$C$13)*$D$173*($D$171+Inputs!$C$14))+$I$171*((AT$5=Inputs!$C$15+$K$171)*$E$173*$I$173+(AT$5=Inputs!$C$16+$K$171)*$F$173*$J$173+(AT$5=Inputs!$C$17)*$G$173*$H$171*$H$173)</f>
        <v>0</v>
      </c>
      <c r="AU176" s="42" t="n">
        <f aca="false">-($D$171+$J$171)*(AU$5=0)+IF(AND(AU$5-$K$171&gt;=1,AU$5-$K$171&lt;=Inputs!$C$13),INDEX($N$174:$AL$174,1,AU$5-$K$171+1)*INDEX($N$175:$AL$175,1,AU$5-$K$171+1),0)-$I$171*((AU$5=Inputs!$C$12)*$C$173*$D$171+(AU$5=Inputs!$C$13)*$D$173*($D$171+Inputs!$C$14))+$I$171*((AU$5=Inputs!$C$15+$K$171)*$E$173*$I$173+(AU$5=Inputs!$C$16+$K$171)*$F$173*$J$173+(AU$5=Inputs!$C$17)*$G$173*$H$171*$H$173)</f>
        <v>0</v>
      </c>
      <c r="AV176" s="42" t="n">
        <f aca="false">-($D$171+$J$171)*(AV$5=0)+IF(AND(AV$5-$K$171&gt;=1,AV$5-$K$171&lt;=Inputs!$C$13),INDEX($N$174:$AL$174,1,AV$5-$K$171+1)*INDEX($N$175:$AL$175,1,AV$5-$K$171+1),0)-$I$171*((AV$5=Inputs!$C$12)*$C$173*$D$171+(AV$5=Inputs!$C$13)*$D$173*($D$171+Inputs!$C$14))+$I$171*((AV$5=Inputs!$C$15+$K$171)*$E$173*$I$173+(AV$5=Inputs!$C$16+$K$171)*$F$173*$J$173+(AV$5=Inputs!$C$17)*$G$173*$H$171*$H$173)</f>
        <v>0</v>
      </c>
      <c r="AW176" s="42" t="n">
        <f aca="false">-($D$171+$J$171)*(AW$5=0)+IF(AND(AW$5-$K$171&gt;=1,AW$5-$K$171&lt;=Inputs!$C$13),INDEX($N$174:$AL$174,1,AW$5-$K$171+1)*INDEX($N$175:$AL$175,1,AW$5-$K$171+1),0)-$I$171*((AW$5=Inputs!$C$12)*$C$173*$D$171+(AW$5=Inputs!$C$13)*$D$173*($D$171+Inputs!$C$14))+$I$171*((AW$5=Inputs!$C$15+$K$171)*$E$173*$I$173+(AW$5=Inputs!$C$16+$K$171)*$F$173*$J$173+(AW$5=Inputs!$C$17)*$G$173*$H$171*$H$173)</f>
        <v>0</v>
      </c>
      <c r="AX176" s="42" t="n">
        <f aca="false">-($D$171+$J$171)*(AX$5=0)+IF(AND(AX$5-$K$171&gt;=1,AX$5-$K$171&lt;=Inputs!$C$13),INDEX($N$174:$AL$174,1,AX$5-$K$171+1)*INDEX($N$175:$AL$175,1,AX$5-$K$171+1),0)-$I$171*((AX$5=Inputs!$C$12)*$C$173*$D$171+(AX$5=Inputs!$C$13)*$D$173*($D$171+Inputs!$C$14))+$I$171*((AX$5=Inputs!$C$15+$K$171)*$E$173*$I$173+(AX$5=Inputs!$C$16+$K$171)*$F$173*$J$173+(AX$5=Inputs!$C$17)*$G$173*$H$171*$H$173)</f>
        <v>218.16</v>
      </c>
      <c r="AY176" s="42" t="n">
        <f aca="false">-($D$171+$J$171)*(AY$5=0)+IF(AND(AY$5-$K$171&gt;=1,AY$5-$K$171&lt;=Inputs!$C$13),INDEX($N$174:$AL$174,1,AY$5-$K$171+1)*INDEX($N$175:$AL$175,1,AY$5-$K$171+1),0)-$I$171*((AY$5=Inputs!$C$12)*$C$173*$D$171+(AY$5=Inputs!$C$13)*$D$173*($D$171+Inputs!$C$14))+$I$171*((AY$5=Inputs!$C$15+$K$171)*$E$173*$I$173+(AY$5=Inputs!$C$16+$K$171)*$F$173*$J$173+(AY$5=Inputs!$C$17)*$G$173*$H$171*$H$173)</f>
        <v>0</v>
      </c>
    </row>
    <row r="178" customFormat="false" ht="15" hidden="false" customHeight="false" outlineLevel="0" collapsed="false">
      <c r="B178" s="7" t="s">
        <v>206</v>
      </c>
      <c r="C178" s="8"/>
      <c r="D178" s="8"/>
      <c r="E178" s="8"/>
      <c r="F178" s="8"/>
      <c r="G178" s="8"/>
      <c r="H178" s="8"/>
      <c r="I178" s="8"/>
      <c r="J178" s="8"/>
      <c r="K178" s="8"/>
      <c r="L178" s="8"/>
    </row>
    <row r="179" customFormat="false" ht="30" hidden="false" customHeight="true" outlineLevel="0" collapsed="false">
      <c r="B179" s="37"/>
      <c r="C179" s="38" t="s">
        <v>169</v>
      </c>
      <c r="D179" s="38" t="s">
        <v>170</v>
      </c>
      <c r="E179" s="38" t="s">
        <v>171</v>
      </c>
      <c r="F179" s="38" t="s">
        <v>43</v>
      </c>
      <c r="G179" s="38" t="s">
        <v>44</v>
      </c>
      <c r="H179" s="38" t="s">
        <v>45</v>
      </c>
      <c r="I179" s="38" t="s">
        <v>172</v>
      </c>
      <c r="J179" s="38" t="s">
        <v>90</v>
      </c>
      <c r="K179" s="38" t="s">
        <v>89</v>
      </c>
      <c r="L179" s="38" t="s">
        <v>173</v>
      </c>
    </row>
    <row r="180" customFormat="false" ht="15" hidden="false" customHeight="false" outlineLevel="0" collapsed="false">
      <c r="B180" s="39" t="s">
        <v>174</v>
      </c>
      <c r="C180" s="26" t="n">
        <f aca="false">Class_IRR!$F$5</f>
        <v>0.05</v>
      </c>
      <c r="D180" s="30" t="n">
        <f aca="false">Inputs!$E$25</f>
        <v>9500</v>
      </c>
      <c r="E180" s="26" t="n">
        <f aca="false">Inputs!$F$25</f>
        <v>0.9</v>
      </c>
      <c r="F180" s="25" t="n">
        <f aca="false">Inputs!$G$25</f>
        <v>0.6</v>
      </c>
      <c r="G180" s="25" t="n">
        <f aca="false">Inputs!$H$25</f>
        <v>0.8</v>
      </c>
      <c r="H180" s="25" t="n">
        <f aca="false">Inputs!$I$25</f>
        <v>0.9</v>
      </c>
      <c r="I180" s="22" t="n">
        <f aca="false">Inputs!$J$25</f>
        <v>1</v>
      </c>
      <c r="J180" s="23" t="n">
        <f aca="false">Inputs!$C$9</f>
        <v>10</v>
      </c>
      <c r="K180" s="22" t="n">
        <f aca="false">Inputs!$C$10</f>
        <v>1</v>
      </c>
      <c r="L180" s="22" t="n">
        <f aca="false">1</f>
        <v>1</v>
      </c>
    </row>
    <row r="181" customFormat="false" ht="30" hidden="false" customHeight="true" outlineLevel="0" collapsed="false">
      <c r="B181" s="37"/>
      <c r="C181" s="38" t="s">
        <v>175</v>
      </c>
      <c r="D181" s="38" t="s">
        <v>176</v>
      </c>
      <c r="E181" s="38" t="s">
        <v>177</v>
      </c>
      <c r="F181" s="38" t="s">
        <v>178</v>
      </c>
      <c r="G181" s="38" t="s">
        <v>112</v>
      </c>
      <c r="H181" s="38" t="s">
        <v>179</v>
      </c>
      <c r="I181" s="38" t="s">
        <v>180</v>
      </c>
      <c r="J181" s="38" t="s">
        <v>181</v>
      </c>
      <c r="K181" s="38" t="s">
        <v>182</v>
      </c>
      <c r="L181" s="38" t="s">
        <v>183</v>
      </c>
    </row>
    <row r="182" customFormat="false" ht="15" hidden="false" customHeight="false" outlineLevel="0" collapsed="false">
      <c r="B182" s="39" t="s">
        <v>184</v>
      </c>
      <c r="C182" s="40" t="n">
        <f aca="false">1-$E$180*CHOOSE($L$180,INDEX(Timing!$C$7:$AA$7,1,Inputs!$C$12+1),INDEX(Timing!$C$8:$AA$8,1,Inputs!$C$12+1))</f>
        <v>0.316</v>
      </c>
      <c r="D182" s="40" t="n">
        <f aca="false">1-$E$180*CHOOSE($L$180,INDEX(Timing!$C$7:$AA$7,1,Inputs!$C$13+1),INDEX(Timing!$C$8:$AA$8,1,Inputs!$C$13+1))</f>
        <v>0.1</v>
      </c>
      <c r="E182" s="40" t="n">
        <f aca="false">$I$180*$D$182*$F$180</f>
        <v>0.06</v>
      </c>
      <c r="F182" s="40" t="n">
        <f aca="false">$I$180*($D$182-$E$182)*$G$180</f>
        <v>0.032</v>
      </c>
      <c r="G182" s="40" t="n">
        <f aca="false">$I$180*($D$182-$E$182-$F$182)</f>
        <v>0.008</v>
      </c>
      <c r="H182" s="23" t="n">
        <f aca="false">$I$180*(3*$D$180+Inputs!$C$14)</f>
        <v>30300</v>
      </c>
      <c r="I182" s="23" t="n">
        <f aca="false">$I$180*($D$180*(1+IF($C$180&lt;=0,0,MAX($C$180*Inputs!$C$15/12,Inputs!$C$8)))+$D$180*(1+Inputs!$C$11*(Inputs!$C$15-Inputs!$C$12)/12)+$D$180*(1+Inputs!$C$11*(Inputs!$C$15-Inputs!$C$13)/12)+Inputs!$C$14)</f>
        <v>33933.75</v>
      </c>
      <c r="J182" s="23" t="n">
        <f aca="false">$I$180*($D$180*(1+IF($C$180&lt;=0,0,MAX($C$180*Inputs!$C$16/12,Inputs!$C$8)))+$D$180*(1+Inputs!$C$11*(Inputs!$C$16-Inputs!$C$12)/12)+$D$180*(1+Inputs!$C$11*(Inputs!$C$16-Inputs!$C$13)/12)+Inputs!$C$14)</f>
        <v>34907.5</v>
      </c>
      <c r="K182" s="40" t="n">
        <f aca="false">IRR($N$185:$AY$185,0.005)</f>
        <v>0.00661312127173339</v>
      </c>
      <c r="L182" s="41" t="n">
        <f aca="false">(1+$K$182)^12-1</f>
        <v>0.0823084418136835</v>
      </c>
    </row>
    <row r="183" customFormat="false" ht="15" hidden="false" customHeight="false" outlineLevel="0" collapsed="false">
      <c r="B183" s="9" t="s">
        <v>185</v>
      </c>
      <c r="N183" s="40" t="n">
        <f aca="false">0</f>
        <v>0</v>
      </c>
      <c r="O183" s="40" t="n">
        <f aca="false">$E$180*(CHOOSE($L$180,Timing!D$7,Timing!D$8)-CHOOSE($L$180,Timing!C$7,Timing!C$8))</f>
        <v>0.108</v>
      </c>
      <c r="P183" s="40" t="n">
        <f aca="false">$E$180*(CHOOSE($L$180,Timing!E$7,Timing!E$8)-CHOOSE($L$180,Timing!D$7,Timing!D$8))</f>
        <v>0.09</v>
      </c>
      <c r="Q183" s="40" t="n">
        <f aca="false">$E$180*(CHOOSE($L$180,Timing!F$7,Timing!F$8)-CHOOSE($L$180,Timing!E$7,Timing!E$8))</f>
        <v>0.081</v>
      </c>
      <c r="R183" s="40" t="n">
        <f aca="false">$E$180*(CHOOSE($L$180,Timing!G$7,Timing!G$8)-CHOOSE($L$180,Timing!F$7,Timing!F$8))</f>
        <v>0.063</v>
      </c>
      <c r="S183" s="40" t="n">
        <f aca="false">$E$180*(CHOOSE($L$180,Timing!H$7,Timing!H$8)-CHOOSE($L$180,Timing!G$7,Timing!G$8))</f>
        <v>0.063</v>
      </c>
      <c r="T183" s="40" t="n">
        <f aca="false">$E$180*(CHOOSE($L$180,Timing!I$7,Timing!I$8)-CHOOSE($L$180,Timing!H$7,Timing!H$8))</f>
        <v>0.063</v>
      </c>
      <c r="U183" s="40" t="n">
        <f aca="false">$E$180*(CHOOSE($L$180,Timing!J$7,Timing!J$8)-CHOOSE($L$180,Timing!I$7,Timing!I$8))</f>
        <v>0.039</v>
      </c>
      <c r="V183" s="40" t="n">
        <f aca="false">$E$180*(CHOOSE($L$180,Timing!K$7,Timing!K$8)-CHOOSE($L$180,Timing!J$7,Timing!J$8))</f>
        <v>0.039</v>
      </c>
      <c r="W183" s="40" t="n">
        <f aca="false">$E$180*(CHOOSE($L$180,Timing!L$7,Timing!L$8)-CHOOSE($L$180,Timing!K$7,Timing!K$8))</f>
        <v>0.039</v>
      </c>
      <c r="X183" s="40" t="n">
        <f aca="false">$E$180*(CHOOSE($L$180,Timing!M$7,Timing!M$8)-CHOOSE($L$180,Timing!L$7,Timing!L$8))</f>
        <v>0.033</v>
      </c>
      <c r="Y183" s="40" t="n">
        <f aca="false">$E$180*(CHOOSE($L$180,Timing!N$7,Timing!N$8)-CHOOSE($L$180,Timing!M$7,Timing!M$8))</f>
        <v>0.0330000000000001</v>
      </c>
      <c r="Z183" s="40" t="n">
        <f aca="false">$E$180*(CHOOSE($L$180,Timing!O$7,Timing!O$8)-CHOOSE($L$180,Timing!N$7,Timing!N$8))</f>
        <v>0.033</v>
      </c>
      <c r="AA183" s="40" t="n">
        <f aca="false">$E$180*(CHOOSE($L$180,Timing!P$7,Timing!P$8)-CHOOSE($L$180,Timing!O$7,Timing!O$8))</f>
        <v>0.021</v>
      </c>
      <c r="AB183" s="40" t="n">
        <f aca="false">$E$180*(CHOOSE($L$180,Timing!Q$7,Timing!Q$8)-CHOOSE($L$180,Timing!P$7,Timing!P$8))</f>
        <v>0.021</v>
      </c>
      <c r="AC183" s="40" t="n">
        <f aca="false">$E$180*(CHOOSE($L$180,Timing!R$7,Timing!R$8)-CHOOSE($L$180,Timing!Q$7,Timing!Q$8))</f>
        <v>0.0210000000000001</v>
      </c>
      <c r="AD183" s="40" t="n">
        <f aca="false">$E$180*(CHOOSE($L$180,Timing!S$7,Timing!S$8)-CHOOSE($L$180,Timing!R$7,Timing!R$8))</f>
        <v>0.021</v>
      </c>
      <c r="AE183" s="40" t="n">
        <f aca="false">$E$180*(CHOOSE($L$180,Timing!T$7,Timing!T$8)-CHOOSE($L$180,Timing!S$7,Timing!S$8))</f>
        <v>0.021</v>
      </c>
      <c r="AF183" s="40" t="n">
        <f aca="false">$E$180*(CHOOSE($L$180,Timing!U$7,Timing!U$8)-CHOOSE($L$180,Timing!T$7,Timing!T$8))</f>
        <v>0.021</v>
      </c>
      <c r="AG183" s="40" t="n">
        <f aca="false">$E$180*(CHOOSE($L$180,Timing!V$7,Timing!V$8)-CHOOSE($L$180,Timing!U$7,Timing!U$8))</f>
        <v>0.015</v>
      </c>
      <c r="AH183" s="40" t="n">
        <f aca="false">$E$180*(CHOOSE($L$180,Timing!W$7,Timing!W$8)-CHOOSE($L$180,Timing!V$7,Timing!V$8))</f>
        <v>0.0149999999999999</v>
      </c>
      <c r="AI183" s="40" t="n">
        <f aca="false">$E$180*(CHOOSE($L$180,Timing!X$7,Timing!X$8)-CHOOSE($L$180,Timing!W$7,Timing!W$8))</f>
        <v>0.0149999999999999</v>
      </c>
      <c r="AJ183" s="40" t="n">
        <f aca="false">$E$180*(CHOOSE($L$180,Timing!Y$7,Timing!Y$8)-CHOOSE($L$180,Timing!X$7,Timing!X$8))</f>
        <v>0.015</v>
      </c>
      <c r="AK183" s="40" t="n">
        <f aca="false">$E$180*(CHOOSE($L$180,Timing!Z$7,Timing!Z$8)-CHOOSE($L$180,Timing!Y$7,Timing!Y$8))</f>
        <v>0.015</v>
      </c>
      <c r="AL183" s="40" t="n">
        <f aca="false">$E$180*(CHOOSE($L$180,Timing!AA$7,Timing!AA$8)-CHOOSE($L$180,Timing!Z$7,Timing!Z$8))</f>
        <v>0.0149999999999999</v>
      </c>
    </row>
    <row r="184" customFormat="false" ht="15" hidden="false" customHeight="false" outlineLevel="0" collapsed="false">
      <c r="B184" s="9" t="s">
        <v>186</v>
      </c>
      <c r="N184" s="42" t="n">
        <f aca="false">0</f>
        <v>0</v>
      </c>
      <c r="O184" s="42" t="n">
        <f aca="false">$D$180*(1+IF($C$180&lt;=0,0,MAX($C$180*O$5/12,Inputs!$C$8)))+$I$180*(O$5&gt;Inputs!$C$12)*$D$180*(1+Inputs!$C$11*(O$5-Inputs!$C$12)/12)</f>
        <v>9975</v>
      </c>
      <c r="P184" s="42" t="n">
        <f aca="false">$D$180*(1+IF($C$180&lt;=0,0,MAX($C$180*P$5/12,Inputs!$C$8)))+$I$180*(P$5&gt;Inputs!$C$12)*$D$180*(1+Inputs!$C$11*(P$5-Inputs!$C$12)/12)</f>
        <v>9975</v>
      </c>
      <c r="Q184" s="42" t="n">
        <f aca="false">$D$180*(1+IF($C$180&lt;=0,0,MAX($C$180*Q$5/12,Inputs!$C$8)))+$I$180*(Q$5&gt;Inputs!$C$12)*$D$180*(1+Inputs!$C$11*(Q$5-Inputs!$C$12)/12)</f>
        <v>9975</v>
      </c>
      <c r="R184" s="42" t="n">
        <f aca="false">$D$180*(1+IF($C$180&lt;=0,0,MAX($C$180*R$5/12,Inputs!$C$8)))+$I$180*(R$5&gt;Inputs!$C$12)*$D$180*(1+Inputs!$C$11*(R$5-Inputs!$C$12)/12)</f>
        <v>9975</v>
      </c>
      <c r="S184" s="42" t="n">
        <f aca="false">$D$180*(1+IF($C$180&lt;=0,0,MAX($C$180*S$5/12,Inputs!$C$8)))+$I$180*(S$5&gt;Inputs!$C$12)*$D$180*(1+Inputs!$C$11*(S$5-Inputs!$C$12)/12)</f>
        <v>9975</v>
      </c>
      <c r="T184" s="42" t="n">
        <f aca="false">$D$180*(1+IF($C$180&lt;=0,0,MAX($C$180*T$5/12,Inputs!$C$8)))+$I$180*(T$5&gt;Inputs!$C$12)*$D$180*(1+Inputs!$C$11*(T$5-Inputs!$C$12)/12)</f>
        <v>9975</v>
      </c>
      <c r="U184" s="42" t="n">
        <f aca="false">$D$180*(1+IF($C$180&lt;=0,0,MAX($C$180*U$5/12,Inputs!$C$8)))+$I$180*(U$5&gt;Inputs!$C$12)*$D$180*(1+Inputs!$C$11*(U$5-Inputs!$C$12)/12)</f>
        <v>9975</v>
      </c>
      <c r="V184" s="42" t="n">
        <f aca="false">$D$180*(1+IF($C$180&lt;=0,0,MAX($C$180*V$5/12,Inputs!$C$8)))+$I$180*(V$5&gt;Inputs!$C$12)*$D$180*(1+Inputs!$C$11*(V$5-Inputs!$C$12)/12)</f>
        <v>9975</v>
      </c>
      <c r="W184" s="42" t="n">
        <f aca="false">$D$180*(1+IF($C$180&lt;=0,0,MAX($C$180*W$5/12,Inputs!$C$8)))+$I$180*(W$5&gt;Inputs!$C$12)*$D$180*(1+Inputs!$C$11*(W$5-Inputs!$C$12)/12)</f>
        <v>9975</v>
      </c>
      <c r="X184" s="42" t="n">
        <f aca="false">$D$180*(1+IF($C$180&lt;=0,0,MAX($C$180*X$5/12,Inputs!$C$8)))+$I$180*(X$5&gt;Inputs!$C$12)*$D$180*(1+Inputs!$C$11*(X$5-Inputs!$C$12)/12)</f>
        <v>9975</v>
      </c>
      <c r="Y184" s="42" t="n">
        <f aca="false">$D$180*(1+IF($C$180&lt;=0,0,MAX($C$180*Y$5/12,Inputs!$C$8)))+$I$180*(Y$5&gt;Inputs!$C$12)*$D$180*(1+Inputs!$C$11*(Y$5-Inputs!$C$12)/12)</f>
        <v>9975</v>
      </c>
      <c r="Z184" s="42" t="n">
        <f aca="false">$D$180*(1+IF($C$180&lt;=0,0,MAX($C$180*Z$5/12,Inputs!$C$8)))+$I$180*(Z$5&gt;Inputs!$C$12)*$D$180*(1+Inputs!$C$11*(Z$5-Inputs!$C$12)/12)</f>
        <v>9975</v>
      </c>
      <c r="AA184" s="42" t="n">
        <f aca="false">$D$180*(1+IF($C$180&lt;=0,0,MAX($C$180*AA$5/12,Inputs!$C$8)))+$I$180*(AA$5&gt;Inputs!$C$12)*$D$180*(1+Inputs!$C$11*(AA$5-Inputs!$C$12)/12)</f>
        <v>19657.0833333333</v>
      </c>
      <c r="AB184" s="42" t="n">
        <f aca="false">$D$180*(1+IF($C$180&lt;=0,0,MAX($C$180*AB$5/12,Inputs!$C$8)))+$I$180*(AB$5&gt;Inputs!$C$12)*$D$180*(1+Inputs!$C$11*(AB$5-Inputs!$C$12)/12)</f>
        <v>19839.1666666667</v>
      </c>
      <c r="AC184" s="42" t="n">
        <f aca="false">$D$180*(1+IF($C$180&lt;=0,0,MAX($C$180*AC$5/12,Inputs!$C$8)))+$I$180*(AC$5&gt;Inputs!$C$12)*$D$180*(1+Inputs!$C$11*(AC$5-Inputs!$C$12)/12)</f>
        <v>20021.25</v>
      </c>
      <c r="AD184" s="42" t="n">
        <f aca="false">$D$180*(1+IF($C$180&lt;=0,0,MAX($C$180*AD$5/12,Inputs!$C$8)))+$I$180*(AD$5&gt;Inputs!$C$12)*$D$180*(1+Inputs!$C$11*(AD$5-Inputs!$C$12)/12)</f>
        <v>20203.3333333333</v>
      </c>
      <c r="AE184" s="42" t="n">
        <f aca="false">$D$180*(1+IF($C$180&lt;=0,0,MAX($C$180*AE$5/12,Inputs!$C$8)))+$I$180*(AE$5&gt;Inputs!$C$12)*$D$180*(1+Inputs!$C$11*(AE$5-Inputs!$C$12)/12)</f>
        <v>20385.4166666667</v>
      </c>
      <c r="AF184" s="42" t="n">
        <f aca="false">$D$180*(1+IF($C$180&lt;=0,0,MAX($C$180*AF$5/12,Inputs!$C$8)))+$I$180*(AF$5&gt;Inputs!$C$12)*$D$180*(1+Inputs!$C$11*(AF$5-Inputs!$C$12)/12)</f>
        <v>20567.5</v>
      </c>
      <c r="AG184" s="42" t="n">
        <f aca="false">$D$180*(1+IF($C$180&lt;=0,0,MAX($C$180*AG$5/12,Inputs!$C$8)))+$I$180*(AG$5&gt;Inputs!$C$12)*$D$180*(1+Inputs!$C$11*(AG$5-Inputs!$C$12)/12)</f>
        <v>20749.5833333333</v>
      </c>
      <c r="AH184" s="42" t="n">
        <f aca="false">$D$180*(1+IF($C$180&lt;=0,0,MAX($C$180*AH$5/12,Inputs!$C$8)))+$I$180*(AH$5&gt;Inputs!$C$12)*$D$180*(1+Inputs!$C$11*(AH$5-Inputs!$C$12)/12)</f>
        <v>20931.6666666667</v>
      </c>
      <c r="AI184" s="42" t="n">
        <f aca="false">$D$180*(1+IF($C$180&lt;=0,0,MAX($C$180*AI$5/12,Inputs!$C$8)))+$I$180*(AI$5&gt;Inputs!$C$12)*$D$180*(1+Inputs!$C$11*(AI$5-Inputs!$C$12)/12)</f>
        <v>21113.75</v>
      </c>
      <c r="AJ184" s="42" t="n">
        <f aca="false">$D$180*(1+IF($C$180&lt;=0,0,MAX($C$180*AJ$5/12,Inputs!$C$8)))+$I$180*(AJ$5&gt;Inputs!$C$12)*$D$180*(1+Inputs!$C$11*(AJ$5-Inputs!$C$12)/12)</f>
        <v>21295.8333333333</v>
      </c>
      <c r="AK184" s="42" t="n">
        <f aca="false">$D$180*(1+IF($C$180&lt;=0,0,MAX($C$180*AK$5/12,Inputs!$C$8)))+$I$180*(AK$5&gt;Inputs!$C$12)*$D$180*(1+Inputs!$C$11*(AK$5-Inputs!$C$12)/12)</f>
        <v>21477.9166666667</v>
      </c>
      <c r="AL184" s="42" t="n">
        <f aca="false">$D$180*(1+IF($C$180&lt;=0,0,MAX($C$180*AL$5/12,Inputs!$C$8)))+$I$180*(AL$5&gt;Inputs!$C$12)*$D$180*(1+Inputs!$C$11*(AL$5-Inputs!$C$12)/12)</f>
        <v>21660</v>
      </c>
    </row>
    <row r="185" customFormat="false" ht="15" hidden="false" customHeight="false" outlineLevel="0" collapsed="false">
      <c r="B185" s="31" t="s">
        <v>187</v>
      </c>
      <c r="N185" s="42" t="n">
        <f aca="false">-($D$180+$J$180)*(N$5=0)+IF(AND(N$5-$K$180&gt;=1,N$5-$K$180&lt;=Inputs!$C$13),INDEX($N$183:$AL$183,1,N$5-$K$180+1)*INDEX($N$184:$AL$184,1,N$5-$K$180+1),0)-$I$180*((N$5=Inputs!$C$12)*$C$182*$D$180+(N$5=Inputs!$C$13)*$D$182*($D$180+Inputs!$C$14))+$I$180*((N$5=Inputs!$C$15+$K$180)*$E$182*$I$182+(N$5=Inputs!$C$16+$K$180)*$F$182*$J$182+(N$5=Inputs!$C$17)*$G$182*$H$180*$H$182)</f>
        <v>-9510</v>
      </c>
      <c r="O185" s="42" t="n">
        <f aca="false">-($D$180+$J$180)*(O$5=0)+IF(AND(O$5-$K$180&gt;=1,O$5-$K$180&lt;=Inputs!$C$13),INDEX($N$183:$AL$183,1,O$5-$K$180+1)*INDEX($N$184:$AL$184,1,O$5-$K$180+1),0)-$I$180*((O$5=Inputs!$C$12)*$C$182*$D$180+(O$5=Inputs!$C$13)*$D$182*($D$180+Inputs!$C$14))+$I$180*((O$5=Inputs!$C$15+$K$180)*$E$182*$I$182+(O$5=Inputs!$C$16+$K$180)*$F$182*$J$182+(O$5=Inputs!$C$17)*$G$182*$H$180*$H$182)</f>
        <v>0</v>
      </c>
      <c r="P185" s="42" t="n">
        <f aca="false">-($D$180+$J$180)*(P$5=0)+IF(AND(P$5-$K$180&gt;=1,P$5-$K$180&lt;=Inputs!$C$13),INDEX($N$183:$AL$183,1,P$5-$K$180+1)*INDEX($N$184:$AL$184,1,P$5-$K$180+1),0)-$I$180*((P$5=Inputs!$C$12)*$C$182*$D$180+(P$5=Inputs!$C$13)*$D$182*($D$180+Inputs!$C$14))+$I$180*((P$5=Inputs!$C$15+$K$180)*$E$182*$I$182+(P$5=Inputs!$C$16+$K$180)*$F$182*$J$182+(P$5=Inputs!$C$17)*$G$182*$H$180*$H$182)</f>
        <v>1077.3</v>
      </c>
      <c r="Q185" s="42" t="n">
        <f aca="false">-($D$180+$J$180)*(Q$5=0)+IF(AND(Q$5-$K$180&gt;=1,Q$5-$K$180&lt;=Inputs!$C$13),INDEX($N$183:$AL$183,1,Q$5-$K$180+1)*INDEX($N$184:$AL$184,1,Q$5-$K$180+1),0)-$I$180*((Q$5=Inputs!$C$12)*$C$182*$D$180+(Q$5=Inputs!$C$13)*$D$182*($D$180+Inputs!$C$14))+$I$180*((Q$5=Inputs!$C$15+$K$180)*$E$182*$I$182+(Q$5=Inputs!$C$16+$K$180)*$F$182*$J$182+(Q$5=Inputs!$C$17)*$G$182*$H$180*$H$182)</f>
        <v>897.75</v>
      </c>
      <c r="R185" s="42" t="n">
        <f aca="false">-($D$180+$J$180)*(R$5=0)+IF(AND(R$5-$K$180&gt;=1,R$5-$K$180&lt;=Inputs!$C$13),INDEX($N$183:$AL$183,1,R$5-$K$180+1)*INDEX($N$184:$AL$184,1,R$5-$K$180+1),0)-$I$180*((R$5=Inputs!$C$12)*$C$182*$D$180+(R$5=Inputs!$C$13)*$D$182*($D$180+Inputs!$C$14))+$I$180*((R$5=Inputs!$C$15+$K$180)*$E$182*$I$182+(R$5=Inputs!$C$16+$K$180)*$F$182*$J$182+(R$5=Inputs!$C$17)*$G$182*$H$180*$H$182)</f>
        <v>807.975</v>
      </c>
      <c r="S185" s="42" t="n">
        <f aca="false">-($D$180+$J$180)*(S$5=0)+IF(AND(S$5-$K$180&gt;=1,S$5-$K$180&lt;=Inputs!$C$13),INDEX($N$183:$AL$183,1,S$5-$K$180+1)*INDEX($N$184:$AL$184,1,S$5-$K$180+1),0)-$I$180*((S$5=Inputs!$C$12)*$C$182*$D$180+(S$5=Inputs!$C$13)*$D$182*($D$180+Inputs!$C$14))+$I$180*((S$5=Inputs!$C$15+$K$180)*$E$182*$I$182+(S$5=Inputs!$C$16+$K$180)*$F$182*$J$182+(S$5=Inputs!$C$17)*$G$182*$H$180*$H$182)</f>
        <v>628.425</v>
      </c>
      <c r="T185" s="42" t="n">
        <f aca="false">-($D$180+$J$180)*(T$5=0)+IF(AND(T$5-$K$180&gt;=1,T$5-$K$180&lt;=Inputs!$C$13),INDEX($N$183:$AL$183,1,T$5-$K$180+1)*INDEX($N$184:$AL$184,1,T$5-$K$180+1),0)-$I$180*((T$5=Inputs!$C$12)*$C$182*$D$180+(T$5=Inputs!$C$13)*$D$182*($D$180+Inputs!$C$14))+$I$180*((T$5=Inputs!$C$15+$K$180)*$E$182*$I$182+(T$5=Inputs!$C$16+$K$180)*$F$182*$J$182+(T$5=Inputs!$C$17)*$G$182*$H$180*$H$182)</f>
        <v>628.425</v>
      </c>
      <c r="U185" s="42" t="n">
        <f aca="false">-($D$180+$J$180)*(U$5=0)+IF(AND(U$5-$K$180&gt;=1,U$5-$K$180&lt;=Inputs!$C$13),INDEX($N$183:$AL$183,1,U$5-$K$180+1)*INDEX($N$184:$AL$184,1,U$5-$K$180+1),0)-$I$180*((U$5=Inputs!$C$12)*$C$182*$D$180+(U$5=Inputs!$C$13)*$D$182*($D$180+Inputs!$C$14))+$I$180*((U$5=Inputs!$C$15+$K$180)*$E$182*$I$182+(U$5=Inputs!$C$16+$K$180)*$F$182*$J$182+(U$5=Inputs!$C$17)*$G$182*$H$180*$H$182)</f>
        <v>628.425</v>
      </c>
      <c r="V185" s="42" t="n">
        <f aca="false">-($D$180+$J$180)*(V$5=0)+IF(AND(V$5-$K$180&gt;=1,V$5-$K$180&lt;=Inputs!$C$13),INDEX($N$183:$AL$183,1,V$5-$K$180+1)*INDEX($N$184:$AL$184,1,V$5-$K$180+1),0)-$I$180*((V$5=Inputs!$C$12)*$C$182*$D$180+(V$5=Inputs!$C$13)*$D$182*($D$180+Inputs!$C$14))+$I$180*((V$5=Inputs!$C$15+$K$180)*$E$182*$I$182+(V$5=Inputs!$C$16+$K$180)*$F$182*$J$182+(V$5=Inputs!$C$17)*$G$182*$H$180*$H$182)</f>
        <v>389.025</v>
      </c>
      <c r="W185" s="42" t="n">
        <f aca="false">-($D$180+$J$180)*(W$5=0)+IF(AND(W$5-$K$180&gt;=1,W$5-$K$180&lt;=Inputs!$C$13),INDEX($N$183:$AL$183,1,W$5-$K$180+1)*INDEX($N$184:$AL$184,1,W$5-$K$180+1),0)-$I$180*((W$5=Inputs!$C$12)*$C$182*$D$180+(W$5=Inputs!$C$13)*$D$182*($D$180+Inputs!$C$14))+$I$180*((W$5=Inputs!$C$15+$K$180)*$E$182*$I$182+(W$5=Inputs!$C$16+$K$180)*$F$182*$J$182+(W$5=Inputs!$C$17)*$G$182*$H$180*$H$182)</f>
        <v>389.025</v>
      </c>
      <c r="X185" s="42" t="n">
        <f aca="false">-($D$180+$J$180)*(X$5=0)+IF(AND(X$5-$K$180&gt;=1,X$5-$K$180&lt;=Inputs!$C$13),INDEX($N$183:$AL$183,1,X$5-$K$180+1)*INDEX($N$184:$AL$184,1,X$5-$K$180+1),0)-$I$180*((X$5=Inputs!$C$12)*$C$182*$D$180+(X$5=Inputs!$C$13)*$D$182*($D$180+Inputs!$C$14))+$I$180*((X$5=Inputs!$C$15+$K$180)*$E$182*$I$182+(X$5=Inputs!$C$16+$K$180)*$F$182*$J$182+(X$5=Inputs!$C$17)*$G$182*$H$180*$H$182)</f>
        <v>389.025</v>
      </c>
      <c r="Y185" s="42" t="n">
        <f aca="false">-($D$180+$J$180)*(Y$5=0)+IF(AND(Y$5-$K$180&gt;=1,Y$5-$K$180&lt;=Inputs!$C$13),INDEX($N$183:$AL$183,1,Y$5-$K$180+1)*INDEX($N$184:$AL$184,1,Y$5-$K$180+1),0)-$I$180*((Y$5=Inputs!$C$12)*$C$182*$D$180+(Y$5=Inputs!$C$13)*$D$182*($D$180+Inputs!$C$14))+$I$180*((Y$5=Inputs!$C$15+$K$180)*$E$182*$I$182+(Y$5=Inputs!$C$16+$K$180)*$F$182*$J$182+(Y$5=Inputs!$C$17)*$G$182*$H$180*$H$182)</f>
        <v>329.175</v>
      </c>
      <c r="Z185" s="42" t="n">
        <f aca="false">-($D$180+$J$180)*(Z$5=0)+IF(AND(Z$5-$K$180&gt;=1,Z$5-$K$180&lt;=Inputs!$C$13),INDEX($N$183:$AL$183,1,Z$5-$K$180+1)*INDEX($N$184:$AL$184,1,Z$5-$K$180+1),0)-$I$180*((Z$5=Inputs!$C$12)*$C$182*$D$180+(Z$5=Inputs!$C$13)*$D$182*($D$180+Inputs!$C$14))+$I$180*((Z$5=Inputs!$C$15+$K$180)*$E$182*$I$182+(Z$5=Inputs!$C$16+$K$180)*$F$182*$J$182+(Z$5=Inputs!$C$17)*$G$182*$H$180*$H$182)</f>
        <v>-2672.825</v>
      </c>
      <c r="AA185" s="42" t="n">
        <f aca="false">-($D$180+$J$180)*(AA$5=0)+IF(AND(AA$5-$K$180&gt;=1,AA$5-$K$180&lt;=Inputs!$C$13),INDEX($N$183:$AL$183,1,AA$5-$K$180+1)*INDEX($N$184:$AL$184,1,AA$5-$K$180+1),0)-$I$180*((AA$5=Inputs!$C$12)*$C$182*$D$180+(AA$5=Inputs!$C$13)*$D$182*($D$180+Inputs!$C$14))+$I$180*((AA$5=Inputs!$C$15+$K$180)*$E$182*$I$182+(AA$5=Inputs!$C$16+$K$180)*$F$182*$J$182+(AA$5=Inputs!$C$17)*$G$182*$H$180*$H$182)</f>
        <v>329.175</v>
      </c>
      <c r="AB185" s="42" t="n">
        <f aca="false">-($D$180+$J$180)*(AB$5=0)+IF(AND(AB$5-$K$180&gt;=1,AB$5-$K$180&lt;=Inputs!$C$13),INDEX($N$183:$AL$183,1,AB$5-$K$180+1)*INDEX($N$184:$AL$184,1,AB$5-$K$180+1),0)-$I$180*((AB$5=Inputs!$C$12)*$C$182*$D$180+(AB$5=Inputs!$C$13)*$D$182*($D$180+Inputs!$C$14))+$I$180*((AB$5=Inputs!$C$15+$K$180)*$E$182*$I$182+(AB$5=Inputs!$C$16+$K$180)*$F$182*$J$182+(AB$5=Inputs!$C$17)*$G$182*$H$180*$H$182)</f>
        <v>412.79875</v>
      </c>
      <c r="AC185" s="42" t="n">
        <f aca="false">-($D$180+$J$180)*(AC$5=0)+IF(AND(AC$5-$K$180&gt;=1,AC$5-$K$180&lt;=Inputs!$C$13),INDEX($N$183:$AL$183,1,AC$5-$K$180+1)*INDEX($N$184:$AL$184,1,AC$5-$K$180+1),0)-$I$180*((AC$5=Inputs!$C$12)*$C$182*$D$180+(AC$5=Inputs!$C$13)*$D$182*($D$180+Inputs!$C$14))+$I$180*((AC$5=Inputs!$C$15+$K$180)*$E$182*$I$182+(AC$5=Inputs!$C$16+$K$180)*$F$182*$J$182+(AC$5=Inputs!$C$17)*$G$182*$H$180*$H$182)</f>
        <v>416.6225</v>
      </c>
      <c r="AD185" s="42" t="n">
        <f aca="false">-($D$180+$J$180)*(AD$5=0)+IF(AND(AD$5-$K$180&gt;=1,AD$5-$K$180&lt;=Inputs!$C$13),INDEX($N$183:$AL$183,1,AD$5-$K$180+1)*INDEX($N$184:$AL$184,1,AD$5-$K$180+1),0)-$I$180*((AD$5=Inputs!$C$12)*$C$182*$D$180+(AD$5=Inputs!$C$13)*$D$182*($D$180+Inputs!$C$14))+$I$180*((AD$5=Inputs!$C$15+$K$180)*$E$182*$I$182+(AD$5=Inputs!$C$16+$K$180)*$F$182*$J$182+(AD$5=Inputs!$C$17)*$G$182*$H$180*$H$182)</f>
        <v>420.446250000002</v>
      </c>
      <c r="AE185" s="42" t="n">
        <f aca="false">-($D$180+$J$180)*(AE$5=0)+IF(AND(AE$5-$K$180&gt;=1,AE$5-$K$180&lt;=Inputs!$C$13),INDEX($N$183:$AL$183,1,AE$5-$K$180+1)*INDEX($N$184:$AL$184,1,AE$5-$K$180+1),0)-$I$180*((AE$5=Inputs!$C$12)*$C$182*$D$180+(AE$5=Inputs!$C$13)*$D$182*($D$180+Inputs!$C$14))+$I$180*((AE$5=Inputs!$C$15+$K$180)*$E$182*$I$182+(AE$5=Inputs!$C$16+$K$180)*$F$182*$J$182+(AE$5=Inputs!$C$17)*$G$182*$H$180*$H$182)</f>
        <v>424.27</v>
      </c>
      <c r="AF185" s="42" t="n">
        <f aca="false">-($D$180+$J$180)*(AF$5=0)+IF(AND(AF$5-$K$180&gt;=1,AF$5-$K$180&lt;=Inputs!$C$13),INDEX($N$183:$AL$183,1,AF$5-$K$180+1)*INDEX($N$184:$AL$184,1,AF$5-$K$180+1),0)-$I$180*((AF$5=Inputs!$C$12)*$C$182*$D$180+(AF$5=Inputs!$C$13)*$D$182*($D$180+Inputs!$C$14))+$I$180*((AF$5=Inputs!$C$15+$K$180)*$E$182*$I$182+(AF$5=Inputs!$C$16+$K$180)*$F$182*$J$182+(AF$5=Inputs!$C$17)*$G$182*$H$180*$H$182)</f>
        <v>428.09375</v>
      </c>
      <c r="AG185" s="42" t="n">
        <f aca="false">-($D$180+$J$180)*(AG$5=0)+IF(AND(AG$5-$K$180&gt;=1,AG$5-$K$180&lt;=Inputs!$C$13),INDEX($N$183:$AL$183,1,AG$5-$K$180+1)*INDEX($N$184:$AL$184,1,AG$5-$K$180+1),0)-$I$180*((AG$5=Inputs!$C$12)*$C$182*$D$180+(AG$5=Inputs!$C$13)*$D$182*($D$180+Inputs!$C$14))+$I$180*((AG$5=Inputs!$C$15+$K$180)*$E$182*$I$182+(AG$5=Inputs!$C$16+$K$180)*$F$182*$J$182+(AG$5=Inputs!$C$17)*$G$182*$H$180*$H$182)</f>
        <v>431.9175</v>
      </c>
      <c r="AH185" s="42" t="n">
        <f aca="false">-($D$180+$J$180)*(AH$5=0)+IF(AND(AH$5-$K$180&gt;=1,AH$5-$K$180&lt;=Inputs!$C$13),INDEX($N$183:$AL$183,1,AH$5-$K$180+1)*INDEX($N$184:$AL$184,1,AH$5-$K$180+1),0)-$I$180*((AH$5=Inputs!$C$12)*$C$182*$D$180+(AH$5=Inputs!$C$13)*$D$182*($D$180+Inputs!$C$14))+$I$180*((AH$5=Inputs!$C$15+$K$180)*$E$182*$I$182+(AH$5=Inputs!$C$16+$K$180)*$F$182*$J$182+(AH$5=Inputs!$C$17)*$G$182*$H$180*$H$182)</f>
        <v>311.243750000001</v>
      </c>
      <c r="AI185" s="42" t="n">
        <f aca="false">-($D$180+$J$180)*(AI$5=0)+IF(AND(AI$5-$K$180&gt;=1,AI$5-$K$180&lt;=Inputs!$C$13),INDEX($N$183:$AL$183,1,AI$5-$K$180+1)*INDEX($N$184:$AL$184,1,AI$5-$K$180+1),0)-$I$180*((AI$5=Inputs!$C$12)*$C$182*$D$180+(AI$5=Inputs!$C$13)*$D$182*($D$180+Inputs!$C$14))+$I$180*((AI$5=Inputs!$C$15+$K$180)*$E$182*$I$182+(AI$5=Inputs!$C$16+$K$180)*$F$182*$J$182+(AI$5=Inputs!$C$17)*$G$182*$H$180*$H$182)</f>
        <v>313.974999999999</v>
      </c>
      <c r="AJ185" s="42" t="n">
        <f aca="false">-($D$180+$J$180)*(AJ$5=0)+IF(AND(AJ$5-$K$180&gt;=1,AJ$5-$K$180&lt;=Inputs!$C$13),INDEX($N$183:$AL$183,1,AJ$5-$K$180+1)*INDEX($N$184:$AL$184,1,AJ$5-$K$180+1),0)-$I$180*((AJ$5=Inputs!$C$12)*$C$182*$D$180+(AJ$5=Inputs!$C$13)*$D$182*($D$180+Inputs!$C$14))+$I$180*((AJ$5=Inputs!$C$15+$K$180)*$E$182*$I$182+(AJ$5=Inputs!$C$16+$K$180)*$F$182*$J$182+(AJ$5=Inputs!$C$17)*$G$182*$H$180*$H$182)</f>
        <v>316.706249999999</v>
      </c>
      <c r="AK185" s="42" t="n">
        <f aca="false">-($D$180+$J$180)*(AK$5=0)+IF(AND(AK$5-$K$180&gt;=1,AK$5-$K$180&lt;=Inputs!$C$13),INDEX($N$183:$AL$183,1,AK$5-$K$180+1)*INDEX($N$184:$AL$184,1,AK$5-$K$180+1),0)-$I$180*((AK$5=Inputs!$C$12)*$C$182*$D$180+(AK$5=Inputs!$C$13)*$D$182*($D$180+Inputs!$C$14))+$I$180*((AK$5=Inputs!$C$15+$K$180)*$E$182*$I$182+(AK$5=Inputs!$C$16+$K$180)*$F$182*$J$182+(AK$5=Inputs!$C$17)*$G$182*$H$180*$H$182)</f>
        <v>319.437500000001</v>
      </c>
      <c r="AL185" s="42" t="n">
        <f aca="false">-($D$180+$J$180)*(AL$5=0)+IF(AND(AL$5-$K$180&gt;=1,AL$5-$K$180&lt;=Inputs!$C$13),INDEX($N$183:$AL$183,1,AL$5-$K$180+1)*INDEX($N$184:$AL$184,1,AL$5-$K$180+1),0)-$I$180*((AL$5=Inputs!$C$12)*$C$182*$D$180+(AL$5=Inputs!$C$13)*$D$182*($D$180+Inputs!$C$14))+$I$180*((AL$5=Inputs!$C$15+$K$180)*$E$182*$I$182+(AL$5=Inputs!$C$16+$K$180)*$F$182*$J$182+(AL$5=Inputs!$C$17)*$G$182*$H$180*$H$182)</f>
        <v>-807.831249999999</v>
      </c>
      <c r="AM185" s="42" t="n">
        <f aca="false">-($D$180+$J$180)*(AM$5=0)+IF(AND(AM$5-$K$180&gt;=1,AM$5-$K$180&lt;=Inputs!$C$13),INDEX($N$183:$AL$183,1,AM$5-$K$180+1)*INDEX($N$184:$AL$184,1,AM$5-$K$180+1),0)-$I$180*((AM$5=Inputs!$C$12)*$C$182*$D$180+(AM$5=Inputs!$C$13)*$D$182*($D$180+Inputs!$C$14))+$I$180*((AM$5=Inputs!$C$15+$K$180)*$E$182*$I$182+(AM$5=Inputs!$C$16+$K$180)*$F$182*$J$182+(AM$5=Inputs!$C$17)*$G$182*$H$180*$H$182)</f>
        <v>324.899999999999</v>
      </c>
      <c r="AN185" s="42" t="n">
        <f aca="false">-($D$180+$J$180)*(AN$5=0)+IF(AND(AN$5-$K$180&gt;=1,AN$5-$K$180&lt;=Inputs!$C$13),INDEX($N$183:$AL$183,1,AN$5-$K$180+1)*INDEX($N$184:$AL$184,1,AN$5-$K$180+1),0)-$I$180*((AN$5=Inputs!$C$12)*$C$182*$D$180+(AN$5=Inputs!$C$13)*$D$182*($D$180+Inputs!$C$14))+$I$180*((AN$5=Inputs!$C$15+$K$180)*$E$182*$I$182+(AN$5=Inputs!$C$16+$K$180)*$F$182*$J$182+(AN$5=Inputs!$C$17)*$G$182*$H$180*$H$182)</f>
        <v>0</v>
      </c>
      <c r="AO185" s="42" t="n">
        <f aca="false">-($D$180+$J$180)*(AO$5=0)+IF(AND(AO$5-$K$180&gt;=1,AO$5-$K$180&lt;=Inputs!$C$13),INDEX($N$183:$AL$183,1,AO$5-$K$180+1)*INDEX($N$184:$AL$184,1,AO$5-$K$180+1),0)-$I$180*((AO$5=Inputs!$C$12)*$C$182*$D$180+(AO$5=Inputs!$C$13)*$D$182*($D$180+Inputs!$C$14))+$I$180*((AO$5=Inputs!$C$15+$K$180)*$E$182*$I$182+(AO$5=Inputs!$C$16+$K$180)*$F$182*$J$182+(AO$5=Inputs!$C$17)*$G$182*$H$180*$H$182)</f>
        <v>0</v>
      </c>
      <c r="AP185" s="42" t="n">
        <f aca="false">-($D$180+$J$180)*(AP$5=0)+IF(AND(AP$5-$K$180&gt;=1,AP$5-$K$180&lt;=Inputs!$C$13),INDEX($N$183:$AL$183,1,AP$5-$K$180+1)*INDEX($N$184:$AL$184,1,AP$5-$K$180+1),0)-$I$180*((AP$5=Inputs!$C$12)*$C$182*$D$180+(AP$5=Inputs!$C$13)*$D$182*($D$180+Inputs!$C$14))+$I$180*((AP$5=Inputs!$C$15+$K$180)*$E$182*$I$182+(AP$5=Inputs!$C$16+$K$180)*$F$182*$J$182+(AP$5=Inputs!$C$17)*$G$182*$H$180*$H$182)</f>
        <v>2036.025</v>
      </c>
      <c r="AQ185" s="42" t="n">
        <f aca="false">-($D$180+$J$180)*(AQ$5=0)+IF(AND(AQ$5-$K$180&gt;=1,AQ$5-$K$180&lt;=Inputs!$C$13),INDEX($N$183:$AL$183,1,AQ$5-$K$180+1)*INDEX($N$184:$AL$184,1,AQ$5-$K$180+1),0)-$I$180*((AQ$5=Inputs!$C$12)*$C$182*$D$180+(AQ$5=Inputs!$C$13)*$D$182*($D$180+Inputs!$C$14))+$I$180*((AQ$5=Inputs!$C$15+$K$180)*$E$182*$I$182+(AQ$5=Inputs!$C$16+$K$180)*$F$182*$J$182+(AQ$5=Inputs!$C$17)*$G$182*$H$180*$H$182)</f>
        <v>0</v>
      </c>
      <c r="AR185" s="42" t="n">
        <f aca="false">-($D$180+$J$180)*(AR$5=0)+IF(AND(AR$5-$K$180&gt;=1,AR$5-$K$180&lt;=Inputs!$C$13),INDEX($N$183:$AL$183,1,AR$5-$K$180+1)*INDEX($N$184:$AL$184,1,AR$5-$K$180+1),0)-$I$180*((AR$5=Inputs!$C$12)*$C$182*$D$180+(AR$5=Inputs!$C$13)*$D$182*($D$180+Inputs!$C$14))+$I$180*((AR$5=Inputs!$C$15+$K$180)*$E$182*$I$182+(AR$5=Inputs!$C$16+$K$180)*$F$182*$J$182+(AR$5=Inputs!$C$17)*$G$182*$H$180*$H$182)</f>
        <v>0</v>
      </c>
      <c r="AS185" s="42" t="n">
        <f aca="false">-($D$180+$J$180)*(AS$5=0)+IF(AND(AS$5-$K$180&gt;=1,AS$5-$K$180&lt;=Inputs!$C$13),INDEX($N$183:$AL$183,1,AS$5-$K$180+1)*INDEX($N$184:$AL$184,1,AS$5-$K$180+1),0)-$I$180*((AS$5=Inputs!$C$12)*$C$182*$D$180+(AS$5=Inputs!$C$13)*$D$182*($D$180+Inputs!$C$14))+$I$180*((AS$5=Inputs!$C$15+$K$180)*$E$182*$I$182+(AS$5=Inputs!$C$16+$K$180)*$F$182*$J$182+(AS$5=Inputs!$C$17)*$G$182*$H$180*$H$182)</f>
        <v>1117.04</v>
      </c>
      <c r="AT185" s="42" t="n">
        <f aca="false">-($D$180+$J$180)*(AT$5=0)+IF(AND(AT$5-$K$180&gt;=1,AT$5-$K$180&lt;=Inputs!$C$13),INDEX($N$183:$AL$183,1,AT$5-$K$180+1)*INDEX($N$184:$AL$184,1,AT$5-$K$180+1),0)-$I$180*((AT$5=Inputs!$C$12)*$C$182*$D$180+(AT$5=Inputs!$C$13)*$D$182*($D$180+Inputs!$C$14))+$I$180*((AT$5=Inputs!$C$15+$K$180)*$E$182*$I$182+(AT$5=Inputs!$C$16+$K$180)*$F$182*$J$182+(AT$5=Inputs!$C$17)*$G$182*$H$180*$H$182)</f>
        <v>0</v>
      </c>
      <c r="AU185" s="42" t="n">
        <f aca="false">-($D$180+$J$180)*(AU$5=0)+IF(AND(AU$5-$K$180&gt;=1,AU$5-$K$180&lt;=Inputs!$C$13),INDEX($N$183:$AL$183,1,AU$5-$K$180+1)*INDEX($N$184:$AL$184,1,AU$5-$K$180+1),0)-$I$180*((AU$5=Inputs!$C$12)*$C$182*$D$180+(AU$5=Inputs!$C$13)*$D$182*($D$180+Inputs!$C$14))+$I$180*((AU$5=Inputs!$C$15+$K$180)*$E$182*$I$182+(AU$5=Inputs!$C$16+$K$180)*$F$182*$J$182+(AU$5=Inputs!$C$17)*$G$182*$H$180*$H$182)</f>
        <v>0</v>
      </c>
      <c r="AV185" s="42" t="n">
        <f aca="false">-($D$180+$J$180)*(AV$5=0)+IF(AND(AV$5-$K$180&gt;=1,AV$5-$K$180&lt;=Inputs!$C$13),INDEX($N$183:$AL$183,1,AV$5-$K$180+1)*INDEX($N$184:$AL$184,1,AV$5-$K$180+1),0)-$I$180*((AV$5=Inputs!$C$12)*$C$182*$D$180+(AV$5=Inputs!$C$13)*$D$182*($D$180+Inputs!$C$14))+$I$180*((AV$5=Inputs!$C$15+$K$180)*$E$182*$I$182+(AV$5=Inputs!$C$16+$K$180)*$F$182*$J$182+(AV$5=Inputs!$C$17)*$G$182*$H$180*$H$182)</f>
        <v>0</v>
      </c>
      <c r="AW185" s="42" t="n">
        <f aca="false">-($D$180+$J$180)*(AW$5=0)+IF(AND(AW$5-$K$180&gt;=1,AW$5-$K$180&lt;=Inputs!$C$13),INDEX($N$183:$AL$183,1,AW$5-$K$180+1)*INDEX($N$184:$AL$184,1,AW$5-$K$180+1),0)-$I$180*((AW$5=Inputs!$C$12)*$C$182*$D$180+(AW$5=Inputs!$C$13)*$D$182*($D$180+Inputs!$C$14))+$I$180*((AW$5=Inputs!$C$15+$K$180)*$E$182*$I$182+(AW$5=Inputs!$C$16+$K$180)*$F$182*$J$182+(AW$5=Inputs!$C$17)*$G$182*$H$180*$H$182)</f>
        <v>0</v>
      </c>
      <c r="AX185" s="42" t="n">
        <f aca="false">-($D$180+$J$180)*(AX$5=0)+IF(AND(AX$5-$K$180&gt;=1,AX$5-$K$180&lt;=Inputs!$C$13),INDEX($N$183:$AL$183,1,AX$5-$K$180+1)*INDEX($N$184:$AL$184,1,AX$5-$K$180+1),0)-$I$180*((AX$5=Inputs!$C$12)*$C$182*$D$180+(AX$5=Inputs!$C$13)*$D$182*($D$180+Inputs!$C$14))+$I$180*((AX$5=Inputs!$C$15+$K$180)*$E$182*$I$182+(AX$5=Inputs!$C$16+$K$180)*$F$182*$J$182+(AX$5=Inputs!$C$17)*$G$182*$H$180*$H$182)</f>
        <v>218.16</v>
      </c>
      <c r="AY185" s="42" t="n">
        <f aca="false">-($D$180+$J$180)*(AY$5=0)+IF(AND(AY$5-$K$180&gt;=1,AY$5-$K$180&lt;=Inputs!$C$13),INDEX($N$183:$AL$183,1,AY$5-$K$180+1)*INDEX($N$184:$AL$184,1,AY$5-$K$180+1),0)-$I$180*((AY$5=Inputs!$C$12)*$C$182*$D$180+(AY$5=Inputs!$C$13)*$D$182*($D$180+Inputs!$C$14))+$I$180*((AY$5=Inputs!$C$15+$K$180)*$E$182*$I$182+(AY$5=Inputs!$C$16+$K$180)*$F$182*$J$182+(AY$5=Inputs!$C$17)*$G$182*$H$180*$H$182)</f>
        <v>0</v>
      </c>
    </row>
    <row r="187" customFormat="false" ht="15" hidden="false" customHeight="false" outlineLevel="0" collapsed="false">
      <c r="B187" s="7" t="s">
        <v>207</v>
      </c>
      <c r="C187" s="8"/>
      <c r="D187" s="8"/>
      <c r="E187" s="8"/>
      <c r="F187" s="8"/>
      <c r="G187" s="8"/>
      <c r="H187" s="8"/>
      <c r="I187" s="8"/>
      <c r="J187" s="8"/>
      <c r="K187" s="8"/>
      <c r="L187" s="8"/>
    </row>
    <row r="188" customFormat="false" ht="30" hidden="false" customHeight="true" outlineLevel="0" collapsed="false">
      <c r="B188" s="37"/>
      <c r="C188" s="38" t="s">
        <v>169</v>
      </c>
      <c r="D188" s="38" t="s">
        <v>170</v>
      </c>
      <c r="E188" s="38" t="s">
        <v>171</v>
      </c>
      <c r="F188" s="38" t="s">
        <v>43</v>
      </c>
      <c r="G188" s="38" t="s">
        <v>44</v>
      </c>
      <c r="H188" s="38" t="s">
        <v>45</v>
      </c>
      <c r="I188" s="38" t="s">
        <v>172</v>
      </c>
      <c r="J188" s="38" t="s">
        <v>90</v>
      </c>
      <c r="K188" s="38" t="s">
        <v>89</v>
      </c>
      <c r="L188" s="38" t="s">
        <v>173</v>
      </c>
    </row>
    <row r="189" customFormat="false" ht="15" hidden="false" customHeight="false" outlineLevel="0" collapsed="false">
      <c r="B189" s="39" t="s">
        <v>174</v>
      </c>
      <c r="C189" s="26" t="n">
        <f aca="false">Class_IRR!$G$5</f>
        <v>0.07</v>
      </c>
      <c r="D189" s="30" t="n">
        <f aca="false">Inputs!$E$25</f>
        <v>9500</v>
      </c>
      <c r="E189" s="26" t="n">
        <f aca="false">Inputs!$F$25</f>
        <v>0.9</v>
      </c>
      <c r="F189" s="25" t="n">
        <f aca="false">Inputs!$G$25</f>
        <v>0.6</v>
      </c>
      <c r="G189" s="25" t="n">
        <f aca="false">Inputs!$H$25</f>
        <v>0.8</v>
      </c>
      <c r="H189" s="25" t="n">
        <f aca="false">Inputs!$I$25</f>
        <v>0.9</v>
      </c>
      <c r="I189" s="22" t="n">
        <f aca="false">Inputs!$J$25</f>
        <v>1</v>
      </c>
      <c r="J189" s="23" t="n">
        <f aca="false">Inputs!$C$9</f>
        <v>10</v>
      </c>
      <c r="K189" s="22" t="n">
        <f aca="false">Inputs!$C$10</f>
        <v>1</v>
      </c>
      <c r="L189" s="22" t="n">
        <f aca="false">1</f>
        <v>1</v>
      </c>
    </row>
    <row r="190" customFormat="false" ht="30" hidden="false" customHeight="true" outlineLevel="0" collapsed="false">
      <c r="B190" s="37"/>
      <c r="C190" s="38" t="s">
        <v>175</v>
      </c>
      <c r="D190" s="38" t="s">
        <v>176</v>
      </c>
      <c r="E190" s="38" t="s">
        <v>177</v>
      </c>
      <c r="F190" s="38" t="s">
        <v>178</v>
      </c>
      <c r="G190" s="38" t="s">
        <v>112</v>
      </c>
      <c r="H190" s="38" t="s">
        <v>179</v>
      </c>
      <c r="I190" s="38" t="s">
        <v>180</v>
      </c>
      <c r="J190" s="38" t="s">
        <v>181</v>
      </c>
      <c r="K190" s="38" t="s">
        <v>182</v>
      </c>
      <c r="L190" s="38" t="s">
        <v>183</v>
      </c>
    </row>
    <row r="191" customFormat="false" ht="15" hidden="false" customHeight="false" outlineLevel="0" collapsed="false">
      <c r="B191" s="39" t="s">
        <v>184</v>
      </c>
      <c r="C191" s="40" t="n">
        <f aca="false">1-$E$189*CHOOSE($L$189,INDEX(Timing!$C$7:$AA$7,1,Inputs!$C$12+1),INDEX(Timing!$C$8:$AA$8,1,Inputs!$C$12+1))</f>
        <v>0.316</v>
      </c>
      <c r="D191" s="40" t="n">
        <f aca="false">1-$E$189*CHOOSE($L$189,INDEX(Timing!$C$7:$AA$7,1,Inputs!$C$13+1),INDEX(Timing!$C$8:$AA$8,1,Inputs!$C$13+1))</f>
        <v>0.1</v>
      </c>
      <c r="E191" s="40" t="n">
        <f aca="false">$I$189*$D$191*$F$189</f>
        <v>0.06</v>
      </c>
      <c r="F191" s="40" t="n">
        <f aca="false">$I$189*($D$191-$E$191)*$G$189</f>
        <v>0.032</v>
      </c>
      <c r="G191" s="40" t="n">
        <f aca="false">$I$189*($D$191-$E$191-$F$191)</f>
        <v>0.008</v>
      </c>
      <c r="H191" s="23" t="n">
        <f aca="false">$I$189*(3*$D$189+Inputs!$C$14)</f>
        <v>30300</v>
      </c>
      <c r="I191" s="23" t="n">
        <f aca="false">$I$189*($D$189*(1+IF($C$189&lt;=0,0,MAX($C$189*Inputs!$C$15/12,Inputs!$C$8)))+$D$189*(1+Inputs!$C$11*(Inputs!$C$15-Inputs!$C$12)/12)+$D$189*(1+Inputs!$C$11*(Inputs!$C$15-Inputs!$C$13)/12)+Inputs!$C$14)</f>
        <v>34361.25</v>
      </c>
      <c r="J191" s="23" t="n">
        <f aca="false">$I$189*($D$189*(1+IF($C$189&lt;=0,0,MAX($C$189*Inputs!$C$16/12,Inputs!$C$8)))+$D$189*(1+Inputs!$C$11*(Inputs!$C$16-Inputs!$C$12)/12)+$D$189*(1+Inputs!$C$11*(Inputs!$C$16-Inputs!$C$13)/12)+Inputs!$C$14)</f>
        <v>35382.5</v>
      </c>
      <c r="K191" s="40" t="n">
        <f aca="false">IRR($N$194:$AY$194,0.005)</f>
        <v>0.00733640190364965</v>
      </c>
      <c r="L191" s="41" t="n">
        <f aca="false">(1+$K$191)^12-1</f>
        <v>0.0916774485547376</v>
      </c>
    </row>
    <row r="192" customFormat="false" ht="15" hidden="false" customHeight="false" outlineLevel="0" collapsed="false">
      <c r="B192" s="9" t="s">
        <v>185</v>
      </c>
      <c r="N192" s="40" t="n">
        <f aca="false">0</f>
        <v>0</v>
      </c>
      <c r="O192" s="40" t="n">
        <f aca="false">$E$189*(CHOOSE($L$189,Timing!D$7,Timing!D$8)-CHOOSE($L$189,Timing!C$7,Timing!C$8))</f>
        <v>0.108</v>
      </c>
      <c r="P192" s="40" t="n">
        <f aca="false">$E$189*(CHOOSE($L$189,Timing!E$7,Timing!E$8)-CHOOSE($L$189,Timing!D$7,Timing!D$8))</f>
        <v>0.09</v>
      </c>
      <c r="Q192" s="40" t="n">
        <f aca="false">$E$189*(CHOOSE($L$189,Timing!F$7,Timing!F$8)-CHOOSE($L$189,Timing!E$7,Timing!E$8))</f>
        <v>0.081</v>
      </c>
      <c r="R192" s="40" t="n">
        <f aca="false">$E$189*(CHOOSE($L$189,Timing!G$7,Timing!G$8)-CHOOSE($L$189,Timing!F$7,Timing!F$8))</f>
        <v>0.063</v>
      </c>
      <c r="S192" s="40" t="n">
        <f aca="false">$E$189*(CHOOSE($L$189,Timing!H$7,Timing!H$8)-CHOOSE($L$189,Timing!G$7,Timing!G$8))</f>
        <v>0.063</v>
      </c>
      <c r="T192" s="40" t="n">
        <f aca="false">$E$189*(CHOOSE($L$189,Timing!I$7,Timing!I$8)-CHOOSE($L$189,Timing!H$7,Timing!H$8))</f>
        <v>0.063</v>
      </c>
      <c r="U192" s="40" t="n">
        <f aca="false">$E$189*(CHOOSE($L$189,Timing!J$7,Timing!J$8)-CHOOSE($L$189,Timing!I$7,Timing!I$8))</f>
        <v>0.039</v>
      </c>
      <c r="V192" s="40" t="n">
        <f aca="false">$E$189*(CHOOSE($L$189,Timing!K$7,Timing!K$8)-CHOOSE($L$189,Timing!J$7,Timing!J$8))</f>
        <v>0.039</v>
      </c>
      <c r="W192" s="40" t="n">
        <f aca="false">$E$189*(CHOOSE($L$189,Timing!L$7,Timing!L$8)-CHOOSE($L$189,Timing!K$7,Timing!K$8))</f>
        <v>0.039</v>
      </c>
      <c r="X192" s="40" t="n">
        <f aca="false">$E$189*(CHOOSE($L$189,Timing!M$7,Timing!M$8)-CHOOSE($L$189,Timing!L$7,Timing!L$8))</f>
        <v>0.033</v>
      </c>
      <c r="Y192" s="40" t="n">
        <f aca="false">$E$189*(CHOOSE($L$189,Timing!N$7,Timing!N$8)-CHOOSE($L$189,Timing!M$7,Timing!M$8))</f>
        <v>0.0330000000000001</v>
      </c>
      <c r="Z192" s="40" t="n">
        <f aca="false">$E$189*(CHOOSE($L$189,Timing!O$7,Timing!O$8)-CHOOSE($L$189,Timing!N$7,Timing!N$8))</f>
        <v>0.033</v>
      </c>
      <c r="AA192" s="40" t="n">
        <f aca="false">$E$189*(CHOOSE($L$189,Timing!P$7,Timing!P$8)-CHOOSE($L$189,Timing!O$7,Timing!O$8))</f>
        <v>0.021</v>
      </c>
      <c r="AB192" s="40" t="n">
        <f aca="false">$E$189*(CHOOSE($L$189,Timing!Q$7,Timing!Q$8)-CHOOSE($L$189,Timing!P$7,Timing!P$8))</f>
        <v>0.021</v>
      </c>
      <c r="AC192" s="40" t="n">
        <f aca="false">$E$189*(CHOOSE($L$189,Timing!R$7,Timing!R$8)-CHOOSE($L$189,Timing!Q$7,Timing!Q$8))</f>
        <v>0.0210000000000001</v>
      </c>
      <c r="AD192" s="40" t="n">
        <f aca="false">$E$189*(CHOOSE($L$189,Timing!S$7,Timing!S$8)-CHOOSE($L$189,Timing!R$7,Timing!R$8))</f>
        <v>0.021</v>
      </c>
      <c r="AE192" s="40" t="n">
        <f aca="false">$E$189*(CHOOSE($L$189,Timing!T$7,Timing!T$8)-CHOOSE($L$189,Timing!S$7,Timing!S$8))</f>
        <v>0.021</v>
      </c>
      <c r="AF192" s="40" t="n">
        <f aca="false">$E$189*(CHOOSE($L$189,Timing!U$7,Timing!U$8)-CHOOSE($L$189,Timing!T$7,Timing!T$8))</f>
        <v>0.021</v>
      </c>
      <c r="AG192" s="40" t="n">
        <f aca="false">$E$189*(CHOOSE($L$189,Timing!V$7,Timing!V$8)-CHOOSE($L$189,Timing!U$7,Timing!U$8))</f>
        <v>0.015</v>
      </c>
      <c r="AH192" s="40" t="n">
        <f aca="false">$E$189*(CHOOSE($L$189,Timing!W$7,Timing!W$8)-CHOOSE($L$189,Timing!V$7,Timing!V$8))</f>
        <v>0.0149999999999999</v>
      </c>
      <c r="AI192" s="40" t="n">
        <f aca="false">$E$189*(CHOOSE($L$189,Timing!X$7,Timing!X$8)-CHOOSE($L$189,Timing!W$7,Timing!W$8))</f>
        <v>0.0149999999999999</v>
      </c>
      <c r="AJ192" s="40" t="n">
        <f aca="false">$E$189*(CHOOSE($L$189,Timing!Y$7,Timing!Y$8)-CHOOSE($L$189,Timing!X$7,Timing!X$8))</f>
        <v>0.015</v>
      </c>
      <c r="AK192" s="40" t="n">
        <f aca="false">$E$189*(CHOOSE($L$189,Timing!Z$7,Timing!Z$8)-CHOOSE($L$189,Timing!Y$7,Timing!Y$8))</f>
        <v>0.015</v>
      </c>
      <c r="AL192" s="40" t="n">
        <f aca="false">$E$189*(CHOOSE($L$189,Timing!AA$7,Timing!AA$8)-CHOOSE($L$189,Timing!Z$7,Timing!Z$8))</f>
        <v>0.0149999999999999</v>
      </c>
    </row>
    <row r="193" customFormat="false" ht="15" hidden="false" customHeight="false" outlineLevel="0" collapsed="false">
      <c r="B193" s="9" t="s">
        <v>186</v>
      </c>
      <c r="N193" s="42" t="n">
        <f aca="false">0</f>
        <v>0</v>
      </c>
      <c r="O193" s="42" t="n">
        <f aca="false">$D$189*(1+IF($C$189&lt;=0,0,MAX($C$189*O$5/12,Inputs!$C$8)))+$I$189*(O$5&gt;Inputs!$C$12)*$D$189*(1+Inputs!$C$11*(O$5-Inputs!$C$12)/12)</f>
        <v>9975</v>
      </c>
      <c r="P193" s="42" t="n">
        <f aca="false">$D$189*(1+IF($C$189&lt;=0,0,MAX($C$189*P$5/12,Inputs!$C$8)))+$I$189*(P$5&gt;Inputs!$C$12)*$D$189*(1+Inputs!$C$11*(P$5-Inputs!$C$12)/12)</f>
        <v>9975</v>
      </c>
      <c r="Q193" s="42" t="n">
        <f aca="false">$D$189*(1+IF($C$189&lt;=0,0,MAX($C$189*Q$5/12,Inputs!$C$8)))+$I$189*(Q$5&gt;Inputs!$C$12)*$D$189*(1+Inputs!$C$11*(Q$5-Inputs!$C$12)/12)</f>
        <v>9975</v>
      </c>
      <c r="R193" s="42" t="n">
        <f aca="false">$D$189*(1+IF($C$189&lt;=0,0,MAX($C$189*R$5/12,Inputs!$C$8)))+$I$189*(R$5&gt;Inputs!$C$12)*$D$189*(1+Inputs!$C$11*(R$5-Inputs!$C$12)/12)</f>
        <v>9975</v>
      </c>
      <c r="S193" s="42" t="n">
        <f aca="false">$D$189*(1+IF($C$189&lt;=0,0,MAX($C$189*S$5/12,Inputs!$C$8)))+$I$189*(S$5&gt;Inputs!$C$12)*$D$189*(1+Inputs!$C$11*(S$5-Inputs!$C$12)/12)</f>
        <v>9975</v>
      </c>
      <c r="T193" s="42" t="n">
        <f aca="false">$D$189*(1+IF($C$189&lt;=0,0,MAX($C$189*T$5/12,Inputs!$C$8)))+$I$189*(T$5&gt;Inputs!$C$12)*$D$189*(1+Inputs!$C$11*(T$5-Inputs!$C$12)/12)</f>
        <v>9975</v>
      </c>
      <c r="U193" s="42" t="n">
        <f aca="false">$D$189*(1+IF($C$189&lt;=0,0,MAX($C$189*U$5/12,Inputs!$C$8)))+$I$189*(U$5&gt;Inputs!$C$12)*$D$189*(1+Inputs!$C$11*(U$5-Inputs!$C$12)/12)</f>
        <v>9975</v>
      </c>
      <c r="V193" s="42" t="n">
        <f aca="false">$D$189*(1+IF($C$189&lt;=0,0,MAX($C$189*V$5/12,Inputs!$C$8)))+$I$189*(V$5&gt;Inputs!$C$12)*$D$189*(1+Inputs!$C$11*(V$5-Inputs!$C$12)/12)</f>
        <v>9975</v>
      </c>
      <c r="W193" s="42" t="n">
        <f aca="false">$D$189*(1+IF($C$189&lt;=0,0,MAX($C$189*W$5/12,Inputs!$C$8)))+$I$189*(W$5&gt;Inputs!$C$12)*$D$189*(1+Inputs!$C$11*(W$5-Inputs!$C$12)/12)</f>
        <v>9998.75</v>
      </c>
      <c r="X193" s="42" t="n">
        <f aca="false">$D$189*(1+IF($C$189&lt;=0,0,MAX($C$189*X$5/12,Inputs!$C$8)))+$I$189*(X$5&gt;Inputs!$C$12)*$D$189*(1+Inputs!$C$11*(X$5-Inputs!$C$12)/12)</f>
        <v>10054.1666666667</v>
      </c>
      <c r="Y193" s="42" t="n">
        <f aca="false">$D$189*(1+IF($C$189&lt;=0,0,MAX($C$189*Y$5/12,Inputs!$C$8)))+$I$189*(Y$5&gt;Inputs!$C$12)*$D$189*(1+Inputs!$C$11*(Y$5-Inputs!$C$12)/12)</f>
        <v>10109.5833333333</v>
      </c>
      <c r="Z193" s="42" t="n">
        <f aca="false">$D$189*(1+IF($C$189&lt;=0,0,MAX($C$189*Z$5/12,Inputs!$C$8)))+$I$189*(Z$5&gt;Inputs!$C$12)*$D$189*(1+Inputs!$C$11*(Z$5-Inputs!$C$12)/12)</f>
        <v>10165</v>
      </c>
      <c r="AA193" s="42" t="n">
        <f aca="false">$D$189*(1+IF($C$189&lt;=0,0,MAX($C$189*AA$5/12,Inputs!$C$8)))+$I$189*(AA$5&gt;Inputs!$C$12)*$D$189*(1+Inputs!$C$11*(AA$5-Inputs!$C$12)/12)</f>
        <v>19862.9166666667</v>
      </c>
      <c r="AB193" s="42" t="n">
        <f aca="false">$D$189*(1+IF($C$189&lt;=0,0,MAX($C$189*AB$5/12,Inputs!$C$8)))+$I$189*(AB$5&gt;Inputs!$C$12)*$D$189*(1+Inputs!$C$11*(AB$5-Inputs!$C$12)/12)</f>
        <v>20060.8333333333</v>
      </c>
      <c r="AC193" s="42" t="n">
        <f aca="false">$D$189*(1+IF($C$189&lt;=0,0,MAX($C$189*AC$5/12,Inputs!$C$8)))+$I$189*(AC$5&gt;Inputs!$C$12)*$D$189*(1+Inputs!$C$11*(AC$5-Inputs!$C$12)/12)</f>
        <v>20258.75</v>
      </c>
      <c r="AD193" s="42" t="n">
        <f aca="false">$D$189*(1+IF($C$189&lt;=0,0,MAX($C$189*AD$5/12,Inputs!$C$8)))+$I$189*(AD$5&gt;Inputs!$C$12)*$D$189*(1+Inputs!$C$11*(AD$5-Inputs!$C$12)/12)</f>
        <v>20456.6666666667</v>
      </c>
      <c r="AE193" s="42" t="n">
        <f aca="false">$D$189*(1+IF($C$189&lt;=0,0,MAX($C$189*AE$5/12,Inputs!$C$8)))+$I$189*(AE$5&gt;Inputs!$C$12)*$D$189*(1+Inputs!$C$11*(AE$5-Inputs!$C$12)/12)</f>
        <v>20654.5833333333</v>
      </c>
      <c r="AF193" s="42" t="n">
        <f aca="false">$D$189*(1+IF($C$189&lt;=0,0,MAX($C$189*AF$5/12,Inputs!$C$8)))+$I$189*(AF$5&gt;Inputs!$C$12)*$D$189*(1+Inputs!$C$11*(AF$5-Inputs!$C$12)/12)</f>
        <v>20852.5</v>
      </c>
      <c r="AG193" s="42" t="n">
        <f aca="false">$D$189*(1+IF($C$189&lt;=0,0,MAX($C$189*AG$5/12,Inputs!$C$8)))+$I$189*(AG$5&gt;Inputs!$C$12)*$D$189*(1+Inputs!$C$11*(AG$5-Inputs!$C$12)/12)</f>
        <v>21050.4166666667</v>
      </c>
      <c r="AH193" s="42" t="n">
        <f aca="false">$D$189*(1+IF($C$189&lt;=0,0,MAX($C$189*AH$5/12,Inputs!$C$8)))+$I$189*(AH$5&gt;Inputs!$C$12)*$D$189*(1+Inputs!$C$11*(AH$5-Inputs!$C$12)/12)</f>
        <v>21248.3333333333</v>
      </c>
      <c r="AI193" s="42" t="n">
        <f aca="false">$D$189*(1+IF($C$189&lt;=0,0,MAX($C$189*AI$5/12,Inputs!$C$8)))+$I$189*(AI$5&gt;Inputs!$C$12)*$D$189*(1+Inputs!$C$11*(AI$5-Inputs!$C$12)/12)</f>
        <v>21446.25</v>
      </c>
      <c r="AJ193" s="42" t="n">
        <f aca="false">$D$189*(1+IF($C$189&lt;=0,0,MAX($C$189*AJ$5/12,Inputs!$C$8)))+$I$189*(AJ$5&gt;Inputs!$C$12)*$D$189*(1+Inputs!$C$11*(AJ$5-Inputs!$C$12)/12)</f>
        <v>21644.1666666667</v>
      </c>
      <c r="AK193" s="42" t="n">
        <f aca="false">$D$189*(1+IF($C$189&lt;=0,0,MAX($C$189*AK$5/12,Inputs!$C$8)))+$I$189*(AK$5&gt;Inputs!$C$12)*$D$189*(1+Inputs!$C$11*(AK$5-Inputs!$C$12)/12)</f>
        <v>21842.0833333333</v>
      </c>
      <c r="AL193" s="42" t="n">
        <f aca="false">$D$189*(1+IF($C$189&lt;=0,0,MAX($C$189*AL$5/12,Inputs!$C$8)))+$I$189*(AL$5&gt;Inputs!$C$12)*$D$189*(1+Inputs!$C$11*(AL$5-Inputs!$C$12)/12)</f>
        <v>22040</v>
      </c>
    </row>
    <row r="194" customFormat="false" ht="15" hidden="false" customHeight="false" outlineLevel="0" collapsed="false">
      <c r="B194" s="31" t="s">
        <v>187</v>
      </c>
      <c r="N194" s="42" t="n">
        <f aca="false">-($D$189+$J$189)*(N$5=0)+IF(AND(N$5-$K$189&gt;=1,N$5-$K$189&lt;=Inputs!$C$13),INDEX($N$192:$AL$192,1,N$5-$K$189+1)*INDEX($N$193:$AL$193,1,N$5-$K$189+1),0)-$I$189*((N$5=Inputs!$C$12)*$C$191*$D$189+(N$5=Inputs!$C$13)*$D$191*($D$189+Inputs!$C$14))+$I$189*((N$5=Inputs!$C$15+$K$189)*$E$191*$I$191+(N$5=Inputs!$C$16+$K$189)*$F$191*$J$191+(N$5=Inputs!$C$17)*$G$191*$H$189*$H$191)</f>
        <v>-9510</v>
      </c>
      <c r="O194" s="42" t="n">
        <f aca="false">-($D$189+$J$189)*(O$5=0)+IF(AND(O$5-$K$189&gt;=1,O$5-$K$189&lt;=Inputs!$C$13),INDEX($N$192:$AL$192,1,O$5-$K$189+1)*INDEX($N$193:$AL$193,1,O$5-$K$189+1),0)-$I$189*((O$5=Inputs!$C$12)*$C$191*$D$189+(O$5=Inputs!$C$13)*$D$191*($D$189+Inputs!$C$14))+$I$189*((O$5=Inputs!$C$15+$K$189)*$E$191*$I$191+(O$5=Inputs!$C$16+$K$189)*$F$191*$J$191+(O$5=Inputs!$C$17)*$G$191*$H$189*$H$191)</f>
        <v>0</v>
      </c>
      <c r="P194" s="42" t="n">
        <f aca="false">-($D$189+$J$189)*(P$5=0)+IF(AND(P$5-$K$189&gt;=1,P$5-$K$189&lt;=Inputs!$C$13),INDEX($N$192:$AL$192,1,P$5-$K$189+1)*INDEX($N$193:$AL$193,1,P$5-$K$189+1),0)-$I$189*((P$5=Inputs!$C$12)*$C$191*$D$189+(P$5=Inputs!$C$13)*$D$191*($D$189+Inputs!$C$14))+$I$189*((P$5=Inputs!$C$15+$K$189)*$E$191*$I$191+(P$5=Inputs!$C$16+$K$189)*$F$191*$J$191+(P$5=Inputs!$C$17)*$G$191*$H$189*$H$191)</f>
        <v>1077.3</v>
      </c>
      <c r="Q194" s="42" t="n">
        <f aca="false">-($D$189+$J$189)*(Q$5=0)+IF(AND(Q$5-$K$189&gt;=1,Q$5-$K$189&lt;=Inputs!$C$13),INDEX($N$192:$AL$192,1,Q$5-$K$189+1)*INDEX($N$193:$AL$193,1,Q$5-$K$189+1),0)-$I$189*((Q$5=Inputs!$C$12)*$C$191*$D$189+(Q$5=Inputs!$C$13)*$D$191*($D$189+Inputs!$C$14))+$I$189*((Q$5=Inputs!$C$15+$K$189)*$E$191*$I$191+(Q$5=Inputs!$C$16+$K$189)*$F$191*$J$191+(Q$5=Inputs!$C$17)*$G$191*$H$189*$H$191)</f>
        <v>897.75</v>
      </c>
      <c r="R194" s="42" t="n">
        <f aca="false">-($D$189+$J$189)*(R$5=0)+IF(AND(R$5-$K$189&gt;=1,R$5-$K$189&lt;=Inputs!$C$13),INDEX($N$192:$AL$192,1,R$5-$K$189+1)*INDEX($N$193:$AL$193,1,R$5-$K$189+1),0)-$I$189*((R$5=Inputs!$C$12)*$C$191*$D$189+(R$5=Inputs!$C$13)*$D$191*($D$189+Inputs!$C$14))+$I$189*((R$5=Inputs!$C$15+$K$189)*$E$191*$I$191+(R$5=Inputs!$C$16+$K$189)*$F$191*$J$191+(R$5=Inputs!$C$17)*$G$191*$H$189*$H$191)</f>
        <v>807.975</v>
      </c>
      <c r="S194" s="42" t="n">
        <f aca="false">-($D$189+$J$189)*(S$5=0)+IF(AND(S$5-$K$189&gt;=1,S$5-$K$189&lt;=Inputs!$C$13),INDEX($N$192:$AL$192,1,S$5-$K$189+1)*INDEX($N$193:$AL$193,1,S$5-$K$189+1),0)-$I$189*((S$5=Inputs!$C$12)*$C$191*$D$189+(S$5=Inputs!$C$13)*$D$191*($D$189+Inputs!$C$14))+$I$189*((S$5=Inputs!$C$15+$K$189)*$E$191*$I$191+(S$5=Inputs!$C$16+$K$189)*$F$191*$J$191+(S$5=Inputs!$C$17)*$G$191*$H$189*$H$191)</f>
        <v>628.425</v>
      </c>
      <c r="T194" s="42" t="n">
        <f aca="false">-($D$189+$J$189)*(T$5=0)+IF(AND(T$5-$K$189&gt;=1,T$5-$K$189&lt;=Inputs!$C$13),INDEX($N$192:$AL$192,1,T$5-$K$189+1)*INDEX($N$193:$AL$193,1,T$5-$K$189+1),0)-$I$189*((T$5=Inputs!$C$12)*$C$191*$D$189+(T$5=Inputs!$C$13)*$D$191*($D$189+Inputs!$C$14))+$I$189*((T$5=Inputs!$C$15+$K$189)*$E$191*$I$191+(T$5=Inputs!$C$16+$K$189)*$F$191*$J$191+(T$5=Inputs!$C$17)*$G$191*$H$189*$H$191)</f>
        <v>628.425</v>
      </c>
      <c r="U194" s="42" t="n">
        <f aca="false">-($D$189+$J$189)*(U$5=0)+IF(AND(U$5-$K$189&gt;=1,U$5-$K$189&lt;=Inputs!$C$13),INDEX($N$192:$AL$192,1,U$5-$K$189+1)*INDEX($N$193:$AL$193,1,U$5-$K$189+1),0)-$I$189*((U$5=Inputs!$C$12)*$C$191*$D$189+(U$5=Inputs!$C$13)*$D$191*($D$189+Inputs!$C$14))+$I$189*((U$5=Inputs!$C$15+$K$189)*$E$191*$I$191+(U$5=Inputs!$C$16+$K$189)*$F$191*$J$191+(U$5=Inputs!$C$17)*$G$191*$H$189*$H$191)</f>
        <v>628.425</v>
      </c>
      <c r="V194" s="42" t="n">
        <f aca="false">-($D$189+$J$189)*(V$5=0)+IF(AND(V$5-$K$189&gt;=1,V$5-$K$189&lt;=Inputs!$C$13),INDEX($N$192:$AL$192,1,V$5-$K$189+1)*INDEX($N$193:$AL$193,1,V$5-$K$189+1),0)-$I$189*((V$5=Inputs!$C$12)*$C$191*$D$189+(V$5=Inputs!$C$13)*$D$191*($D$189+Inputs!$C$14))+$I$189*((V$5=Inputs!$C$15+$K$189)*$E$191*$I$191+(V$5=Inputs!$C$16+$K$189)*$F$191*$J$191+(V$5=Inputs!$C$17)*$G$191*$H$189*$H$191)</f>
        <v>389.025</v>
      </c>
      <c r="W194" s="42" t="n">
        <f aca="false">-($D$189+$J$189)*(W$5=0)+IF(AND(W$5-$K$189&gt;=1,W$5-$K$189&lt;=Inputs!$C$13),INDEX($N$192:$AL$192,1,W$5-$K$189+1)*INDEX($N$193:$AL$193,1,W$5-$K$189+1),0)-$I$189*((W$5=Inputs!$C$12)*$C$191*$D$189+(W$5=Inputs!$C$13)*$D$191*($D$189+Inputs!$C$14))+$I$189*((W$5=Inputs!$C$15+$K$189)*$E$191*$I$191+(W$5=Inputs!$C$16+$K$189)*$F$191*$J$191+(W$5=Inputs!$C$17)*$G$191*$H$189*$H$191)</f>
        <v>389.025</v>
      </c>
      <c r="X194" s="42" t="n">
        <f aca="false">-($D$189+$J$189)*(X$5=0)+IF(AND(X$5-$K$189&gt;=1,X$5-$K$189&lt;=Inputs!$C$13),INDEX($N$192:$AL$192,1,X$5-$K$189+1)*INDEX($N$193:$AL$193,1,X$5-$K$189+1),0)-$I$189*((X$5=Inputs!$C$12)*$C$191*$D$189+(X$5=Inputs!$C$13)*$D$191*($D$189+Inputs!$C$14))+$I$189*((X$5=Inputs!$C$15+$K$189)*$E$191*$I$191+(X$5=Inputs!$C$16+$K$189)*$F$191*$J$191+(X$5=Inputs!$C$17)*$G$191*$H$189*$H$191)</f>
        <v>389.95125</v>
      </c>
      <c r="Y194" s="42" t="n">
        <f aca="false">-($D$189+$J$189)*(Y$5=0)+IF(AND(Y$5-$K$189&gt;=1,Y$5-$K$189&lt;=Inputs!$C$13),INDEX($N$192:$AL$192,1,Y$5-$K$189+1)*INDEX($N$193:$AL$193,1,Y$5-$K$189+1),0)-$I$189*((Y$5=Inputs!$C$12)*$C$191*$D$189+(Y$5=Inputs!$C$13)*$D$191*($D$189+Inputs!$C$14))+$I$189*((Y$5=Inputs!$C$15+$K$189)*$E$191*$I$191+(Y$5=Inputs!$C$16+$K$189)*$F$191*$J$191+(Y$5=Inputs!$C$17)*$G$191*$H$189*$H$191)</f>
        <v>331.7875</v>
      </c>
      <c r="Z194" s="42" t="n">
        <f aca="false">-($D$189+$J$189)*(Z$5=0)+IF(AND(Z$5-$K$189&gt;=1,Z$5-$K$189&lt;=Inputs!$C$13),INDEX($N$192:$AL$192,1,Z$5-$K$189+1)*INDEX($N$193:$AL$193,1,Z$5-$K$189+1),0)-$I$189*((Z$5=Inputs!$C$12)*$C$191*$D$189+(Z$5=Inputs!$C$13)*$D$191*($D$189+Inputs!$C$14))+$I$189*((Z$5=Inputs!$C$15+$K$189)*$E$191*$I$191+(Z$5=Inputs!$C$16+$K$189)*$F$191*$J$191+(Z$5=Inputs!$C$17)*$G$191*$H$189*$H$191)</f>
        <v>-2668.38375</v>
      </c>
      <c r="AA194" s="42" t="n">
        <f aca="false">-($D$189+$J$189)*(AA$5=0)+IF(AND(AA$5-$K$189&gt;=1,AA$5-$K$189&lt;=Inputs!$C$13),INDEX($N$192:$AL$192,1,AA$5-$K$189+1)*INDEX($N$193:$AL$193,1,AA$5-$K$189+1),0)-$I$189*((AA$5=Inputs!$C$12)*$C$191*$D$189+(AA$5=Inputs!$C$13)*$D$191*($D$189+Inputs!$C$14))+$I$189*((AA$5=Inputs!$C$15+$K$189)*$E$191*$I$191+(AA$5=Inputs!$C$16+$K$189)*$F$191*$J$191+(AA$5=Inputs!$C$17)*$G$191*$H$189*$H$191)</f>
        <v>335.445</v>
      </c>
      <c r="AB194" s="42" t="n">
        <f aca="false">-($D$189+$J$189)*(AB$5=0)+IF(AND(AB$5-$K$189&gt;=1,AB$5-$K$189&lt;=Inputs!$C$13),INDEX($N$192:$AL$192,1,AB$5-$K$189+1)*INDEX($N$193:$AL$193,1,AB$5-$K$189+1),0)-$I$189*((AB$5=Inputs!$C$12)*$C$191*$D$189+(AB$5=Inputs!$C$13)*$D$191*($D$189+Inputs!$C$14))+$I$189*((AB$5=Inputs!$C$15+$K$189)*$E$191*$I$191+(AB$5=Inputs!$C$16+$K$189)*$F$191*$J$191+(AB$5=Inputs!$C$17)*$G$191*$H$189*$H$191)</f>
        <v>417.12125</v>
      </c>
      <c r="AC194" s="42" t="n">
        <f aca="false">-($D$189+$J$189)*(AC$5=0)+IF(AND(AC$5-$K$189&gt;=1,AC$5-$K$189&lt;=Inputs!$C$13),INDEX($N$192:$AL$192,1,AC$5-$K$189+1)*INDEX($N$193:$AL$193,1,AC$5-$K$189+1),0)-$I$189*((AC$5=Inputs!$C$12)*$C$191*$D$189+(AC$5=Inputs!$C$13)*$D$191*($D$189+Inputs!$C$14))+$I$189*((AC$5=Inputs!$C$15+$K$189)*$E$191*$I$191+(AC$5=Inputs!$C$16+$K$189)*$F$191*$J$191+(AC$5=Inputs!$C$17)*$G$191*$H$189*$H$191)</f>
        <v>421.2775</v>
      </c>
      <c r="AD194" s="42" t="n">
        <f aca="false">-($D$189+$J$189)*(AD$5=0)+IF(AND(AD$5-$K$189&gt;=1,AD$5-$K$189&lt;=Inputs!$C$13),INDEX($N$192:$AL$192,1,AD$5-$K$189+1)*INDEX($N$193:$AL$193,1,AD$5-$K$189+1),0)-$I$189*((AD$5=Inputs!$C$12)*$C$191*$D$189+(AD$5=Inputs!$C$13)*$D$191*($D$189+Inputs!$C$14))+$I$189*((AD$5=Inputs!$C$15+$K$189)*$E$191*$I$191+(AD$5=Inputs!$C$16+$K$189)*$F$191*$J$191+(AD$5=Inputs!$C$17)*$G$191*$H$189*$H$191)</f>
        <v>425.433750000002</v>
      </c>
      <c r="AE194" s="42" t="n">
        <f aca="false">-($D$189+$J$189)*(AE$5=0)+IF(AND(AE$5-$K$189&gt;=1,AE$5-$K$189&lt;=Inputs!$C$13),INDEX($N$192:$AL$192,1,AE$5-$K$189+1)*INDEX($N$193:$AL$193,1,AE$5-$K$189+1),0)-$I$189*((AE$5=Inputs!$C$12)*$C$191*$D$189+(AE$5=Inputs!$C$13)*$D$191*($D$189+Inputs!$C$14))+$I$189*((AE$5=Inputs!$C$15+$K$189)*$E$191*$I$191+(AE$5=Inputs!$C$16+$K$189)*$F$191*$J$191+(AE$5=Inputs!$C$17)*$G$191*$H$189*$H$191)</f>
        <v>429.59</v>
      </c>
      <c r="AF194" s="42" t="n">
        <f aca="false">-($D$189+$J$189)*(AF$5=0)+IF(AND(AF$5-$K$189&gt;=1,AF$5-$K$189&lt;=Inputs!$C$13),INDEX($N$192:$AL$192,1,AF$5-$K$189+1)*INDEX($N$193:$AL$193,1,AF$5-$K$189+1),0)-$I$189*((AF$5=Inputs!$C$12)*$C$191*$D$189+(AF$5=Inputs!$C$13)*$D$191*($D$189+Inputs!$C$14))+$I$189*((AF$5=Inputs!$C$15+$K$189)*$E$191*$I$191+(AF$5=Inputs!$C$16+$K$189)*$F$191*$J$191+(AF$5=Inputs!$C$17)*$G$191*$H$189*$H$191)</f>
        <v>433.74625</v>
      </c>
      <c r="AG194" s="42" t="n">
        <f aca="false">-($D$189+$J$189)*(AG$5=0)+IF(AND(AG$5-$K$189&gt;=1,AG$5-$K$189&lt;=Inputs!$C$13),INDEX($N$192:$AL$192,1,AG$5-$K$189+1)*INDEX($N$193:$AL$193,1,AG$5-$K$189+1),0)-$I$189*((AG$5=Inputs!$C$12)*$C$191*$D$189+(AG$5=Inputs!$C$13)*$D$191*($D$189+Inputs!$C$14))+$I$189*((AG$5=Inputs!$C$15+$K$189)*$E$191*$I$191+(AG$5=Inputs!$C$16+$K$189)*$F$191*$J$191+(AG$5=Inputs!$C$17)*$G$191*$H$189*$H$191)</f>
        <v>437.9025</v>
      </c>
      <c r="AH194" s="42" t="n">
        <f aca="false">-($D$189+$J$189)*(AH$5=0)+IF(AND(AH$5-$K$189&gt;=1,AH$5-$K$189&lt;=Inputs!$C$13),INDEX($N$192:$AL$192,1,AH$5-$K$189+1)*INDEX($N$193:$AL$193,1,AH$5-$K$189+1),0)-$I$189*((AH$5=Inputs!$C$12)*$C$191*$D$189+(AH$5=Inputs!$C$13)*$D$191*($D$189+Inputs!$C$14))+$I$189*((AH$5=Inputs!$C$15+$K$189)*$E$191*$I$191+(AH$5=Inputs!$C$16+$K$189)*$F$191*$J$191+(AH$5=Inputs!$C$17)*$G$191*$H$189*$H$191)</f>
        <v>315.756250000001</v>
      </c>
      <c r="AI194" s="42" t="n">
        <f aca="false">-($D$189+$J$189)*(AI$5=0)+IF(AND(AI$5-$K$189&gt;=1,AI$5-$K$189&lt;=Inputs!$C$13),INDEX($N$192:$AL$192,1,AI$5-$K$189+1)*INDEX($N$193:$AL$193,1,AI$5-$K$189+1),0)-$I$189*((AI$5=Inputs!$C$12)*$C$191*$D$189+(AI$5=Inputs!$C$13)*$D$191*($D$189+Inputs!$C$14))+$I$189*((AI$5=Inputs!$C$15+$K$189)*$E$191*$I$191+(AI$5=Inputs!$C$16+$K$189)*$F$191*$J$191+(AI$5=Inputs!$C$17)*$G$191*$H$189*$H$191)</f>
        <v>318.724999999999</v>
      </c>
      <c r="AJ194" s="42" t="n">
        <f aca="false">-($D$189+$J$189)*(AJ$5=0)+IF(AND(AJ$5-$K$189&gt;=1,AJ$5-$K$189&lt;=Inputs!$C$13),INDEX($N$192:$AL$192,1,AJ$5-$K$189+1)*INDEX($N$193:$AL$193,1,AJ$5-$K$189+1),0)-$I$189*((AJ$5=Inputs!$C$12)*$C$191*$D$189+(AJ$5=Inputs!$C$13)*$D$191*($D$189+Inputs!$C$14))+$I$189*((AJ$5=Inputs!$C$15+$K$189)*$E$191*$I$191+(AJ$5=Inputs!$C$16+$K$189)*$F$191*$J$191+(AJ$5=Inputs!$C$17)*$G$191*$H$189*$H$191)</f>
        <v>321.693749999999</v>
      </c>
      <c r="AK194" s="42" t="n">
        <f aca="false">-($D$189+$J$189)*(AK$5=0)+IF(AND(AK$5-$K$189&gt;=1,AK$5-$K$189&lt;=Inputs!$C$13),INDEX($N$192:$AL$192,1,AK$5-$K$189+1)*INDEX($N$193:$AL$193,1,AK$5-$K$189+1),0)-$I$189*((AK$5=Inputs!$C$12)*$C$191*$D$189+(AK$5=Inputs!$C$13)*$D$191*($D$189+Inputs!$C$14))+$I$189*((AK$5=Inputs!$C$15+$K$189)*$E$191*$I$191+(AK$5=Inputs!$C$16+$K$189)*$F$191*$J$191+(AK$5=Inputs!$C$17)*$G$191*$H$189*$H$191)</f>
        <v>324.662500000001</v>
      </c>
      <c r="AL194" s="42" t="n">
        <f aca="false">-($D$189+$J$189)*(AL$5=0)+IF(AND(AL$5-$K$189&gt;=1,AL$5-$K$189&lt;=Inputs!$C$13),INDEX($N$192:$AL$192,1,AL$5-$K$189+1)*INDEX($N$193:$AL$193,1,AL$5-$K$189+1),0)-$I$189*((AL$5=Inputs!$C$12)*$C$191*$D$189+(AL$5=Inputs!$C$13)*$D$191*($D$189+Inputs!$C$14))+$I$189*((AL$5=Inputs!$C$15+$K$189)*$E$191*$I$191+(AL$5=Inputs!$C$16+$K$189)*$F$191*$J$191+(AL$5=Inputs!$C$17)*$G$191*$H$189*$H$191)</f>
        <v>-802.368749999999</v>
      </c>
      <c r="AM194" s="42" t="n">
        <f aca="false">-($D$189+$J$189)*(AM$5=0)+IF(AND(AM$5-$K$189&gt;=1,AM$5-$K$189&lt;=Inputs!$C$13),INDEX($N$192:$AL$192,1,AM$5-$K$189+1)*INDEX($N$193:$AL$193,1,AM$5-$K$189+1),0)-$I$189*((AM$5=Inputs!$C$12)*$C$191*$D$189+(AM$5=Inputs!$C$13)*$D$191*($D$189+Inputs!$C$14))+$I$189*((AM$5=Inputs!$C$15+$K$189)*$E$191*$I$191+(AM$5=Inputs!$C$16+$K$189)*$F$191*$J$191+(AM$5=Inputs!$C$17)*$G$191*$H$189*$H$191)</f>
        <v>330.599999999999</v>
      </c>
      <c r="AN194" s="42" t="n">
        <f aca="false">-($D$189+$J$189)*(AN$5=0)+IF(AND(AN$5-$K$189&gt;=1,AN$5-$K$189&lt;=Inputs!$C$13),INDEX($N$192:$AL$192,1,AN$5-$K$189+1)*INDEX($N$193:$AL$193,1,AN$5-$K$189+1),0)-$I$189*((AN$5=Inputs!$C$12)*$C$191*$D$189+(AN$5=Inputs!$C$13)*$D$191*($D$189+Inputs!$C$14))+$I$189*((AN$5=Inputs!$C$15+$K$189)*$E$191*$I$191+(AN$5=Inputs!$C$16+$K$189)*$F$191*$J$191+(AN$5=Inputs!$C$17)*$G$191*$H$189*$H$191)</f>
        <v>0</v>
      </c>
      <c r="AO194" s="42" t="n">
        <f aca="false">-($D$189+$J$189)*(AO$5=0)+IF(AND(AO$5-$K$189&gt;=1,AO$5-$K$189&lt;=Inputs!$C$13),INDEX($N$192:$AL$192,1,AO$5-$K$189+1)*INDEX($N$193:$AL$193,1,AO$5-$K$189+1),0)-$I$189*((AO$5=Inputs!$C$12)*$C$191*$D$189+(AO$5=Inputs!$C$13)*$D$191*($D$189+Inputs!$C$14))+$I$189*((AO$5=Inputs!$C$15+$K$189)*$E$191*$I$191+(AO$5=Inputs!$C$16+$K$189)*$F$191*$J$191+(AO$5=Inputs!$C$17)*$G$191*$H$189*$H$191)</f>
        <v>0</v>
      </c>
      <c r="AP194" s="42" t="n">
        <f aca="false">-($D$189+$J$189)*(AP$5=0)+IF(AND(AP$5-$K$189&gt;=1,AP$5-$K$189&lt;=Inputs!$C$13),INDEX($N$192:$AL$192,1,AP$5-$K$189+1)*INDEX($N$193:$AL$193,1,AP$5-$K$189+1),0)-$I$189*((AP$5=Inputs!$C$12)*$C$191*$D$189+(AP$5=Inputs!$C$13)*$D$191*($D$189+Inputs!$C$14))+$I$189*((AP$5=Inputs!$C$15+$K$189)*$E$191*$I$191+(AP$5=Inputs!$C$16+$K$189)*$F$191*$J$191+(AP$5=Inputs!$C$17)*$G$191*$H$189*$H$191)</f>
        <v>2061.675</v>
      </c>
      <c r="AQ194" s="42" t="n">
        <f aca="false">-($D$189+$J$189)*(AQ$5=0)+IF(AND(AQ$5-$K$189&gt;=1,AQ$5-$K$189&lt;=Inputs!$C$13),INDEX($N$192:$AL$192,1,AQ$5-$K$189+1)*INDEX($N$193:$AL$193,1,AQ$5-$K$189+1),0)-$I$189*((AQ$5=Inputs!$C$12)*$C$191*$D$189+(AQ$5=Inputs!$C$13)*$D$191*($D$189+Inputs!$C$14))+$I$189*((AQ$5=Inputs!$C$15+$K$189)*$E$191*$I$191+(AQ$5=Inputs!$C$16+$K$189)*$F$191*$J$191+(AQ$5=Inputs!$C$17)*$G$191*$H$189*$H$191)</f>
        <v>0</v>
      </c>
      <c r="AR194" s="42" t="n">
        <f aca="false">-($D$189+$J$189)*(AR$5=0)+IF(AND(AR$5-$K$189&gt;=1,AR$5-$K$189&lt;=Inputs!$C$13),INDEX($N$192:$AL$192,1,AR$5-$K$189+1)*INDEX($N$193:$AL$193,1,AR$5-$K$189+1),0)-$I$189*((AR$5=Inputs!$C$12)*$C$191*$D$189+(AR$5=Inputs!$C$13)*$D$191*($D$189+Inputs!$C$14))+$I$189*((AR$5=Inputs!$C$15+$K$189)*$E$191*$I$191+(AR$5=Inputs!$C$16+$K$189)*$F$191*$J$191+(AR$5=Inputs!$C$17)*$G$191*$H$189*$H$191)</f>
        <v>0</v>
      </c>
      <c r="AS194" s="42" t="n">
        <f aca="false">-($D$189+$J$189)*(AS$5=0)+IF(AND(AS$5-$K$189&gt;=1,AS$5-$K$189&lt;=Inputs!$C$13),INDEX($N$192:$AL$192,1,AS$5-$K$189+1)*INDEX($N$193:$AL$193,1,AS$5-$K$189+1),0)-$I$189*((AS$5=Inputs!$C$12)*$C$191*$D$189+(AS$5=Inputs!$C$13)*$D$191*($D$189+Inputs!$C$14))+$I$189*((AS$5=Inputs!$C$15+$K$189)*$E$191*$I$191+(AS$5=Inputs!$C$16+$K$189)*$F$191*$J$191+(AS$5=Inputs!$C$17)*$G$191*$H$189*$H$191)</f>
        <v>1132.24</v>
      </c>
      <c r="AT194" s="42" t="n">
        <f aca="false">-($D$189+$J$189)*(AT$5=0)+IF(AND(AT$5-$K$189&gt;=1,AT$5-$K$189&lt;=Inputs!$C$13),INDEX($N$192:$AL$192,1,AT$5-$K$189+1)*INDEX($N$193:$AL$193,1,AT$5-$K$189+1),0)-$I$189*((AT$5=Inputs!$C$12)*$C$191*$D$189+(AT$5=Inputs!$C$13)*$D$191*($D$189+Inputs!$C$14))+$I$189*((AT$5=Inputs!$C$15+$K$189)*$E$191*$I$191+(AT$5=Inputs!$C$16+$K$189)*$F$191*$J$191+(AT$5=Inputs!$C$17)*$G$191*$H$189*$H$191)</f>
        <v>0</v>
      </c>
      <c r="AU194" s="42" t="n">
        <f aca="false">-($D$189+$J$189)*(AU$5=0)+IF(AND(AU$5-$K$189&gt;=1,AU$5-$K$189&lt;=Inputs!$C$13),INDEX($N$192:$AL$192,1,AU$5-$K$189+1)*INDEX($N$193:$AL$193,1,AU$5-$K$189+1),0)-$I$189*((AU$5=Inputs!$C$12)*$C$191*$D$189+(AU$5=Inputs!$C$13)*$D$191*($D$189+Inputs!$C$14))+$I$189*((AU$5=Inputs!$C$15+$K$189)*$E$191*$I$191+(AU$5=Inputs!$C$16+$K$189)*$F$191*$J$191+(AU$5=Inputs!$C$17)*$G$191*$H$189*$H$191)</f>
        <v>0</v>
      </c>
      <c r="AV194" s="42" t="n">
        <f aca="false">-($D$189+$J$189)*(AV$5=0)+IF(AND(AV$5-$K$189&gt;=1,AV$5-$K$189&lt;=Inputs!$C$13),INDEX($N$192:$AL$192,1,AV$5-$K$189+1)*INDEX($N$193:$AL$193,1,AV$5-$K$189+1),0)-$I$189*((AV$5=Inputs!$C$12)*$C$191*$D$189+(AV$5=Inputs!$C$13)*$D$191*($D$189+Inputs!$C$14))+$I$189*((AV$5=Inputs!$C$15+$K$189)*$E$191*$I$191+(AV$5=Inputs!$C$16+$K$189)*$F$191*$J$191+(AV$5=Inputs!$C$17)*$G$191*$H$189*$H$191)</f>
        <v>0</v>
      </c>
      <c r="AW194" s="42" t="n">
        <f aca="false">-($D$189+$J$189)*(AW$5=0)+IF(AND(AW$5-$K$189&gt;=1,AW$5-$K$189&lt;=Inputs!$C$13),INDEX($N$192:$AL$192,1,AW$5-$K$189+1)*INDEX($N$193:$AL$193,1,AW$5-$K$189+1),0)-$I$189*((AW$5=Inputs!$C$12)*$C$191*$D$189+(AW$5=Inputs!$C$13)*$D$191*($D$189+Inputs!$C$14))+$I$189*((AW$5=Inputs!$C$15+$K$189)*$E$191*$I$191+(AW$5=Inputs!$C$16+$K$189)*$F$191*$J$191+(AW$5=Inputs!$C$17)*$G$191*$H$189*$H$191)</f>
        <v>0</v>
      </c>
      <c r="AX194" s="42" t="n">
        <f aca="false">-($D$189+$J$189)*(AX$5=0)+IF(AND(AX$5-$K$189&gt;=1,AX$5-$K$189&lt;=Inputs!$C$13),INDEX($N$192:$AL$192,1,AX$5-$K$189+1)*INDEX($N$193:$AL$193,1,AX$5-$K$189+1),0)-$I$189*((AX$5=Inputs!$C$12)*$C$191*$D$189+(AX$5=Inputs!$C$13)*$D$191*($D$189+Inputs!$C$14))+$I$189*((AX$5=Inputs!$C$15+$K$189)*$E$191*$I$191+(AX$5=Inputs!$C$16+$K$189)*$F$191*$J$191+(AX$5=Inputs!$C$17)*$G$191*$H$189*$H$191)</f>
        <v>218.16</v>
      </c>
      <c r="AY194" s="42" t="n">
        <f aca="false">-($D$189+$J$189)*(AY$5=0)+IF(AND(AY$5-$K$189&gt;=1,AY$5-$K$189&lt;=Inputs!$C$13),INDEX($N$192:$AL$192,1,AY$5-$K$189+1)*INDEX($N$193:$AL$193,1,AY$5-$K$189+1),0)-$I$189*((AY$5=Inputs!$C$12)*$C$191*$D$189+(AY$5=Inputs!$C$13)*$D$191*($D$189+Inputs!$C$14))+$I$189*((AY$5=Inputs!$C$15+$K$189)*$E$191*$I$191+(AY$5=Inputs!$C$16+$K$189)*$F$191*$J$191+(AY$5=Inputs!$C$17)*$G$191*$H$189*$H$191)</f>
        <v>0</v>
      </c>
    </row>
    <row r="196" customFormat="false" ht="15" hidden="false" customHeight="false" outlineLevel="0" collapsed="false">
      <c r="B196" s="7" t="s">
        <v>208</v>
      </c>
      <c r="C196" s="8"/>
      <c r="D196" s="8"/>
      <c r="E196" s="8"/>
      <c r="F196" s="8"/>
      <c r="G196" s="8"/>
      <c r="H196" s="8"/>
      <c r="I196" s="8"/>
      <c r="J196" s="8"/>
      <c r="K196" s="8"/>
      <c r="L196" s="8"/>
    </row>
    <row r="197" customFormat="false" ht="30" hidden="false" customHeight="true" outlineLevel="0" collapsed="false">
      <c r="B197" s="37"/>
      <c r="C197" s="38" t="s">
        <v>169</v>
      </c>
      <c r="D197" s="38" t="s">
        <v>170</v>
      </c>
      <c r="E197" s="38" t="s">
        <v>171</v>
      </c>
      <c r="F197" s="38" t="s">
        <v>43</v>
      </c>
      <c r="G197" s="38" t="s">
        <v>44</v>
      </c>
      <c r="H197" s="38" t="s">
        <v>45</v>
      </c>
      <c r="I197" s="38" t="s">
        <v>172</v>
      </c>
      <c r="J197" s="38" t="s">
        <v>90</v>
      </c>
      <c r="K197" s="38" t="s">
        <v>89</v>
      </c>
      <c r="L197" s="38" t="s">
        <v>173</v>
      </c>
    </row>
    <row r="198" customFormat="false" ht="15" hidden="false" customHeight="false" outlineLevel="0" collapsed="false">
      <c r="B198" s="39" t="s">
        <v>174</v>
      </c>
      <c r="C198" s="26" t="n">
        <f aca="false">Class_IRR!$H$5</f>
        <v>0.09</v>
      </c>
      <c r="D198" s="30" t="n">
        <f aca="false">Inputs!$E$25</f>
        <v>9500</v>
      </c>
      <c r="E198" s="26" t="n">
        <f aca="false">Inputs!$F$25</f>
        <v>0.9</v>
      </c>
      <c r="F198" s="25" t="n">
        <f aca="false">Inputs!$G$25</f>
        <v>0.6</v>
      </c>
      <c r="G198" s="25" t="n">
        <f aca="false">Inputs!$H$25</f>
        <v>0.8</v>
      </c>
      <c r="H198" s="25" t="n">
        <f aca="false">Inputs!$I$25</f>
        <v>0.9</v>
      </c>
      <c r="I198" s="22" t="n">
        <f aca="false">Inputs!$J$25</f>
        <v>1</v>
      </c>
      <c r="J198" s="23" t="n">
        <f aca="false">Inputs!$C$9</f>
        <v>10</v>
      </c>
      <c r="K198" s="22" t="n">
        <f aca="false">Inputs!$C$10</f>
        <v>1</v>
      </c>
      <c r="L198" s="22" t="n">
        <f aca="false">1</f>
        <v>1</v>
      </c>
    </row>
    <row r="199" customFormat="false" ht="30" hidden="false" customHeight="true" outlineLevel="0" collapsed="false">
      <c r="B199" s="37"/>
      <c r="C199" s="38" t="s">
        <v>175</v>
      </c>
      <c r="D199" s="38" t="s">
        <v>176</v>
      </c>
      <c r="E199" s="38" t="s">
        <v>177</v>
      </c>
      <c r="F199" s="38" t="s">
        <v>178</v>
      </c>
      <c r="G199" s="38" t="s">
        <v>112</v>
      </c>
      <c r="H199" s="38" t="s">
        <v>179</v>
      </c>
      <c r="I199" s="38" t="s">
        <v>180</v>
      </c>
      <c r="J199" s="38" t="s">
        <v>181</v>
      </c>
      <c r="K199" s="38" t="s">
        <v>182</v>
      </c>
      <c r="L199" s="38" t="s">
        <v>183</v>
      </c>
    </row>
    <row r="200" customFormat="false" ht="15" hidden="false" customHeight="false" outlineLevel="0" collapsed="false">
      <c r="B200" s="39" t="s">
        <v>184</v>
      </c>
      <c r="C200" s="40" t="n">
        <f aca="false">1-$E$198*CHOOSE($L$198,INDEX(Timing!$C$7:$AA$7,1,Inputs!$C$12+1),INDEX(Timing!$C$8:$AA$8,1,Inputs!$C$12+1))</f>
        <v>0.316</v>
      </c>
      <c r="D200" s="40" t="n">
        <f aca="false">1-$E$198*CHOOSE($L$198,INDEX(Timing!$C$7:$AA$7,1,Inputs!$C$13+1),INDEX(Timing!$C$8:$AA$8,1,Inputs!$C$13+1))</f>
        <v>0.1</v>
      </c>
      <c r="E200" s="40" t="n">
        <f aca="false">$I$198*$D$200*$F$198</f>
        <v>0.06</v>
      </c>
      <c r="F200" s="40" t="n">
        <f aca="false">$I$198*($D$200-$E$200)*$G$198</f>
        <v>0.032</v>
      </c>
      <c r="G200" s="40" t="n">
        <f aca="false">$I$198*($D$200-$E$200-$F$200)</f>
        <v>0.008</v>
      </c>
      <c r="H200" s="23" t="n">
        <f aca="false">$I$198*(3*$D$198+Inputs!$C$14)</f>
        <v>30300</v>
      </c>
      <c r="I200" s="23" t="n">
        <f aca="false">$I$198*($D$198*(1+IF($C$198&lt;=0,0,MAX($C$198*Inputs!$C$15/12,Inputs!$C$8)))+$D$198*(1+Inputs!$C$11*(Inputs!$C$15-Inputs!$C$12)/12)+$D$198*(1+Inputs!$C$11*(Inputs!$C$15-Inputs!$C$13)/12)+Inputs!$C$14)</f>
        <v>34788.75</v>
      </c>
      <c r="J200" s="23" t="n">
        <f aca="false">$I$198*($D$198*(1+IF($C$198&lt;=0,0,MAX($C$198*Inputs!$C$16/12,Inputs!$C$8)))+$D$198*(1+Inputs!$C$11*(Inputs!$C$16-Inputs!$C$12)/12)+$D$198*(1+Inputs!$C$11*(Inputs!$C$16-Inputs!$C$13)/12)+Inputs!$C$14)</f>
        <v>35857.5</v>
      </c>
      <c r="K200" s="40" t="n">
        <f aca="false">IRR($N$203:$AY$203,0.005)</f>
        <v>0.00813789968573205</v>
      </c>
      <c r="L200" s="41" t="n">
        <f aca="false">(1+$K$200)^12-1</f>
        <v>0.102146438751332</v>
      </c>
    </row>
    <row r="201" customFormat="false" ht="15" hidden="false" customHeight="false" outlineLevel="0" collapsed="false">
      <c r="B201" s="9" t="s">
        <v>185</v>
      </c>
      <c r="N201" s="40" t="n">
        <f aca="false">0</f>
        <v>0</v>
      </c>
      <c r="O201" s="40" t="n">
        <f aca="false">$E$198*(CHOOSE($L$198,Timing!D$7,Timing!D$8)-CHOOSE($L$198,Timing!C$7,Timing!C$8))</f>
        <v>0.108</v>
      </c>
      <c r="P201" s="40" t="n">
        <f aca="false">$E$198*(CHOOSE($L$198,Timing!E$7,Timing!E$8)-CHOOSE($L$198,Timing!D$7,Timing!D$8))</f>
        <v>0.09</v>
      </c>
      <c r="Q201" s="40" t="n">
        <f aca="false">$E$198*(CHOOSE($L$198,Timing!F$7,Timing!F$8)-CHOOSE($L$198,Timing!E$7,Timing!E$8))</f>
        <v>0.081</v>
      </c>
      <c r="R201" s="40" t="n">
        <f aca="false">$E$198*(CHOOSE($L$198,Timing!G$7,Timing!G$8)-CHOOSE($L$198,Timing!F$7,Timing!F$8))</f>
        <v>0.063</v>
      </c>
      <c r="S201" s="40" t="n">
        <f aca="false">$E$198*(CHOOSE($L$198,Timing!H$7,Timing!H$8)-CHOOSE($L$198,Timing!G$7,Timing!G$8))</f>
        <v>0.063</v>
      </c>
      <c r="T201" s="40" t="n">
        <f aca="false">$E$198*(CHOOSE($L$198,Timing!I$7,Timing!I$8)-CHOOSE($L$198,Timing!H$7,Timing!H$8))</f>
        <v>0.063</v>
      </c>
      <c r="U201" s="40" t="n">
        <f aca="false">$E$198*(CHOOSE($L$198,Timing!J$7,Timing!J$8)-CHOOSE($L$198,Timing!I$7,Timing!I$8))</f>
        <v>0.039</v>
      </c>
      <c r="V201" s="40" t="n">
        <f aca="false">$E$198*(CHOOSE($L$198,Timing!K$7,Timing!K$8)-CHOOSE($L$198,Timing!J$7,Timing!J$8))</f>
        <v>0.039</v>
      </c>
      <c r="W201" s="40" t="n">
        <f aca="false">$E$198*(CHOOSE($L$198,Timing!L$7,Timing!L$8)-CHOOSE($L$198,Timing!K$7,Timing!K$8))</f>
        <v>0.039</v>
      </c>
      <c r="X201" s="40" t="n">
        <f aca="false">$E$198*(CHOOSE($L$198,Timing!M$7,Timing!M$8)-CHOOSE($L$198,Timing!L$7,Timing!L$8))</f>
        <v>0.033</v>
      </c>
      <c r="Y201" s="40" t="n">
        <f aca="false">$E$198*(CHOOSE($L$198,Timing!N$7,Timing!N$8)-CHOOSE($L$198,Timing!M$7,Timing!M$8))</f>
        <v>0.0330000000000001</v>
      </c>
      <c r="Z201" s="40" t="n">
        <f aca="false">$E$198*(CHOOSE($L$198,Timing!O$7,Timing!O$8)-CHOOSE($L$198,Timing!N$7,Timing!N$8))</f>
        <v>0.033</v>
      </c>
      <c r="AA201" s="40" t="n">
        <f aca="false">$E$198*(CHOOSE($L$198,Timing!P$7,Timing!P$8)-CHOOSE($L$198,Timing!O$7,Timing!O$8))</f>
        <v>0.021</v>
      </c>
      <c r="AB201" s="40" t="n">
        <f aca="false">$E$198*(CHOOSE($L$198,Timing!Q$7,Timing!Q$8)-CHOOSE($L$198,Timing!P$7,Timing!P$8))</f>
        <v>0.021</v>
      </c>
      <c r="AC201" s="40" t="n">
        <f aca="false">$E$198*(CHOOSE($L$198,Timing!R$7,Timing!R$8)-CHOOSE($L$198,Timing!Q$7,Timing!Q$8))</f>
        <v>0.0210000000000001</v>
      </c>
      <c r="AD201" s="40" t="n">
        <f aca="false">$E$198*(CHOOSE($L$198,Timing!S$7,Timing!S$8)-CHOOSE($L$198,Timing!R$7,Timing!R$8))</f>
        <v>0.021</v>
      </c>
      <c r="AE201" s="40" t="n">
        <f aca="false">$E$198*(CHOOSE($L$198,Timing!T$7,Timing!T$8)-CHOOSE($L$198,Timing!S$7,Timing!S$8))</f>
        <v>0.021</v>
      </c>
      <c r="AF201" s="40" t="n">
        <f aca="false">$E$198*(CHOOSE($L$198,Timing!U$7,Timing!U$8)-CHOOSE($L$198,Timing!T$7,Timing!T$8))</f>
        <v>0.021</v>
      </c>
      <c r="AG201" s="40" t="n">
        <f aca="false">$E$198*(CHOOSE($L$198,Timing!V$7,Timing!V$8)-CHOOSE($L$198,Timing!U$7,Timing!U$8))</f>
        <v>0.015</v>
      </c>
      <c r="AH201" s="40" t="n">
        <f aca="false">$E$198*(CHOOSE($L$198,Timing!W$7,Timing!W$8)-CHOOSE($L$198,Timing!V$7,Timing!V$8))</f>
        <v>0.0149999999999999</v>
      </c>
      <c r="AI201" s="40" t="n">
        <f aca="false">$E$198*(CHOOSE($L$198,Timing!X$7,Timing!X$8)-CHOOSE($L$198,Timing!W$7,Timing!W$8))</f>
        <v>0.0149999999999999</v>
      </c>
      <c r="AJ201" s="40" t="n">
        <f aca="false">$E$198*(CHOOSE($L$198,Timing!Y$7,Timing!Y$8)-CHOOSE($L$198,Timing!X$7,Timing!X$8))</f>
        <v>0.015</v>
      </c>
      <c r="AK201" s="40" t="n">
        <f aca="false">$E$198*(CHOOSE($L$198,Timing!Z$7,Timing!Z$8)-CHOOSE($L$198,Timing!Y$7,Timing!Y$8))</f>
        <v>0.015</v>
      </c>
      <c r="AL201" s="40" t="n">
        <f aca="false">$E$198*(CHOOSE($L$198,Timing!AA$7,Timing!AA$8)-CHOOSE($L$198,Timing!Z$7,Timing!Z$8))</f>
        <v>0.0149999999999999</v>
      </c>
    </row>
    <row r="202" customFormat="false" ht="15" hidden="false" customHeight="false" outlineLevel="0" collapsed="false">
      <c r="B202" s="9" t="s">
        <v>186</v>
      </c>
      <c r="N202" s="42" t="n">
        <f aca="false">0</f>
        <v>0</v>
      </c>
      <c r="O202" s="42" t="n">
        <f aca="false">$D$198*(1+IF($C$198&lt;=0,0,MAX($C$198*O$5/12,Inputs!$C$8)))+$I$198*(O$5&gt;Inputs!$C$12)*$D$198*(1+Inputs!$C$11*(O$5-Inputs!$C$12)/12)</f>
        <v>9975</v>
      </c>
      <c r="P202" s="42" t="n">
        <f aca="false">$D$198*(1+IF($C$198&lt;=0,0,MAX($C$198*P$5/12,Inputs!$C$8)))+$I$198*(P$5&gt;Inputs!$C$12)*$D$198*(1+Inputs!$C$11*(P$5-Inputs!$C$12)/12)</f>
        <v>9975</v>
      </c>
      <c r="Q202" s="42" t="n">
        <f aca="false">$D$198*(1+IF($C$198&lt;=0,0,MAX($C$198*Q$5/12,Inputs!$C$8)))+$I$198*(Q$5&gt;Inputs!$C$12)*$D$198*(1+Inputs!$C$11*(Q$5-Inputs!$C$12)/12)</f>
        <v>9975</v>
      </c>
      <c r="R202" s="42" t="n">
        <f aca="false">$D$198*(1+IF($C$198&lt;=0,0,MAX($C$198*R$5/12,Inputs!$C$8)))+$I$198*(R$5&gt;Inputs!$C$12)*$D$198*(1+Inputs!$C$11*(R$5-Inputs!$C$12)/12)</f>
        <v>9975</v>
      </c>
      <c r="S202" s="42" t="n">
        <f aca="false">$D$198*(1+IF($C$198&lt;=0,0,MAX($C$198*S$5/12,Inputs!$C$8)))+$I$198*(S$5&gt;Inputs!$C$12)*$D$198*(1+Inputs!$C$11*(S$5-Inputs!$C$12)/12)</f>
        <v>9975</v>
      </c>
      <c r="T202" s="42" t="n">
        <f aca="false">$D$198*(1+IF($C$198&lt;=0,0,MAX($C$198*T$5/12,Inputs!$C$8)))+$I$198*(T$5&gt;Inputs!$C$12)*$D$198*(1+Inputs!$C$11*(T$5-Inputs!$C$12)/12)</f>
        <v>9975</v>
      </c>
      <c r="U202" s="42" t="n">
        <f aca="false">$D$198*(1+IF($C$198&lt;=0,0,MAX($C$198*U$5/12,Inputs!$C$8)))+$I$198*(U$5&gt;Inputs!$C$12)*$D$198*(1+Inputs!$C$11*(U$5-Inputs!$C$12)/12)</f>
        <v>9998.75</v>
      </c>
      <c r="V202" s="42" t="n">
        <f aca="false">$D$198*(1+IF($C$198&lt;=0,0,MAX($C$198*V$5/12,Inputs!$C$8)))+$I$198*(V$5&gt;Inputs!$C$12)*$D$198*(1+Inputs!$C$11*(V$5-Inputs!$C$12)/12)</f>
        <v>10070</v>
      </c>
      <c r="W202" s="42" t="n">
        <f aca="false">$D$198*(1+IF($C$198&lt;=0,0,MAX($C$198*W$5/12,Inputs!$C$8)))+$I$198*(W$5&gt;Inputs!$C$12)*$D$198*(1+Inputs!$C$11*(W$5-Inputs!$C$12)/12)</f>
        <v>10141.25</v>
      </c>
      <c r="X202" s="42" t="n">
        <f aca="false">$D$198*(1+IF($C$198&lt;=0,0,MAX($C$198*X$5/12,Inputs!$C$8)))+$I$198*(X$5&gt;Inputs!$C$12)*$D$198*(1+Inputs!$C$11*(X$5-Inputs!$C$12)/12)</f>
        <v>10212.5</v>
      </c>
      <c r="Y202" s="42" t="n">
        <f aca="false">$D$198*(1+IF($C$198&lt;=0,0,MAX($C$198*Y$5/12,Inputs!$C$8)))+$I$198*(Y$5&gt;Inputs!$C$12)*$D$198*(1+Inputs!$C$11*(Y$5-Inputs!$C$12)/12)</f>
        <v>10283.75</v>
      </c>
      <c r="Z202" s="42" t="n">
        <f aca="false">$D$198*(1+IF($C$198&lt;=0,0,MAX($C$198*Z$5/12,Inputs!$C$8)))+$I$198*(Z$5&gt;Inputs!$C$12)*$D$198*(1+Inputs!$C$11*(Z$5-Inputs!$C$12)/12)</f>
        <v>10355</v>
      </c>
      <c r="AA202" s="42" t="n">
        <f aca="false">$D$198*(1+IF($C$198&lt;=0,0,MAX($C$198*AA$5/12,Inputs!$C$8)))+$I$198*(AA$5&gt;Inputs!$C$12)*$D$198*(1+Inputs!$C$11*(AA$5-Inputs!$C$12)/12)</f>
        <v>20068.75</v>
      </c>
      <c r="AB202" s="42" t="n">
        <f aca="false">$D$198*(1+IF($C$198&lt;=0,0,MAX($C$198*AB$5/12,Inputs!$C$8)))+$I$198*(AB$5&gt;Inputs!$C$12)*$D$198*(1+Inputs!$C$11*(AB$5-Inputs!$C$12)/12)</f>
        <v>20282.5</v>
      </c>
      <c r="AC202" s="42" t="n">
        <f aca="false">$D$198*(1+IF($C$198&lt;=0,0,MAX($C$198*AC$5/12,Inputs!$C$8)))+$I$198*(AC$5&gt;Inputs!$C$12)*$D$198*(1+Inputs!$C$11*(AC$5-Inputs!$C$12)/12)</f>
        <v>20496.25</v>
      </c>
      <c r="AD202" s="42" t="n">
        <f aca="false">$D$198*(1+IF($C$198&lt;=0,0,MAX($C$198*AD$5/12,Inputs!$C$8)))+$I$198*(AD$5&gt;Inputs!$C$12)*$D$198*(1+Inputs!$C$11*(AD$5-Inputs!$C$12)/12)</f>
        <v>20710</v>
      </c>
      <c r="AE202" s="42" t="n">
        <f aca="false">$D$198*(1+IF($C$198&lt;=0,0,MAX($C$198*AE$5/12,Inputs!$C$8)))+$I$198*(AE$5&gt;Inputs!$C$12)*$D$198*(1+Inputs!$C$11*(AE$5-Inputs!$C$12)/12)</f>
        <v>20923.75</v>
      </c>
      <c r="AF202" s="42" t="n">
        <f aca="false">$D$198*(1+IF($C$198&lt;=0,0,MAX($C$198*AF$5/12,Inputs!$C$8)))+$I$198*(AF$5&gt;Inputs!$C$12)*$D$198*(1+Inputs!$C$11*(AF$5-Inputs!$C$12)/12)</f>
        <v>21137.5</v>
      </c>
      <c r="AG202" s="42" t="n">
        <f aca="false">$D$198*(1+IF($C$198&lt;=0,0,MAX($C$198*AG$5/12,Inputs!$C$8)))+$I$198*(AG$5&gt;Inputs!$C$12)*$D$198*(1+Inputs!$C$11*(AG$5-Inputs!$C$12)/12)</f>
        <v>21351.25</v>
      </c>
      <c r="AH202" s="42" t="n">
        <f aca="false">$D$198*(1+IF($C$198&lt;=0,0,MAX($C$198*AH$5/12,Inputs!$C$8)))+$I$198*(AH$5&gt;Inputs!$C$12)*$D$198*(1+Inputs!$C$11*(AH$5-Inputs!$C$12)/12)</f>
        <v>21565</v>
      </c>
      <c r="AI202" s="42" t="n">
        <f aca="false">$D$198*(1+IF($C$198&lt;=0,0,MAX($C$198*AI$5/12,Inputs!$C$8)))+$I$198*(AI$5&gt;Inputs!$C$12)*$D$198*(1+Inputs!$C$11*(AI$5-Inputs!$C$12)/12)</f>
        <v>21778.75</v>
      </c>
      <c r="AJ202" s="42" t="n">
        <f aca="false">$D$198*(1+IF($C$198&lt;=0,0,MAX($C$198*AJ$5/12,Inputs!$C$8)))+$I$198*(AJ$5&gt;Inputs!$C$12)*$D$198*(1+Inputs!$C$11*(AJ$5-Inputs!$C$12)/12)</f>
        <v>21992.5</v>
      </c>
      <c r="AK202" s="42" t="n">
        <f aca="false">$D$198*(1+IF($C$198&lt;=0,0,MAX($C$198*AK$5/12,Inputs!$C$8)))+$I$198*(AK$5&gt;Inputs!$C$12)*$D$198*(1+Inputs!$C$11*(AK$5-Inputs!$C$12)/12)</f>
        <v>22206.25</v>
      </c>
      <c r="AL202" s="42" t="n">
        <f aca="false">$D$198*(1+IF($C$198&lt;=0,0,MAX($C$198*AL$5/12,Inputs!$C$8)))+$I$198*(AL$5&gt;Inputs!$C$12)*$D$198*(1+Inputs!$C$11*(AL$5-Inputs!$C$12)/12)</f>
        <v>22420</v>
      </c>
    </row>
    <row r="203" customFormat="false" ht="15" hidden="false" customHeight="false" outlineLevel="0" collapsed="false">
      <c r="B203" s="31" t="s">
        <v>187</v>
      </c>
      <c r="N203" s="42" t="n">
        <f aca="false">-($D$198+$J$198)*(N$5=0)+IF(AND(N$5-$K$198&gt;=1,N$5-$K$198&lt;=Inputs!$C$13),INDEX($N$201:$AL$201,1,N$5-$K$198+1)*INDEX($N$202:$AL$202,1,N$5-$K$198+1),0)-$I$198*((N$5=Inputs!$C$12)*$C$200*$D$198+(N$5=Inputs!$C$13)*$D$200*($D$198+Inputs!$C$14))+$I$198*((N$5=Inputs!$C$15+$K$198)*$E$200*$I$200+(N$5=Inputs!$C$16+$K$198)*$F$200*$J$200+(N$5=Inputs!$C$17)*$G$200*$H$198*$H$200)</f>
        <v>-9510</v>
      </c>
      <c r="O203" s="42" t="n">
        <f aca="false">-($D$198+$J$198)*(O$5=0)+IF(AND(O$5-$K$198&gt;=1,O$5-$K$198&lt;=Inputs!$C$13),INDEX($N$201:$AL$201,1,O$5-$K$198+1)*INDEX($N$202:$AL$202,1,O$5-$K$198+1),0)-$I$198*((O$5=Inputs!$C$12)*$C$200*$D$198+(O$5=Inputs!$C$13)*$D$200*($D$198+Inputs!$C$14))+$I$198*((O$5=Inputs!$C$15+$K$198)*$E$200*$I$200+(O$5=Inputs!$C$16+$K$198)*$F$200*$J$200+(O$5=Inputs!$C$17)*$G$200*$H$198*$H$200)</f>
        <v>0</v>
      </c>
      <c r="P203" s="42" t="n">
        <f aca="false">-($D$198+$J$198)*(P$5=0)+IF(AND(P$5-$K$198&gt;=1,P$5-$K$198&lt;=Inputs!$C$13),INDEX($N$201:$AL$201,1,P$5-$K$198+1)*INDEX($N$202:$AL$202,1,P$5-$K$198+1),0)-$I$198*((P$5=Inputs!$C$12)*$C$200*$D$198+(P$5=Inputs!$C$13)*$D$200*($D$198+Inputs!$C$14))+$I$198*((P$5=Inputs!$C$15+$K$198)*$E$200*$I$200+(P$5=Inputs!$C$16+$K$198)*$F$200*$J$200+(P$5=Inputs!$C$17)*$G$200*$H$198*$H$200)</f>
        <v>1077.3</v>
      </c>
      <c r="Q203" s="42" t="n">
        <f aca="false">-($D$198+$J$198)*(Q$5=0)+IF(AND(Q$5-$K$198&gt;=1,Q$5-$K$198&lt;=Inputs!$C$13),INDEX($N$201:$AL$201,1,Q$5-$K$198+1)*INDEX($N$202:$AL$202,1,Q$5-$K$198+1),0)-$I$198*((Q$5=Inputs!$C$12)*$C$200*$D$198+(Q$5=Inputs!$C$13)*$D$200*($D$198+Inputs!$C$14))+$I$198*((Q$5=Inputs!$C$15+$K$198)*$E$200*$I$200+(Q$5=Inputs!$C$16+$K$198)*$F$200*$J$200+(Q$5=Inputs!$C$17)*$G$200*$H$198*$H$200)</f>
        <v>897.75</v>
      </c>
      <c r="R203" s="42" t="n">
        <f aca="false">-($D$198+$J$198)*(R$5=0)+IF(AND(R$5-$K$198&gt;=1,R$5-$K$198&lt;=Inputs!$C$13),INDEX($N$201:$AL$201,1,R$5-$K$198+1)*INDEX($N$202:$AL$202,1,R$5-$K$198+1),0)-$I$198*((R$5=Inputs!$C$12)*$C$200*$D$198+(R$5=Inputs!$C$13)*$D$200*($D$198+Inputs!$C$14))+$I$198*((R$5=Inputs!$C$15+$K$198)*$E$200*$I$200+(R$5=Inputs!$C$16+$K$198)*$F$200*$J$200+(R$5=Inputs!$C$17)*$G$200*$H$198*$H$200)</f>
        <v>807.975</v>
      </c>
      <c r="S203" s="42" t="n">
        <f aca="false">-($D$198+$J$198)*(S$5=0)+IF(AND(S$5-$K$198&gt;=1,S$5-$K$198&lt;=Inputs!$C$13),INDEX($N$201:$AL$201,1,S$5-$K$198+1)*INDEX($N$202:$AL$202,1,S$5-$K$198+1),0)-$I$198*((S$5=Inputs!$C$12)*$C$200*$D$198+(S$5=Inputs!$C$13)*$D$200*($D$198+Inputs!$C$14))+$I$198*((S$5=Inputs!$C$15+$K$198)*$E$200*$I$200+(S$5=Inputs!$C$16+$K$198)*$F$200*$J$200+(S$5=Inputs!$C$17)*$G$200*$H$198*$H$200)</f>
        <v>628.425</v>
      </c>
      <c r="T203" s="42" t="n">
        <f aca="false">-($D$198+$J$198)*(T$5=0)+IF(AND(T$5-$K$198&gt;=1,T$5-$K$198&lt;=Inputs!$C$13),INDEX($N$201:$AL$201,1,T$5-$K$198+1)*INDEX($N$202:$AL$202,1,T$5-$K$198+1),0)-$I$198*((T$5=Inputs!$C$12)*$C$200*$D$198+(T$5=Inputs!$C$13)*$D$200*($D$198+Inputs!$C$14))+$I$198*((T$5=Inputs!$C$15+$K$198)*$E$200*$I$200+(T$5=Inputs!$C$16+$K$198)*$F$200*$J$200+(T$5=Inputs!$C$17)*$G$200*$H$198*$H$200)</f>
        <v>628.425</v>
      </c>
      <c r="U203" s="42" t="n">
        <f aca="false">-($D$198+$J$198)*(U$5=0)+IF(AND(U$5-$K$198&gt;=1,U$5-$K$198&lt;=Inputs!$C$13),INDEX($N$201:$AL$201,1,U$5-$K$198+1)*INDEX($N$202:$AL$202,1,U$5-$K$198+1),0)-$I$198*((U$5=Inputs!$C$12)*$C$200*$D$198+(U$5=Inputs!$C$13)*$D$200*($D$198+Inputs!$C$14))+$I$198*((U$5=Inputs!$C$15+$K$198)*$E$200*$I$200+(U$5=Inputs!$C$16+$K$198)*$F$200*$J$200+(U$5=Inputs!$C$17)*$G$200*$H$198*$H$200)</f>
        <v>628.425</v>
      </c>
      <c r="V203" s="42" t="n">
        <f aca="false">-($D$198+$J$198)*(V$5=0)+IF(AND(V$5-$K$198&gt;=1,V$5-$K$198&lt;=Inputs!$C$13),INDEX($N$201:$AL$201,1,V$5-$K$198+1)*INDEX($N$202:$AL$202,1,V$5-$K$198+1),0)-$I$198*((V$5=Inputs!$C$12)*$C$200*$D$198+(V$5=Inputs!$C$13)*$D$200*($D$198+Inputs!$C$14))+$I$198*((V$5=Inputs!$C$15+$K$198)*$E$200*$I$200+(V$5=Inputs!$C$16+$K$198)*$F$200*$J$200+(V$5=Inputs!$C$17)*$G$200*$H$198*$H$200)</f>
        <v>389.95125</v>
      </c>
      <c r="W203" s="42" t="n">
        <f aca="false">-($D$198+$J$198)*(W$5=0)+IF(AND(W$5-$K$198&gt;=1,W$5-$K$198&lt;=Inputs!$C$13),INDEX($N$201:$AL$201,1,W$5-$K$198+1)*INDEX($N$202:$AL$202,1,W$5-$K$198+1),0)-$I$198*((W$5=Inputs!$C$12)*$C$200*$D$198+(W$5=Inputs!$C$13)*$D$200*($D$198+Inputs!$C$14))+$I$198*((W$5=Inputs!$C$15+$K$198)*$E$200*$I$200+(W$5=Inputs!$C$16+$K$198)*$F$200*$J$200+(W$5=Inputs!$C$17)*$G$200*$H$198*$H$200)</f>
        <v>392.73</v>
      </c>
      <c r="X203" s="42" t="n">
        <f aca="false">-($D$198+$J$198)*(X$5=0)+IF(AND(X$5-$K$198&gt;=1,X$5-$K$198&lt;=Inputs!$C$13),INDEX($N$201:$AL$201,1,X$5-$K$198+1)*INDEX($N$202:$AL$202,1,X$5-$K$198+1),0)-$I$198*((X$5=Inputs!$C$12)*$C$200*$D$198+(X$5=Inputs!$C$13)*$D$200*($D$198+Inputs!$C$14))+$I$198*((X$5=Inputs!$C$15+$K$198)*$E$200*$I$200+(X$5=Inputs!$C$16+$K$198)*$F$200*$J$200+(X$5=Inputs!$C$17)*$G$200*$H$198*$H$200)</f>
        <v>395.50875</v>
      </c>
      <c r="Y203" s="42" t="n">
        <f aca="false">-($D$198+$J$198)*(Y$5=0)+IF(AND(Y$5-$K$198&gt;=1,Y$5-$K$198&lt;=Inputs!$C$13),INDEX($N$201:$AL$201,1,Y$5-$K$198+1)*INDEX($N$202:$AL$202,1,Y$5-$K$198+1),0)-$I$198*((Y$5=Inputs!$C$12)*$C$200*$D$198+(Y$5=Inputs!$C$13)*$D$200*($D$198+Inputs!$C$14))+$I$198*((Y$5=Inputs!$C$15+$K$198)*$E$200*$I$200+(Y$5=Inputs!$C$16+$K$198)*$F$200*$J$200+(Y$5=Inputs!$C$17)*$G$200*$H$198*$H$200)</f>
        <v>337.0125</v>
      </c>
      <c r="Z203" s="42" t="n">
        <f aca="false">-($D$198+$J$198)*(Z$5=0)+IF(AND(Z$5-$K$198&gt;=1,Z$5-$K$198&lt;=Inputs!$C$13),INDEX($N$201:$AL$201,1,Z$5-$K$198+1)*INDEX($N$202:$AL$202,1,Z$5-$K$198+1),0)-$I$198*((Z$5=Inputs!$C$12)*$C$200*$D$198+(Z$5=Inputs!$C$13)*$D$200*($D$198+Inputs!$C$14))+$I$198*((Z$5=Inputs!$C$15+$K$198)*$E$200*$I$200+(Z$5=Inputs!$C$16+$K$198)*$F$200*$J$200+(Z$5=Inputs!$C$17)*$G$200*$H$198*$H$200)</f>
        <v>-2662.63625</v>
      </c>
      <c r="AA203" s="42" t="n">
        <f aca="false">-($D$198+$J$198)*(AA$5=0)+IF(AND(AA$5-$K$198&gt;=1,AA$5-$K$198&lt;=Inputs!$C$13),INDEX($N$201:$AL$201,1,AA$5-$K$198+1)*INDEX($N$202:$AL$202,1,AA$5-$K$198+1),0)-$I$198*((AA$5=Inputs!$C$12)*$C$200*$D$198+(AA$5=Inputs!$C$13)*$D$200*($D$198+Inputs!$C$14))+$I$198*((AA$5=Inputs!$C$15+$K$198)*$E$200*$I$200+(AA$5=Inputs!$C$16+$K$198)*$F$200*$J$200+(AA$5=Inputs!$C$17)*$G$200*$H$198*$H$200)</f>
        <v>341.715</v>
      </c>
      <c r="AB203" s="42" t="n">
        <f aca="false">-($D$198+$J$198)*(AB$5=0)+IF(AND(AB$5-$K$198&gt;=1,AB$5-$K$198&lt;=Inputs!$C$13),INDEX($N$201:$AL$201,1,AB$5-$K$198+1)*INDEX($N$202:$AL$202,1,AB$5-$K$198+1),0)-$I$198*((AB$5=Inputs!$C$12)*$C$200*$D$198+(AB$5=Inputs!$C$13)*$D$200*($D$198+Inputs!$C$14))+$I$198*((AB$5=Inputs!$C$15+$K$198)*$E$200*$I$200+(AB$5=Inputs!$C$16+$K$198)*$F$200*$J$200+(AB$5=Inputs!$C$17)*$G$200*$H$198*$H$200)</f>
        <v>421.44375</v>
      </c>
      <c r="AC203" s="42" t="n">
        <f aca="false">-($D$198+$J$198)*(AC$5=0)+IF(AND(AC$5-$K$198&gt;=1,AC$5-$K$198&lt;=Inputs!$C$13),INDEX($N$201:$AL$201,1,AC$5-$K$198+1)*INDEX($N$202:$AL$202,1,AC$5-$K$198+1),0)-$I$198*((AC$5=Inputs!$C$12)*$C$200*$D$198+(AC$5=Inputs!$C$13)*$D$200*($D$198+Inputs!$C$14))+$I$198*((AC$5=Inputs!$C$15+$K$198)*$E$200*$I$200+(AC$5=Inputs!$C$16+$K$198)*$F$200*$J$200+(AC$5=Inputs!$C$17)*$G$200*$H$198*$H$200)</f>
        <v>425.9325</v>
      </c>
      <c r="AD203" s="42" t="n">
        <f aca="false">-($D$198+$J$198)*(AD$5=0)+IF(AND(AD$5-$K$198&gt;=1,AD$5-$K$198&lt;=Inputs!$C$13),INDEX($N$201:$AL$201,1,AD$5-$K$198+1)*INDEX($N$202:$AL$202,1,AD$5-$K$198+1),0)-$I$198*((AD$5=Inputs!$C$12)*$C$200*$D$198+(AD$5=Inputs!$C$13)*$D$200*($D$198+Inputs!$C$14))+$I$198*((AD$5=Inputs!$C$15+$K$198)*$E$200*$I$200+(AD$5=Inputs!$C$16+$K$198)*$F$200*$J$200+(AD$5=Inputs!$C$17)*$G$200*$H$198*$H$200)</f>
        <v>430.421250000002</v>
      </c>
      <c r="AE203" s="42" t="n">
        <f aca="false">-($D$198+$J$198)*(AE$5=0)+IF(AND(AE$5-$K$198&gt;=1,AE$5-$K$198&lt;=Inputs!$C$13),INDEX($N$201:$AL$201,1,AE$5-$K$198+1)*INDEX($N$202:$AL$202,1,AE$5-$K$198+1),0)-$I$198*((AE$5=Inputs!$C$12)*$C$200*$D$198+(AE$5=Inputs!$C$13)*$D$200*($D$198+Inputs!$C$14))+$I$198*((AE$5=Inputs!$C$15+$K$198)*$E$200*$I$200+(AE$5=Inputs!$C$16+$K$198)*$F$200*$J$200+(AE$5=Inputs!$C$17)*$G$200*$H$198*$H$200)</f>
        <v>434.91</v>
      </c>
      <c r="AF203" s="42" t="n">
        <f aca="false">-($D$198+$J$198)*(AF$5=0)+IF(AND(AF$5-$K$198&gt;=1,AF$5-$K$198&lt;=Inputs!$C$13),INDEX($N$201:$AL$201,1,AF$5-$K$198+1)*INDEX($N$202:$AL$202,1,AF$5-$K$198+1),0)-$I$198*((AF$5=Inputs!$C$12)*$C$200*$D$198+(AF$5=Inputs!$C$13)*$D$200*($D$198+Inputs!$C$14))+$I$198*((AF$5=Inputs!$C$15+$K$198)*$E$200*$I$200+(AF$5=Inputs!$C$16+$K$198)*$F$200*$J$200+(AF$5=Inputs!$C$17)*$G$200*$H$198*$H$200)</f>
        <v>439.39875</v>
      </c>
      <c r="AG203" s="42" t="n">
        <f aca="false">-($D$198+$J$198)*(AG$5=0)+IF(AND(AG$5-$K$198&gt;=1,AG$5-$K$198&lt;=Inputs!$C$13),INDEX($N$201:$AL$201,1,AG$5-$K$198+1)*INDEX($N$202:$AL$202,1,AG$5-$K$198+1),0)-$I$198*((AG$5=Inputs!$C$12)*$C$200*$D$198+(AG$5=Inputs!$C$13)*$D$200*($D$198+Inputs!$C$14))+$I$198*((AG$5=Inputs!$C$15+$K$198)*$E$200*$I$200+(AG$5=Inputs!$C$16+$K$198)*$F$200*$J$200+(AG$5=Inputs!$C$17)*$G$200*$H$198*$H$200)</f>
        <v>443.8875</v>
      </c>
      <c r="AH203" s="42" t="n">
        <f aca="false">-($D$198+$J$198)*(AH$5=0)+IF(AND(AH$5-$K$198&gt;=1,AH$5-$K$198&lt;=Inputs!$C$13),INDEX($N$201:$AL$201,1,AH$5-$K$198+1)*INDEX($N$202:$AL$202,1,AH$5-$K$198+1),0)-$I$198*((AH$5=Inputs!$C$12)*$C$200*$D$198+(AH$5=Inputs!$C$13)*$D$200*($D$198+Inputs!$C$14))+$I$198*((AH$5=Inputs!$C$15+$K$198)*$E$200*$I$200+(AH$5=Inputs!$C$16+$K$198)*$F$200*$J$200+(AH$5=Inputs!$C$17)*$G$200*$H$198*$H$200)</f>
        <v>320.268750000001</v>
      </c>
      <c r="AI203" s="42" t="n">
        <f aca="false">-($D$198+$J$198)*(AI$5=0)+IF(AND(AI$5-$K$198&gt;=1,AI$5-$K$198&lt;=Inputs!$C$13),INDEX($N$201:$AL$201,1,AI$5-$K$198+1)*INDEX($N$202:$AL$202,1,AI$5-$K$198+1),0)-$I$198*((AI$5=Inputs!$C$12)*$C$200*$D$198+(AI$5=Inputs!$C$13)*$D$200*($D$198+Inputs!$C$14))+$I$198*((AI$5=Inputs!$C$15+$K$198)*$E$200*$I$200+(AI$5=Inputs!$C$16+$K$198)*$F$200*$J$200+(AI$5=Inputs!$C$17)*$G$200*$H$198*$H$200)</f>
        <v>323.474999999999</v>
      </c>
      <c r="AJ203" s="42" t="n">
        <f aca="false">-($D$198+$J$198)*(AJ$5=0)+IF(AND(AJ$5-$K$198&gt;=1,AJ$5-$K$198&lt;=Inputs!$C$13),INDEX($N$201:$AL$201,1,AJ$5-$K$198+1)*INDEX($N$202:$AL$202,1,AJ$5-$K$198+1),0)-$I$198*((AJ$5=Inputs!$C$12)*$C$200*$D$198+(AJ$5=Inputs!$C$13)*$D$200*($D$198+Inputs!$C$14))+$I$198*((AJ$5=Inputs!$C$15+$K$198)*$E$200*$I$200+(AJ$5=Inputs!$C$16+$K$198)*$F$200*$J$200+(AJ$5=Inputs!$C$17)*$G$200*$H$198*$H$200)</f>
        <v>326.681249999999</v>
      </c>
      <c r="AK203" s="42" t="n">
        <f aca="false">-($D$198+$J$198)*(AK$5=0)+IF(AND(AK$5-$K$198&gt;=1,AK$5-$K$198&lt;=Inputs!$C$13),INDEX($N$201:$AL$201,1,AK$5-$K$198+1)*INDEX($N$202:$AL$202,1,AK$5-$K$198+1),0)-$I$198*((AK$5=Inputs!$C$12)*$C$200*$D$198+(AK$5=Inputs!$C$13)*$D$200*($D$198+Inputs!$C$14))+$I$198*((AK$5=Inputs!$C$15+$K$198)*$E$200*$I$200+(AK$5=Inputs!$C$16+$K$198)*$F$200*$J$200+(AK$5=Inputs!$C$17)*$G$200*$H$198*$H$200)</f>
        <v>329.887500000001</v>
      </c>
      <c r="AL203" s="42" t="n">
        <f aca="false">-($D$198+$J$198)*(AL$5=0)+IF(AND(AL$5-$K$198&gt;=1,AL$5-$K$198&lt;=Inputs!$C$13),INDEX($N$201:$AL$201,1,AL$5-$K$198+1)*INDEX($N$202:$AL$202,1,AL$5-$K$198+1),0)-$I$198*((AL$5=Inputs!$C$12)*$C$200*$D$198+(AL$5=Inputs!$C$13)*$D$200*($D$198+Inputs!$C$14))+$I$198*((AL$5=Inputs!$C$15+$K$198)*$E$200*$I$200+(AL$5=Inputs!$C$16+$K$198)*$F$200*$J$200+(AL$5=Inputs!$C$17)*$G$200*$H$198*$H$200)</f>
        <v>-796.906249999999</v>
      </c>
      <c r="AM203" s="42" t="n">
        <f aca="false">-($D$198+$J$198)*(AM$5=0)+IF(AND(AM$5-$K$198&gt;=1,AM$5-$K$198&lt;=Inputs!$C$13),INDEX($N$201:$AL$201,1,AM$5-$K$198+1)*INDEX($N$202:$AL$202,1,AM$5-$K$198+1),0)-$I$198*((AM$5=Inputs!$C$12)*$C$200*$D$198+(AM$5=Inputs!$C$13)*$D$200*($D$198+Inputs!$C$14))+$I$198*((AM$5=Inputs!$C$15+$K$198)*$E$200*$I$200+(AM$5=Inputs!$C$16+$K$198)*$F$200*$J$200+(AM$5=Inputs!$C$17)*$G$200*$H$198*$H$200)</f>
        <v>336.299999999999</v>
      </c>
      <c r="AN203" s="42" t="n">
        <f aca="false">-($D$198+$J$198)*(AN$5=0)+IF(AND(AN$5-$K$198&gt;=1,AN$5-$K$198&lt;=Inputs!$C$13),INDEX($N$201:$AL$201,1,AN$5-$K$198+1)*INDEX($N$202:$AL$202,1,AN$5-$K$198+1),0)-$I$198*((AN$5=Inputs!$C$12)*$C$200*$D$198+(AN$5=Inputs!$C$13)*$D$200*($D$198+Inputs!$C$14))+$I$198*((AN$5=Inputs!$C$15+$K$198)*$E$200*$I$200+(AN$5=Inputs!$C$16+$K$198)*$F$200*$J$200+(AN$5=Inputs!$C$17)*$G$200*$H$198*$H$200)</f>
        <v>0</v>
      </c>
      <c r="AO203" s="42" t="n">
        <f aca="false">-($D$198+$J$198)*(AO$5=0)+IF(AND(AO$5-$K$198&gt;=1,AO$5-$K$198&lt;=Inputs!$C$13),INDEX($N$201:$AL$201,1,AO$5-$K$198+1)*INDEX($N$202:$AL$202,1,AO$5-$K$198+1),0)-$I$198*((AO$5=Inputs!$C$12)*$C$200*$D$198+(AO$5=Inputs!$C$13)*$D$200*($D$198+Inputs!$C$14))+$I$198*((AO$5=Inputs!$C$15+$K$198)*$E$200*$I$200+(AO$5=Inputs!$C$16+$K$198)*$F$200*$J$200+(AO$5=Inputs!$C$17)*$G$200*$H$198*$H$200)</f>
        <v>0</v>
      </c>
      <c r="AP203" s="42" t="n">
        <f aca="false">-($D$198+$J$198)*(AP$5=0)+IF(AND(AP$5-$K$198&gt;=1,AP$5-$K$198&lt;=Inputs!$C$13),INDEX($N$201:$AL$201,1,AP$5-$K$198+1)*INDEX($N$202:$AL$202,1,AP$5-$K$198+1),0)-$I$198*((AP$5=Inputs!$C$12)*$C$200*$D$198+(AP$5=Inputs!$C$13)*$D$200*($D$198+Inputs!$C$14))+$I$198*((AP$5=Inputs!$C$15+$K$198)*$E$200*$I$200+(AP$5=Inputs!$C$16+$K$198)*$F$200*$J$200+(AP$5=Inputs!$C$17)*$G$200*$H$198*$H$200)</f>
        <v>2087.325</v>
      </c>
      <c r="AQ203" s="42" t="n">
        <f aca="false">-($D$198+$J$198)*(AQ$5=0)+IF(AND(AQ$5-$K$198&gt;=1,AQ$5-$K$198&lt;=Inputs!$C$13),INDEX($N$201:$AL$201,1,AQ$5-$K$198+1)*INDEX($N$202:$AL$202,1,AQ$5-$K$198+1),0)-$I$198*((AQ$5=Inputs!$C$12)*$C$200*$D$198+(AQ$5=Inputs!$C$13)*$D$200*($D$198+Inputs!$C$14))+$I$198*((AQ$5=Inputs!$C$15+$K$198)*$E$200*$I$200+(AQ$5=Inputs!$C$16+$K$198)*$F$200*$J$200+(AQ$5=Inputs!$C$17)*$G$200*$H$198*$H$200)</f>
        <v>0</v>
      </c>
      <c r="AR203" s="42" t="n">
        <f aca="false">-($D$198+$J$198)*(AR$5=0)+IF(AND(AR$5-$K$198&gt;=1,AR$5-$K$198&lt;=Inputs!$C$13),INDEX($N$201:$AL$201,1,AR$5-$K$198+1)*INDEX($N$202:$AL$202,1,AR$5-$K$198+1),0)-$I$198*((AR$5=Inputs!$C$12)*$C$200*$D$198+(AR$5=Inputs!$C$13)*$D$200*($D$198+Inputs!$C$14))+$I$198*((AR$5=Inputs!$C$15+$K$198)*$E$200*$I$200+(AR$5=Inputs!$C$16+$K$198)*$F$200*$J$200+(AR$5=Inputs!$C$17)*$G$200*$H$198*$H$200)</f>
        <v>0</v>
      </c>
      <c r="AS203" s="42" t="n">
        <f aca="false">-($D$198+$J$198)*(AS$5=0)+IF(AND(AS$5-$K$198&gt;=1,AS$5-$K$198&lt;=Inputs!$C$13),INDEX($N$201:$AL$201,1,AS$5-$K$198+1)*INDEX($N$202:$AL$202,1,AS$5-$K$198+1),0)-$I$198*((AS$5=Inputs!$C$12)*$C$200*$D$198+(AS$5=Inputs!$C$13)*$D$200*($D$198+Inputs!$C$14))+$I$198*((AS$5=Inputs!$C$15+$K$198)*$E$200*$I$200+(AS$5=Inputs!$C$16+$K$198)*$F$200*$J$200+(AS$5=Inputs!$C$17)*$G$200*$H$198*$H$200)</f>
        <v>1147.44</v>
      </c>
      <c r="AT203" s="42" t="n">
        <f aca="false">-($D$198+$J$198)*(AT$5=0)+IF(AND(AT$5-$K$198&gt;=1,AT$5-$K$198&lt;=Inputs!$C$13),INDEX($N$201:$AL$201,1,AT$5-$K$198+1)*INDEX($N$202:$AL$202,1,AT$5-$K$198+1),0)-$I$198*((AT$5=Inputs!$C$12)*$C$200*$D$198+(AT$5=Inputs!$C$13)*$D$200*($D$198+Inputs!$C$14))+$I$198*((AT$5=Inputs!$C$15+$K$198)*$E$200*$I$200+(AT$5=Inputs!$C$16+$K$198)*$F$200*$J$200+(AT$5=Inputs!$C$17)*$G$200*$H$198*$H$200)</f>
        <v>0</v>
      </c>
      <c r="AU203" s="42" t="n">
        <f aca="false">-($D$198+$J$198)*(AU$5=0)+IF(AND(AU$5-$K$198&gt;=1,AU$5-$K$198&lt;=Inputs!$C$13),INDEX($N$201:$AL$201,1,AU$5-$K$198+1)*INDEX($N$202:$AL$202,1,AU$5-$K$198+1),0)-$I$198*((AU$5=Inputs!$C$12)*$C$200*$D$198+(AU$5=Inputs!$C$13)*$D$200*($D$198+Inputs!$C$14))+$I$198*((AU$5=Inputs!$C$15+$K$198)*$E$200*$I$200+(AU$5=Inputs!$C$16+$K$198)*$F$200*$J$200+(AU$5=Inputs!$C$17)*$G$200*$H$198*$H$200)</f>
        <v>0</v>
      </c>
      <c r="AV203" s="42" t="n">
        <f aca="false">-($D$198+$J$198)*(AV$5=0)+IF(AND(AV$5-$K$198&gt;=1,AV$5-$K$198&lt;=Inputs!$C$13),INDEX($N$201:$AL$201,1,AV$5-$K$198+1)*INDEX($N$202:$AL$202,1,AV$5-$K$198+1),0)-$I$198*((AV$5=Inputs!$C$12)*$C$200*$D$198+(AV$5=Inputs!$C$13)*$D$200*($D$198+Inputs!$C$14))+$I$198*((AV$5=Inputs!$C$15+$K$198)*$E$200*$I$200+(AV$5=Inputs!$C$16+$K$198)*$F$200*$J$200+(AV$5=Inputs!$C$17)*$G$200*$H$198*$H$200)</f>
        <v>0</v>
      </c>
      <c r="AW203" s="42" t="n">
        <f aca="false">-($D$198+$J$198)*(AW$5=0)+IF(AND(AW$5-$K$198&gt;=1,AW$5-$K$198&lt;=Inputs!$C$13),INDEX($N$201:$AL$201,1,AW$5-$K$198+1)*INDEX($N$202:$AL$202,1,AW$5-$K$198+1),0)-$I$198*((AW$5=Inputs!$C$12)*$C$200*$D$198+(AW$5=Inputs!$C$13)*$D$200*($D$198+Inputs!$C$14))+$I$198*((AW$5=Inputs!$C$15+$K$198)*$E$200*$I$200+(AW$5=Inputs!$C$16+$K$198)*$F$200*$J$200+(AW$5=Inputs!$C$17)*$G$200*$H$198*$H$200)</f>
        <v>0</v>
      </c>
      <c r="AX203" s="42" t="n">
        <f aca="false">-($D$198+$J$198)*(AX$5=0)+IF(AND(AX$5-$K$198&gt;=1,AX$5-$K$198&lt;=Inputs!$C$13),INDEX($N$201:$AL$201,1,AX$5-$K$198+1)*INDEX($N$202:$AL$202,1,AX$5-$K$198+1),0)-$I$198*((AX$5=Inputs!$C$12)*$C$200*$D$198+(AX$5=Inputs!$C$13)*$D$200*($D$198+Inputs!$C$14))+$I$198*((AX$5=Inputs!$C$15+$K$198)*$E$200*$I$200+(AX$5=Inputs!$C$16+$K$198)*$F$200*$J$200+(AX$5=Inputs!$C$17)*$G$200*$H$198*$H$200)</f>
        <v>218.16</v>
      </c>
      <c r="AY203" s="42" t="n">
        <f aca="false">-($D$198+$J$198)*(AY$5=0)+IF(AND(AY$5-$K$198&gt;=1,AY$5-$K$198&lt;=Inputs!$C$13),INDEX($N$201:$AL$201,1,AY$5-$K$198+1)*INDEX($N$202:$AL$202,1,AY$5-$K$198+1),0)-$I$198*((AY$5=Inputs!$C$12)*$C$200*$D$198+(AY$5=Inputs!$C$13)*$D$200*($D$198+Inputs!$C$14))+$I$198*((AY$5=Inputs!$C$15+$K$198)*$E$200*$I$200+(AY$5=Inputs!$C$16+$K$198)*$F$200*$J$200+(AY$5=Inputs!$C$17)*$G$200*$H$198*$H$200)</f>
        <v>0</v>
      </c>
    </row>
    <row r="205" customFormat="false" ht="15" hidden="false" customHeight="false" outlineLevel="0" collapsed="false">
      <c r="B205" s="7" t="s">
        <v>209</v>
      </c>
      <c r="C205" s="8"/>
      <c r="D205" s="8"/>
      <c r="E205" s="8"/>
      <c r="F205" s="8"/>
      <c r="G205" s="8"/>
      <c r="H205" s="8"/>
      <c r="I205" s="8"/>
      <c r="J205" s="8"/>
      <c r="K205" s="8"/>
      <c r="L205" s="8"/>
    </row>
    <row r="206" customFormat="false" ht="30" hidden="false" customHeight="true" outlineLevel="0" collapsed="false">
      <c r="B206" s="37"/>
      <c r="C206" s="38" t="s">
        <v>169</v>
      </c>
      <c r="D206" s="38" t="s">
        <v>170</v>
      </c>
      <c r="E206" s="38" t="s">
        <v>171</v>
      </c>
      <c r="F206" s="38" t="s">
        <v>43</v>
      </c>
      <c r="G206" s="38" t="s">
        <v>44</v>
      </c>
      <c r="H206" s="38" t="s">
        <v>45</v>
      </c>
      <c r="I206" s="38" t="s">
        <v>172</v>
      </c>
      <c r="J206" s="38" t="s">
        <v>90</v>
      </c>
      <c r="K206" s="38" t="s">
        <v>89</v>
      </c>
      <c r="L206" s="38" t="s">
        <v>173</v>
      </c>
    </row>
    <row r="207" customFormat="false" ht="15" hidden="false" customHeight="false" outlineLevel="0" collapsed="false">
      <c r="B207" s="39" t="s">
        <v>174</v>
      </c>
      <c r="C207" s="26" t="n">
        <f aca="false">Class_IRR!$I$5</f>
        <v>0.13</v>
      </c>
      <c r="D207" s="30" t="n">
        <f aca="false">Inputs!$E$25</f>
        <v>9500</v>
      </c>
      <c r="E207" s="26" t="n">
        <f aca="false">Inputs!$F$25</f>
        <v>0.9</v>
      </c>
      <c r="F207" s="25" t="n">
        <f aca="false">Inputs!$G$25</f>
        <v>0.6</v>
      </c>
      <c r="G207" s="25" t="n">
        <f aca="false">Inputs!$H$25</f>
        <v>0.8</v>
      </c>
      <c r="H207" s="25" t="n">
        <f aca="false">Inputs!$I$25</f>
        <v>0.9</v>
      </c>
      <c r="I207" s="22" t="n">
        <f aca="false">Inputs!$J$25</f>
        <v>1</v>
      </c>
      <c r="J207" s="23" t="n">
        <f aca="false">Inputs!$C$9</f>
        <v>10</v>
      </c>
      <c r="K207" s="22" t="n">
        <f aca="false">Inputs!$C$10</f>
        <v>1</v>
      </c>
      <c r="L207" s="22" t="n">
        <f aca="false">1</f>
        <v>1</v>
      </c>
    </row>
    <row r="208" customFormat="false" ht="30" hidden="false" customHeight="true" outlineLevel="0" collapsed="false">
      <c r="B208" s="37"/>
      <c r="C208" s="38" t="s">
        <v>175</v>
      </c>
      <c r="D208" s="38" t="s">
        <v>176</v>
      </c>
      <c r="E208" s="38" t="s">
        <v>177</v>
      </c>
      <c r="F208" s="38" t="s">
        <v>178</v>
      </c>
      <c r="G208" s="38" t="s">
        <v>112</v>
      </c>
      <c r="H208" s="38" t="s">
        <v>179</v>
      </c>
      <c r="I208" s="38" t="s">
        <v>180</v>
      </c>
      <c r="J208" s="38" t="s">
        <v>181</v>
      </c>
      <c r="K208" s="38" t="s">
        <v>182</v>
      </c>
      <c r="L208" s="38" t="s">
        <v>183</v>
      </c>
    </row>
    <row r="209" customFormat="false" ht="15" hidden="false" customHeight="false" outlineLevel="0" collapsed="false">
      <c r="B209" s="39" t="s">
        <v>184</v>
      </c>
      <c r="C209" s="40" t="n">
        <f aca="false">1-$E$207*CHOOSE($L$207,INDEX(Timing!$C$7:$AA$7,1,Inputs!$C$12+1),INDEX(Timing!$C$8:$AA$8,1,Inputs!$C$12+1))</f>
        <v>0.316</v>
      </c>
      <c r="D209" s="40" t="n">
        <f aca="false">1-$E$207*CHOOSE($L$207,INDEX(Timing!$C$7:$AA$7,1,Inputs!$C$13+1),INDEX(Timing!$C$8:$AA$8,1,Inputs!$C$13+1))</f>
        <v>0.1</v>
      </c>
      <c r="E209" s="40" t="n">
        <f aca="false">$I$207*$D$209*$F$207</f>
        <v>0.06</v>
      </c>
      <c r="F209" s="40" t="n">
        <f aca="false">$I$207*($D$209-$E$209)*$G$207</f>
        <v>0.032</v>
      </c>
      <c r="G209" s="40" t="n">
        <f aca="false">$I$207*($D$209-$E$209-$F$209)</f>
        <v>0.008</v>
      </c>
      <c r="H209" s="23" t="n">
        <f aca="false">$I$207*(3*$D$207+Inputs!$C$14)</f>
        <v>30300</v>
      </c>
      <c r="I209" s="23" t="n">
        <f aca="false">$I$207*($D$207*(1+IF($C$207&lt;=0,0,MAX($C$207*Inputs!$C$15/12,Inputs!$C$8)))+$D$207*(1+Inputs!$C$11*(Inputs!$C$15-Inputs!$C$12)/12)+$D$207*(1+Inputs!$C$11*(Inputs!$C$15-Inputs!$C$13)/12)+Inputs!$C$14)</f>
        <v>35643.75</v>
      </c>
      <c r="J209" s="23" t="n">
        <f aca="false">$I$207*($D$207*(1+IF($C$207&lt;=0,0,MAX($C$207*Inputs!$C$16/12,Inputs!$C$8)))+$D$207*(1+Inputs!$C$11*(Inputs!$C$16-Inputs!$C$12)/12)+$D$207*(1+Inputs!$C$11*(Inputs!$C$16-Inputs!$C$13)/12)+Inputs!$C$14)</f>
        <v>36807.5</v>
      </c>
      <c r="K209" s="40" t="n">
        <f aca="false">IRR($N$212:$AY$212,0.005)</f>
        <v>0.00985042040640412</v>
      </c>
      <c r="L209" s="41" t="n">
        <f aca="false">(1+$K$209)^12-1</f>
        <v>0.124824085894216</v>
      </c>
    </row>
    <row r="210" customFormat="false" ht="15" hidden="false" customHeight="false" outlineLevel="0" collapsed="false">
      <c r="B210" s="9" t="s">
        <v>185</v>
      </c>
      <c r="N210" s="40" t="n">
        <f aca="false">0</f>
        <v>0</v>
      </c>
      <c r="O210" s="40" t="n">
        <f aca="false">$E$207*(CHOOSE($L$207,Timing!D$7,Timing!D$8)-CHOOSE($L$207,Timing!C$7,Timing!C$8))</f>
        <v>0.108</v>
      </c>
      <c r="P210" s="40" t="n">
        <f aca="false">$E$207*(CHOOSE($L$207,Timing!E$7,Timing!E$8)-CHOOSE($L$207,Timing!D$7,Timing!D$8))</f>
        <v>0.09</v>
      </c>
      <c r="Q210" s="40" t="n">
        <f aca="false">$E$207*(CHOOSE($L$207,Timing!F$7,Timing!F$8)-CHOOSE($L$207,Timing!E$7,Timing!E$8))</f>
        <v>0.081</v>
      </c>
      <c r="R210" s="40" t="n">
        <f aca="false">$E$207*(CHOOSE($L$207,Timing!G$7,Timing!G$8)-CHOOSE($L$207,Timing!F$7,Timing!F$8))</f>
        <v>0.063</v>
      </c>
      <c r="S210" s="40" t="n">
        <f aca="false">$E$207*(CHOOSE($L$207,Timing!H$7,Timing!H$8)-CHOOSE($L$207,Timing!G$7,Timing!G$8))</f>
        <v>0.063</v>
      </c>
      <c r="T210" s="40" t="n">
        <f aca="false">$E$207*(CHOOSE($L$207,Timing!I$7,Timing!I$8)-CHOOSE($L$207,Timing!H$7,Timing!H$8))</f>
        <v>0.063</v>
      </c>
      <c r="U210" s="40" t="n">
        <f aca="false">$E$207*(CHOOSE($L$207,Timing!J$7,Timing!J$8)-CHOOSE($L$207,Timing!I$7,Timing!I$8))</f>
        <v>0.039</v>
      </c>
      <c r="V210" s="40" t="n">
        <f aca="false">$E$207*(CHOOSE($L$207,Timing!K$7,Timing!K$8)-CHOOSE($L$207,Timing!J$7,Timing!J$8))</f>
        <v>0.039</v>
      </c>
      <c r="W210" s="40" t="n">
        <f aca="false">$E$207*(CHOOSE($L$207,Timing!L$7,Timing!L$8)-CHOOSE($L$207,Timing!K$7,Timing!K$8))</f>
        <v>0.039</v>
      </c>
      <c r="X210" s="40" t="n">
        <f aca="false">$E$207*(CHOOSE($L$207,Timing!M$7,Timing!M$8)-CHOOSE($L$207,Timing!L$7,Timing!L$8))</f>
        <v>0.033</v>
      </c>
      <c r="Y210" s="40" t="n">
        <f aca="false">$E$207*(CHOOSE($L$207,Timing!N$7,Timing!N$8)-CHOOSE($L$207,Timing!M$7,Timing!M$8))</f>
        <v>0.0330000000000001</v>
      </c>
      <c r="Z210" s="40" t="n">
        <f aca="false">$E$207*(CHOOSE($L$207,Timing!O$7,Timing!O$8)-CHOOSE($L$207,Timing!N$7,Timing!N$8))</f>
        <v>0.033</v>
      </c>
      <c r="AA210" s="40" t="n">
        <f aca="false">$E$207*(CHOOSE($L$207,Timing!P$7,Timing!P$8)-CHOOSE($L$207,Timing!O$7,Timing!O$8))</f>
        <v>0.021</v>
      </c>
      <c r="AB210" s="40" t="n">
        <f aca="false">$E$207*(CHOOSE($L$207,Timing!Q$7,Timing!Q$8)-CHOOSE($L$207,Timing!P$7,Timing!P$8))</f>
        <v>0.021</v>
      </c>
      <c r="AC210" s="40" t="n">
        <f aca="false">$E$207*(CHOOSE($L$207,Timing!R$7,Timing!R$8)-CHOOSE($L$207,Timing!Q$7,Timing!Q$8))</f>
        <v>0.0210000000000001</v>
      </c>
      <c r="AD210" s="40" t="n">
        <f aca="false">$E$207*(CHOOSE($L$207,Timing!S$7,Timing!S$8)-CHOOSE($L$207,Timing!R$7,Timing!R$8))</f>
        <v>0.021</v>
      </c>
      <c r="AE210" s="40" t="n">
        <f aca="false">$E$207*(CHOOSE($L$207,Timing!T$7,Timing!T$8)-CHOOSE($L$207,Timing!S$7,Timing!S$8))</f>
        <v>0.021</v>
      </c>
      <c r="AF210" s="40" t="n">
        <f aca="false">$E$207*(CHOOSE($L$207,Timing!U$7,Timing!U$8)-CHOOSE($L$207,Timing!T$7,Timing!T$8))</f>
        <v>0.021</v>
      </c>
      <c r="AG210" s="40" t="n">
        <f aca="false">$E$207*(CHOOSE($L$207,Timing!V$7,Timing!V$8)-CHOOSE($L$207,Timing!U$7,Timing!U$8))</f>
        <v>0.015</v>
      </c>
      <c r="AH210" s="40" t="n">
        <f aca="false">$E$207*(CHOOSE($L$207,Timing!W$7,Timing!W$8)-CHOOSE($L$207,Timing!V$7,Timing!V$8))</f>
        <v>0.0149999999999999</v>
      </c>
      <c r="AI210" s="40" t="n">
        <f aca="false">$E$207*(CHOOSE($L$207,Timing!X$7,Timing!X$8)-CHOOSE($L$207,Timing!W$7,Timing!W$8))</f>
        <v>0.0149999999999999</v>
      </c>
      <c r="AJ210" s="40" t="n">
        <f aca="false">$E$207*(CHOOSE($L$207,Timing!Y$7,Timing!Y$8)-CHOOSE($L$207,Timing!X$7,Timing!X$8))</f>
        <v>0.015</v>
      </c>
      <c r="AK210" s="40" t="n">
        <f aca="false">$E$207*(CHOOSE($L$207,Timing!Z$7,Timing!Z$8)-CHOOSE($L$207,Timing!Y$7,Timing!Y$8))</f>
        <v>0.015</v>
      </c>
      <c r="AL210" s="40" t="n">
        <f aca="false">$E$207*(CHOOSE($L$207,Timing!AA$7,Timing!AA$8)-CHOOSE($L$207,Timing!Z$7,Timing!Z$8))</f>
        <v>0.0149999999999999</v>
      </c>
    </row>
    <row r="211" customFormat="false" ht="15" hidden="false" customHeight="false" outlineLevel="0" collapsed="false">
      <c r="B211" s="9" t="s">
        <v>186</v>
      </c>
      <c r="N211" s="42" t="n">
        <f aca="false">0</f>
        <v>0</v>
      </c>
      <c r="O211" s="42" t="n">
        <f aca="false">$D$207*(1+IF($C$207&lt;=0,0,MAX($C$207*O$5/12,Inputs!$C$8)))+$I$207*(O$5&gt;Inputs!$C$12)*$D$207*(1+Inputs!$C$11*(O$5-Inputs!$C$12)/12)</f>
        <v>9975</v>
      </c>
      <c r="P211" s="42" t="n">
        <f aca="false">$D$207*(1+IF($C$207&lt;=0,0,MAX($C$207*P$5/12,Inputs!$C$8)))+$I$207*(P$5&gt;Inputs!$C$12)*$D$207*(1+Inputs!$C$11*(P$5-Inputs!$C$12)/12)</f>
        <v>9975</v>
      </c>
      <c r="Q211" s="42" t="n">
        <f aca="false">$D$207*(1+IF($C$207&lt;=0,0,MAX($C$207*Q$5/12,Inputs!$C$8)))+$I$207*(Q$5&gt;Inputs!$C$12)*$D$207*(1+Inputs!$C$11*(Q$5-Inputs!$C$12)/12)</f>
        <v>9975</v>
      </c>
      <c r="R211" s="42" t="n">
        <f aca="false">$D$207*(1+IF($C$207&lt;=0,0,MAX($C$207*R$5/12,Inputs!$C$8)))+$I$207*(R$5&gt;Inputs!$C$12)*$D$207*(1+Inputs!$C$11*(R$5-Inputs!$C$12)/12)</f>
        <v>9975</v>
      </c>
      <c r="S211" s="42" t="n">
        <f aca="false">$D$207*(1+IF($C$207&lt;=0,0,MAX($C$207*S$5/12,Inputs!$C$8)))+$I$207*(S$5&gt;Inputs!$C$12)*$D$207*(1+Inputs!$C$11*(S$5-Inputs!$C$12)/12)</f>
        <v>10014.5833333333</v>
      </c>
      <c r="T211" s="42" t="n">
        <f aca="false">$D$207*(1+IF($C$207&lt;=0,0,MAX($C$207*T$5/12,Inputs!$C$8)))+$I$207*(T$5&gt;Inputs!$C$12)*$D$207*(1+Inputs!$C$11*(T$5-Inputs!$C$12)/12)</f>
        <v>10117.5</v>
      </c>
      <c r="U211" s="42" t="n">
        <f aca="false">$D$207*(1+IF($C$207&lt;=0,0,MAX($C$207*U$5/12,Inputs!$C$8)))+$I$207*(U$5&gt;Inputs!$C$12)*$D$207*(1+Inputs!$C$11*(U$5-Inputs!$C$12)/12)</f>
        <v>10220.4166666667</v>
      </c>
      <c r="V211" s="42" t="n">
        <f aca="false">$D$207*(1+IF($C$207&lt;=0,0,MAX($C$207*V$5/12,Inputs!$C$8)))+$I$207*(V$5&gt;Inputs!$C$12)*$D$207*(1+Inputs!$C$11*(V$5-Inputs!$C$12)/12)</f>
        <v>10323.3333333333</v>
      </c>
      <c r="W211" s="42" t="n">
        <f aca="false">$D$207*(1+IF($C$207&lt;=0,0,MAX($C$207*W$5/12,Inputs!$C$8)))+$I$207*(W$5&gt;Inputs!$C$12)*$D$207*(1+Inputs!$C$11*(W$5-Inputs!$C$12)/12)</f>
        <v>10426.25</v>
      </c>
      <c r="X211" s="42" t="n">
        <f aca="false">$D$207*(1+IF($C$207&lt;=0,0,MAX($C$207*X$5/12,Inputs!$C$8)))+$I$207*(X$5&gt;Inputs!$C$12)*$D$207*(1+Inputs!$C$11*(X$5-Inputs!$C$12)/12)</f>
        <v>10529.1666666667</v>
      </c>
      <c r="Y211" s="42" t="n">
        <f aca="false">$D$207*(1+IF($C$207&lt;=0,0,MAX($C$207*Y$5/12,Inputs!$C$8)))+$I$207*(Y$5&gt;Inputs!$C$12)*$D$207*(1+Inputs!$C$11*(Y$5-Inputs!$C$12)/12)</f>
        <v>10632.0833333333</v>
      </c>
      <c r="Z211" s="42" t="n">
        <f aca="false">$D$207*(1+IF($C$207&lt;=0,0,MAX($C$207*Z$5/12,Inputs!$C$8)))+$I$207*(Z$5&gt;Inputs!$C$12)*$D$207*(1+Inputs!$C$11*(Z$5-Inputs!$C$12)/12)</f>
        <v>10735</v>
      </c>
      <c r="AA211" s="42" t="n">
        <f aca="false">$D$207*(1+IF($C$207&lt;=0,0,MAX($C$207*AA$5/12,Inputs!$C$8)))+$I$207*(AA$5&gt;Inputs!$C$12)*$D$207*(1+Inputs!$C$11*(AA$5-Inputs!$C$12)/12)</f>
        <v>20480.4166666667</v>
      </c>
      <c r="AB211" s="42" t="n">
        <f aca="false">$D$207*(1+IF($C$207&lt;=0,0,MAX($C$207*AB$5/12,Inputs!$C$8)))+$I$207*(AB$5&gt;Inputs!$C$12)*$D$207*(1+Inputs!$C$11*(AB$5-Inputs!$C$12)/12)</f>
        <v>20725.8333333333</v>
      </c>
      <c r="AC211" s="42" t="n">
        <f aca="false">$D$207*(1+IF($C$207&lt;=0,0,MAX($C$207*AC$5/12,Inputs!$C$8)))+$I$207*(AC$5&gt;Inputs!$C$12)*$D$207*(1+Inputs!$C$11*(AC$5-Inputs!$C$12)/12)</f>
        <v>20971.25</v>
      </c>
      <c r="AD211" s="42" t="n">
        <f aca="false">$D$207*(1+IF($C$207&lt;=0,0,MAX($C$207*AD$5/12,Inputs!$C$8)))+$I$207*(AD$5&gt;Inputs!$C$12)*$D$207*(1+Inputs!$C$11*(AD$5-Inputs!$C$12)/12)</f>
        <v>21216.6666666667</v>
      </c>
      <c r="AE211" s="42" t="n">
        <f aca="false">$D$207*(1+IF($C$207&lt;=0,0,MAX($C$207*AE$5/12,Inputs!$C$8)))+$I$207*(AE$5&gt;Inputs!$C$12)*$D$207*(1+Inputs!$C$11*(AE$5-Inputs!$C$12)/12)</f>
        <v>21462.0833333333</v>
      </c>
      <c r="AF211" s="42" t="n">
        <f aca="false">$D$207*(1+IF($C$207&lt;=0,0,MAX($C$207*AF$5/12,Inputs!$C$8)))+$I$207*(AF$5&gt;Inputs!$C$12)*$D$207*(1+Inputs!$C$11*(AF$5-Inputs!$C$12)/12)</f>
        <v>21707.5</v>
      </c>
      <c r="AG211" s="42" t="n">
        <f aca="false">$D$207*(1+IF($C$207&lt;=0,0,MAX($C$207*AG$5/12,Inputs!$C$8)))+$I$207*(AG$5&gt;Inputs!$C$12)*$D$207*(1+Inputs!$C$11*(AG$5-Inputs!$C$12)/12)</f>
        <v>21952.9166666667</v>
      </c>
      <c r="AH211" s="42" t="n">
        <f aca="false">$D$207*(1+IF($C$207&lt;=0,0,MAX($C$207*AH$5/12,Inputs!$C$8)))+$I$207*(AH$5&gt;Inputs!$C$12)*$D$207*(1+Inputs!$C$11*(AH$5-Inputs!$C$12)/12)</f>
        <v>22198.3333333333</v>
      </c>
      <c r="AI211" s="42" t="n">
        <f aca="false">$D$207*(1+IF($C$207&lt;=0,0,MAX($C$207*AI$5/12,Inputs!$C$8)))+$I$207*(AI$5&gt;Inputs!$C$12)*$D$207*(1+Inputs!$C$11*(AI$5-Inputs!$C$12)/12)</f>
        <v>22443.75</v>
      </c>
      <c r="AJ211" s="42" t="n">
        <f aca="false">$D$207*(1+IF($C$207&lt;=0,0,MAX($C$207*AJ$5/12,Inputs!$C$8)))+$I$207*(AJ$5&gt;Inputs!$C$12)*$D$207*(1+Inputs!$C$11*(AJ$5-Inputs!$C$12)/12)</f>
        <v>22689.1666666667</v>
      </c>
      <c r="AK211" s="42" t="n">
        <f aca="false">$D$207*(1+IF($C$207&lt;=0,0,MAX($C$207*AK$5/12,Inputs!$C$8)))+$I$207*(AK$5&gt;Inputs!$C$12)*$D$207*(1+Inputs!$C$11*(AK$5-Inputs!$C$12)/12)</f>
        <v>22934.5833333333</v>
      </c>
      <c r="AL211" s="42" t="n">
        <f aca="false">$D$207*(1+IF($C$207&lt;=0,0,MAX($C$207*AL$5/12,Inputs!$C$8)))+$I$207*(AL$5&gt;Inputs!$C$12)*$D$207*(1+Inputs!$C$11*(AL$5-Inputs!$C$12)/12)</f>
        <v>23180</v>
      </c>
    </row>
    <row r="212" customFormat="false" ht="15" hidden="false" customHeight="false" outlineLevel="0" collapsed="false">
      <c r="B212" s="31" t="s">
        <v>187</v>
      </c>
      <c r="N212" s="42" t="n">
        <f aca="false">-($D$207+$J$207)*(N$5=0)+IF(AND(N$5-$K$207&gt;=1,N$5-$K$207&lt;=Inputs!$C$13),INDEX($N$210:$AL$210,1,N$5-$K$207+1)*INDEX($N$211:$AL$211,1,N$5-$K$207+1),0)-$I$207*((N$5=Inputs!$C$12)*$C$209*$D$207+(N$5=Inputs!$C$13)*$D$209*($D$207+Inputs!$C$14))+$I$207*((N$5=Inputs!$C$15+$K$207)*$E$209*$I$209+(N$5=Inputs!$C$16+$K$207)*$F$209*$J$209+(N$5=Inputs!$C$17)*$G$209*$H$207*$H$209)</f>
        <v>-9510</v>
      </c>
      <c r="O212" s="42" t="n">
        <f aca="false">-($D$207+$J$207)*(O$5=0)+IF(AND(O$5-$K$207&gt;=1,O$5-$K$207&lt;=Inputs!$C$13),INDEX($N$210:$AL$210,1,O$5-$K$207+1)*INDEX($N$211:$AL$211,1,O$5-$K$207+1),0)-$I$207*((O$5=Inputs!$C$12)*$C$209*$D$207+(O$5=Inputs!$C$13)*$D$209*($D$207+Inputs!$C$14))+$I$207*((O$5=Inputs!$C$15+$K$207)*$E$209*$I$209+(O$5=Inputs!$C$16+$K$207)*$F$209*$J$209+(O$5=Inputs!$C$17)*$G$209*$H$207*$H$209)</f>
        <v>0</v>
      </c>
      <c r="P212" s="42" t="n">
        <f aca="false">-($D$207+$J$207)*(P$5=0)+IF(AND(P$5-$K$207&gt;=1,P$5-$K$207&lt;=Inputs!$C$13),INDEX($N$210:$AL$210,1,P$5-$K$207+1)*INDEX($N$211:$AL$211,1,P$5-$K$207+1),0)-$I$207*((P$5=Inputs!$C$12)*$C$209*$D$207+(P$5=Inputs!$C$13)*$D$209*($D$207+Inputs!$C$14))+$I$207*((P$5=Inputs!$C$15+$K$207)*$E$209*$I$209+(P$5=Inputs!$C$16+$K$207)*$F$209*$J$209+(P$5=Inputs!$C$17)*$G$209*$H$207*$H$209)</f>
        <v>1077.3</v>
      </c>
      <c r="Q212" s="42" t="n">
        <f aca="false">-($D$207+$J$207)*(Q$5=0)+IF(AND(Q$5-$K$207&gt;=1,Q$5-$K$207&lt;=Inputs!$C$13),INDEX($N$210:$AL$210,1,Q$5-$K$207+1)*INDEX($N$211:$AL$211,1,Q$5-$K$207+1),0)-$I$207*((Q$5=Inputs!$C$12)*$C$209*$D$207+(Q$5=Inputs!$C$13)*$D$209*($D$207+Inputs!$C$14))+$I$207*((Q$5=Inputs!$C$15+$K$207)*$E$209*$I$209+(Q$5=Inputs!$C$16+$K$207)*$F$209*$J$209+(Q$5=Inputs!$C$17)*$G$209*$H$207*$H$209)</f>
        <v>897.75</v>
      </c>
      <c r="R212" s="42" t="n">
        <f aca="false">-($D$207+$J$207)*(R$5=0)+IF(AND(R$5-$K$207&gt;=1,R$5-$K$207&lt;=Inputs!$C$13),INDEX($N$210:$AL$210,1,R$5-$K$207+1)*INDEX($N$211:$AL$211,1,R$5-$K$207+1),0)-$I$207*((R$5=Inputs!$C$12)*$C$209*$D$207+(R$5=Inputs!$C$13)*$D$209*($D$207+Inputs!$C$14))+$I$207*((R$5=Inputs!$C$15+$K$207)*$E$209*$I$209+(R$5=Inputs!$C$16+$K$207)*$F$209*$J$209+(R$5=Inputs!$C$17)*$G$209*$H$207*$H$209)</f>
        <v>807.975</v>
      </c>
      <c r="S212" s="42" t="n">
        <f aca="false">-($D$207+$J$207)*(S$5=0)+IF(AND(S$5-$K$207&gt;=1,S$5-$K$207&lt;=Inputs!$C$13),INDEX($N$210:$AL$210,1,S$5-$K$207+1)*INDEX($N$211:$AL$211,1,S$5-$K$207+1),0)-$I$207*((S$5=Inputs!$C$12)*$C$209*$D$207+(S$5=Inputs!$C$13)*$D$209*($D$207+Inputs!$C$14))+$I$207*((S$5=Inputs!$C$15+$K$207)*$E$209*$I$209+(S$5=Inputs!$C$16+$K$207)*$F$209*$J$209+(S$5=Inputs!$C$17)*$G$209*$H$207*$H$209)</f>
        <v>628.425</v>
      </c>
      <c r="T212" s="42" t="n">
        <f aca="false">-($D$207+$J$207)*(T$5=0)+IF(AND(T$5-$K$207&gt;=1,T$5-$K$207&lt;=Inputs!$C$13),INDEX($N$210:$AL$210,1,T$5-$K$207+1)*INDEX($N$211:$AL$211,1,T$5-$K$207+1),0)-$I$207*((T$5=Inputs!$C$12)*$C$209*$D$207+(T$5=Inputs!$C$13)*$D$209*($D$207+Inputs!$C$14))+$I$207*((T$5=Inputs!$C$15+$K$207)*$E$209*$I$209+(T$5=Inputs!$C$16+$K$207)*$F$209*$J$209+(T$5=Inputs!$C$17)*$G$209*$H$207*$H$209)</f>
        <v>630.91875</v>
      </c>
      <c r="U212" s="42" t="n">
        <f aca="false">-($D$207+$J$207)*(U$5=0)+IF(AND(U$5-$K$207&gt;=1,U$5-$K$207&lt;=Inputs!$C$13),INDEX($N$210:$AL$210,1,U$5-$K$207+1)*INDEX($N$211:$AL$211,1,U$5-$K$207+1),0)-$I$207*((U$5=Inputs!$C$12)*$C$209*$D$207+(U$5=Inputs!$C$13)*$D$209*($D$207+Inputs!$C$14))+$I$207*((U$5=Inputs!$C$15+$K$207)*$E$209*$I$209+(U$5=Inputs!$C$16+$K$207)*$F$209*$J$209+(U$5=Inputs!$C$17)*$G$209*$H$207*$H$209)</f>
        <v>637.4025</v>
      </c>
      <c r="V212" s="42" t="n">
        <f aca="false">-($D$207+$J$207)*(V$5=0)+IF(AND(V$5-$K$207&gt;=1,V$5-$K$207&lt;=Inputs!$C$13),INDEX($N$210:$AL$210,1,V$5-$K$207+1)*INDEX($N$211:$AL$211,1,V$5-$K$207+1),0)-$I$207*((V$5=Inputs!$C$12)*$C$209*$D$207+(V$5=Inputs!$C$13)*$D$209*($D$207+Inputs!$C$14))+$I$207*((V$5=Inputs!$C$15+$K$207)*$E$209*$I$209+(V$5=Inputs!$C$16+$K$207)*$F$209*$J$209+(V$5=Inputs!$C$17)*$G$209*$H$207*$H$209)</f>
        <v>398.59625</v>
      </c>
      <c r="W212" s="42" t="n">
        <f aca="false">-($D$207+$J$207)*(W$5=0)+IF(AND(W$5-$K$207&gt;=1,W$5-$K$207&lt;=Inputs!$C$13),INDEX($N$210:$AL$210,1,W$5-$K$207+1)*INDEX($N$211:$AL$211,1,W$5-$K$207+1),0)-$I$207*((W$5=Inputs!$C$12)*$C$209*$D$207+(W$5=Inputs!$C$13)*$D$209*($D$207+Inputs!$C$14))+$I$207*((W$5=Inputs!$C$15+$K$207)*$E$209*$I$209+(W$5=Inputs!$C$16+$K$207)*$F$209*$J$209+(W$5=Inputs!$C$17)*$G$209*$H$207*$H$209)</f>
        <v>402.61</v>
      </c>
      <c r="X212" s="42" t="n">
        <f aca="false">-($D$207+$J$207)*(X$5=0)+IF(AND(X$5-$K$207&gt;=1,X$5-$K$207&lt;=Inputs!$C$13),INDEX($N$210:$AL$210,1,X$5-$K$207+1)*INDEX($N$211:$AL$211,1,X$5-$K$207+1),0)-$I$207*((X$5=Inputs!$C$12)*$C$209*$D$207+(X$5=Inputs!$C$13)*$D$209*($D$207+Inputs!$C$14))+$I$207*((X$5=Inputs!$C$15+$K$207)*$E$209*$I$209+(X$5=Inputs!$C$16+$K$207)*$F$209*$J$209+(X$5=Inputs!$C$17)*$G$209*$H$207*$H$209)</f>
        <v>406.62375</v>
      </c>
      <c r="Y212" s="42" t="n">
        <f aca="false">-($D$207+$J$207)*(Y$5=0)+IF(AND(Y$5-$K$207&gt;=1,Y$5-$K$207&lt;=Inputs!$C$13),INDEX($N$210:$AL$210,1,Y$5-$K$207+1)*INDEX($N$211:$AL$211,1,Y$5-$K$207+1),0)-$I$207*((Y$5=Inputs!$C$12)*$C$209*$D$207+(Y$5=Inputs!$C$13)*$D$209*($D$207+Inputs!$C$14))+$I$207*((Y$5=Inputs!$C$15+$K$207)*$E$209*$I$209+(Y$5=Inputs!$C$16+$K$207)*$F$209*$J$209+(Y$5=Inputs!$C$17)*$G$209*$H$207*$H$209)</f>
        <v>347.4625</v>
      </c>
      <c r="Z212" s="42" t="n">
        <f aca="false">-($D$207+$J$207)*(Z$5=0)+IF(AND(Z$5-$K$207&gt;=1,Z$5-$K$207&lt;=Inputs!$C$13),INDEX($N$210:$AL$210,1,Z$5-$K$207+1)*INDEX($N$211:$AL$211,1,Z$5-$K$207+1),0)-$I$207*((Z$5=Inputs!$C$12)*$C$209*$D$207+(Z$5=Inputs!$C$13)*$D$209*($D$207+Inputs!$C$14))+$I$207*((Z$5=Inputs!$C$15+$K$207)*$E$209*$I$209+(Z$5=Inputs!$C$16+$K$207)*$F$209*$J$209+(Z$5=Inputs!$C$17)*$G$209*$H$207*$H$209)</f>
        <v>-2651.14125</v>
      </c>
      <c r="AA212" s="42" t="n">
        <f aca="false">-($D$207+$J$207)*(AA$5=0)+IF(AND(AA$5-$K$207&gt;=1,AA$5-$K$207&lt;=Inputs!$C$13),INDEX($N$210:$AL$210,1,AA$5-$K$207+1)*INDEX($N$211:$AL$211,1,AA$5-$K$207+1),0)-$I$207*((AA$5=Inputs!$C$12)*$C$209*$D$207+(AA$5=Inputs!$C$13)*$D$209*($D$207+Inputs!$C$14))+$I$207*((AA$5=Inputs!$C$15+$K$207)*$E$209*$I$209+(AA$5=Inputs!$C$16+$K$207)*$F$209*$J$209+(AA$5=Inputs!$C$17)*$G$209*$H$207*$H$209)</f>
        <v>354.255</v>
      </c>
      <c r="AB212" s="42" t="n">
        <f aca="false">-($D$207+$J$207)*(AB$5=0)+IF(AND(AB$5-$K$207&gt;=1,AB$5-$K$207&lt;=Inputs!$C$13),INDEX($N$210:$AL$210,1,AB$5-$K$207+1)*INDEX($N$211:$AL$211,1,AB$5-$K$207+1),0)-$I$207*((AB$5=Inputs!$C$12)*$C$209*$D$207+(AB$5=Inputs!$C$13)*$D$209*($D$207+Inputs!$C$14))+$I$207*((AB$5=Inputs!$C$15+$K$207)*$E$209*$I$209+(AB$5=Inputs!$C$16+$K$207)*$F$209*$J$209+(AB$5=Inputs!$C$17)*$G$209*$H$207*$H$209)</f>
        <v>430.08875</v>
      </c>
      <c r="AC212" s="42" t="n">
        <f aca="false">-($D$207+$J$207)*(AC$5=0)+IF(AND(AC$5-$K$207&gt;=1,AC$5-$K$207&lt;=Inputs!$C$13),INDEX($N$210:$AL$210,1,AC$5-$K$207+1)*INDEX($N$211:$AL$211,1,AC$5-$K$207+1),0)-$I$207*((AC$5=Inputs!$C$12)*$C$209*$D$207+(AC$5=Inputs!$C$13)*$D$209*($D$207+Inputs!$C$14))+$I$207*((AC$5=Inputs!$C$15+$K$207)*$E$209*$I$209+(AC$5=Inputs!$C$16+$K$207)*$F$209*$J$209+(AC$5=Inputs!$C$17)*$G$209*$H$207*$H$209)</f>
        <v>435.2425</v>
      </c>
      <c r="AD212" s="42" t="n">
        <f aca="false">-($D$207+$J$207)*(AD$5=0)+IF(AND(AD$5-$K$207&gt;=1,AD$5-$K$207&lt;=Inputs!$C$13),INDEX($N$210:$AL$210,1,AD$5-$K$207+1)*INDEX($N$211:$AL$211,1,AD$5-$K$207+1),0)-$I$207*((AD$5=Inputs!$C$12)*$C$209*$D$207+(AD$5=Inputs!$C$13)*$D$209*($D$207+Inputs!$C$14))+$I$207*((AD$5=Inputs!$C$15+$K$207)*$E$209*$I$209+(AD$5=Inputs!$C$16+$K$207)*$F$209*$J$209+(AD$5=Inputs!$C$17)*$G$209*$H$207*$H$209)</f>
        <v>440.396250000002</v>
      </c>
      <c r="AE212" s="42" t="n">
        <f aca="false">-($D$207+$J$207)*(AE$5=0)+IF(AND(AE$5-$K$207&gt;=1,AE$5-$K$207&lt;=Inputs!$C$13),INDEX($N$210:$AL$210,1,AE$5-$K$207+1)*INDEX($N$211:$AL$211,1,AE$5-$K$207+1),0)-$I$207*((AE$5=Inputs!$C$12)*$C$209*$D$207+(AE$5=Inputs!$C$13)*$D$209*($D$207+Inputs!$C$14))+$I$207*((AE$5=Inputs!$C$15+$K$207)*$E$209*$I$209+(AE$5=Inputs!$C$16+$K$207)*$F$209*$J$209+(AE$5=Inputs!$C$17)*$G$209*$H$207*$H$209)</f>
        <v>445.55</v>
      </c>
      <c r="AF212" s="42" t="n">
        <f aca="false">-($D$207+$J$207)*(AF$5=0)+IF(AND(AF$5-$K$207&gt;=1,AF$5-$K$207&lt;=Inputs!$C$13),INDEX($N$210:$AL$210,1,AF$5-$K$207+1)*INDEX($N$211:$AL$211,1,AF$5-$K$207+1),0)-$I$207*((AF$5=Inputs!$C$12)*$C$209*$D$207+(AF$5=Inputs!$C$13)*$D$209*($D$207+Inputs!$C$14))+$I$207*((AF$5=Inputs!$C$15+$K$207)*$E$209*$I$209+(AF$5=Inputs!$C$16+$K$207)*$F$209*$J$209+(AF$5=Inputs!$C$17)*$G$209*$H$207*$H$209)</f>
        <v>450.70375</v>
      </c>
      <c r="AG212" s="42" t="n">
        <f aca="false">-($D$207+$J$207)*(AG$5=0)+IF(AND(AG$5-$K$207&gt;=1,AG$5-$K$207&lt;=Inputs!$C$13),INDEX($N$210:$AL$210,1,AG$5-$K$207+1)*INDEX($N$211:$AL$211,1,AG$5-$K$207+1),0)-$I$207*((AG$5=Inputs!$C$12)*$C$209*$D$207+(AG$5=Inputs!$C$13)*$D$209*($D$207+Inputs!$C$14))+$I$207*((AG$5=Inputs!$C$15+$K$207)*$E$209*$I$209+(AG$5=Inputs!$C$16+$K$207)*$F$209*$J$209+(AG$5=Inputs!$C$17)*$G$209*$H$207*$H$209)</f>
        <v>455.8575</v>
      </c>
      <c r="AH212" s="42" t="n">
        <f aca="false">-($D$207+$J$207)*(AH$5=0)+IF(AND(AH$5-$K$207&gt;=1,AH$5-$K$207&lt;=Inputs!$C$13),INDEX($N$210:$AL$210,1,AH$5-$K$207+1)*INDEX($N$211:$AL$211,1,AH$5-$K$207+1),0)-$I$207*((AH$5=Inputs!$C$12)*$C$209*$D$207+(AH$5=Inputs!$C$13)*$D$209*($D$207+Inputs!$C$14))+$I$207*((AH$5=Inputs!$C$15+$K$207)*$E$209*$I$209+(AH$5=Inputs!$C$16+$K$207)*$F$209*$J$209+(AH$5=Inputs!$C$17)*$G$209*$H$207*$H$209)</f>
        <v>329.293750000001</v>
      </c>
      <c r="AI212" s="42" t="n">
        <f aca="false">-($D$207+$J$207)*(AI$5=0)+IF(AND(AI$5-$K$207&gt;=1,AI$5-$K$207&lt;=Inputs!$C$13),INDEX($N$210:$AL$210,1,AI$5-$K$207+1)*INDEX($N$211:$AL$211,1,AI$5-$K$207+1),0)-$I$207*((AI$5=Inputs!$C$12)*$C$209*$D$207+(AI$5=Inputs!$C$13)*$D$209*($D$207+Inputs!$C$14))+$I$207*((AI$5=Inputs!$C$15+$K$207)*$E$209*$I$209+(AI$5=Inputs!$C$16+$K$207)*$F$209*$J$209+(AI$5=Inputs!$C$17)*$G$209*$H$207*$H$209)</f>
        <v>332.974999999999</v>
      </c>
      <c r="AJ212" s="42" t="n">
        <f aca="false">-($D$207+$J$207)*(AJ$5=0)+IF(AND(AJ$5-$K$207&gt;=1,AJ$5-$K$207&lt;=Inputs!$C$13),INDEX($N$210:$AL$210,1,AJ$5-$K$207+1)*INDEX($N$211:$AL$211,1,AJ$5-$K$207+1),0)-$I$207*((AJ$5=Inputs!$C$12)*$C$209*$D$207+(AJ$5=Inputs!$C$13)*$D$209*($D$207+Inputs!$C$14))+$I$207*((AJ$5=Inputs!$C$15+$K$207)*$E$209*$I$209+(AJ$5=Inputs!$C$16+$K$207)*$F$209*$J$209+(AJ$5=Inputs!$C$17)*$G$209*$H$207*$H$209)</f>
        <v>336.656249999999</v>
      </c>
      <c r="AK212" s="42" t="n">
        <f aca="false">-($D$207+$J$207)*(AK$5=0)+IF(AND(AK$5-$K$207&gt;=1,AK$5-$K$207&lt;=Inputs!$C$13),INDEX($N$210:$AL$210,1,AK$5-$K$207+1)*INDEX($N$211:$AL$211,1,AK$5-$K$207+1),0)-$I$207*((AK$5=Inputs!$C$12)*$C$209*$D$207+(AK$5=Inputs!$C$13)*$D$209*($D$207+Inputs!$C$14))+$I$207*((AK$5=Inputs!$C$15+$K$207)*$E$209*$I$209+(AK$5=Inputs!$C$16+$K$207)*$F$209*$J$209+(AK$5=Inputs!$C$17)*$G$209*$H$207*$H$209)</f>
        <v>340.337500000001</v>
      </c>
      <c r="AL212" s="42" t="n">
        <f aca="false">-($D$207+$J$207)*(AL$5=0)+IF(AND(AL$5-$K$207&gt;=1,AL$5-$K$207&lt;=Inputs!$C$13),INDEX($N$210:$AL$210,1,AL$5-$K$207+1)*INDEX($N$211:$AL$211,1,AL$5-$K$207+1),0)-$I$207*((AL$5=Inputs!$C$12)*$C$209*$D$207+(AL$5=Inputs!$C$13)*$D$209*($D$207+Inputs!$C$14))+$I$207*((AL$5=Inputs!$C$15+$K$207)*$E$209*$I$209+(AL$5=Inputs!$C$16+$K$207)*$F$209*$J$209+(AL$5=Inputs!$C$17)*$G$209*$H$207*$H$209)</f>
        <v>-785.981249999999</v>
      </c>
      <c r="AM212" s="42" t="n">
        <f aca="false">-($D$207+$J$207)*(AM$5=0)+IF(AND(AM$5-$K$207&gt;=1,AM$5-$K$207&lt;=Inputs!$C$13),INDEX($N$210:$AL$210,1,AM$5-$K$207+1)*INDEX($N$211:$AL$211,1,AM$5-$K$207+1),0)-$I$207*((AM$5=Inputs!$C$12)*$C$209*$D$207+(AM$5=Inputs!$C$13)*$D$209*($D$207+Inputs!$C$14))+$I$207*((AM$5=Inputs!$C$15+$K$207)*$E$209*$I$209+(AM$5=Inputs!$C$16+$K$207)*$F$209*$J$209+(AM$5=Inputs!$C$17)*$G$209*$H$207*$H$209)</f>
        <v>347.699999999999</v>
      </c>
      <c r="AN212" s="42" t="n">
        <f aca="false">-($D$207+$J$207)*(AN$5=0)+IF(AND(AN$5-$K$207&gt;=1,AN$5-$K$207&lt;=Inputs!$C$13),INDEX($N$210:$AL$210,1,AN$5-$K$207+1)*INDEX($N$211:$AL$211,1,AN$5-$K$207+1),0)-$I$207*((AN$5=Inputs!$C$12)*$C$209*$D$207+(AN$5=Inputs!$C$13)*$D$209*($D$207+Inputs!$C$14))+$I$207*((AN$5=Inputs!$C$15+$K$207)*$E$209*$I$209+(AN$5=Inputs!$C$16+$K$207)*$F$209*$J$209+(AN$5=Inputs!$C$17)*$G$209*$H$207*$H$209)</f>
        <v>0</v>
      </c>
      <c r="AO212" s="42" t="n">
        <f aca="false">-($D$207+$J$207)*(AO$5=0)+IF(AND(AO$5-$K$207&gt;=1,AO$5-$K$207&lt;=Inputs!$C$13),INDEX($N$210:$AL$210,1,AO$5-$K$207+1)*INDEX($N$211:$AL$211,1,AO$5-$K$207+1),0)-$I$207*((AO$5=Inputs!$C$12)*$C$209*$D$207+(AO$5=Inputs!$C$13)*$D$209*($D$207+Inputs!$C$14))+$I$207*((AO$5=Inputs!$C$15+$K$207)*$E$209*$I$209+(AO$5=Inputs!$C$16+$K$207)*$F$209*$J$209+(AO$5=Inputs!$C$17)*$G$209*$H$207*$H$209)</f>
        <v>0</v>
      </c>
      <c r="AP212" s="42" t="n">
        <f aca="false">-($D$207+$J$207)*(AP$5=0)+IF(AND(AP$5-$K$207&gt;=1,AP$5-$K$207&lt;=Inputs!$C$13),INDEX($N$210:$AL$210,1,AP$5-$K$207+1)*INDEX($N$211:$AL$211,1,AP$5-$K$207+1),0)-$I$207*((AP$5=Inputs!$C$12)*$C$209*$D$207+(AP$5=Inputs!$C$13)*$D$209*($D$207+Inputs!$C$14))+$I$207*((AP$5=Inputs!$C$15+$K$207)*$E$209*$I$209+(AP$5=Inputs!$C$16+$K$207)*$F$209*$J$209+(AP$5=Inputs!$C$17)*$G$209*$H$207*$H$209)</f>
        <v>2138.625</v>
      </c>
      <c r="AQ212" s="42" t="n">
        <f aca="false">-($D$207+$J$207)*(AQ$5=0)+IF(AND(AQ$5-$K$207&gt;=1,AQ$5-$K$207&lt;=Inputs!$C$13),INDEX($N$210:$AL$210,1,AQ$5-$K$207+1)*INDEX($N$211:$AL$211,1,AQ$5-$K$207+1),0)-$I$207*((AQ$5=Inputs!$C$12)*$C$209*$D$207+(AQ$5=Inputs!$C$13)*$D$209*($D$207+Inputs!$C$14))+$I$207*((AQ$5=Inputs!$C$15+$K$207)*$E$209*$I$209+(AQ$5=Inputs!$C$16+$K$207)*$F$209*$J$209+(AQ$5=Inputs!$C$17)*$G$209*$H$207*$H$209)</f>
        <v>0</v>
      </c>
      <c r="AR212" s="42" t="n">
        <f aca="false">-($D$207+$J$207)*(AR$5=0)+IF(AND(AR$5-$K$207&gt;=1,AR$5-$K$207&lt;=Inputs!$C$13),INDEX($N$210:$AL$210,1,AR$5-$K$207+1)*INDEX($N$211:$AL$211,1,AR$5-$K$207+1),0)-$I$207*((AR$5=Inputs!$C$12)*$C$209*$D$207+(AR$5=Inputs!$C$13)*$D$209*($D$207+Inputs!$C$14))+$I$207*((AR$5=Inputs!$C$15+$K$207)*$E$209*$I$209+(AR$5=Inputs!$C$16+$K$207)*$F$209*$J$209+(AR$5=Inputs!$C$17)*$G$209*$H$207*$H$209)</f>
        <v>0</v>
      </c>
      <c r="AS212" s="42" t="n">
        <f aca="false">-($D$207+$J$207)*(AS$5=0)+IF(AND(AS$5-$K$207&gt;=1,AS$5-$K$207&lt;=Inputs!$C$13),INDEX($N$210:$AL$210,1,AS$5-$K$207+1)*INDEX($N$211:$AL$211,1,AS$5-$K$207+1),0)-$I$207*((AS$5=Inputs!$C$12)*$C$209*$D$207+(AS$5=Inputs!$C$13)*$D$209*($D$207+Inputs!$C$14))+$I$207*((AS$5=Inputs!$C$15+$K$207)*$E$209*$I$209+(AS$5=Inputs!$C$16+$K$207)*$F$209*$J$209+(AS$5=Inputs!$C$17)*$G$209*$H$207*$H$209)</f>
        <v>1177.84</v>
      </c>
      <c r="AT212" s="42" t="n">
        <f aca="false">-($D$207+$J$207)*(AT$5=0)+IF(AND(AT$5-$K$207&gt;=1,AT$5-$K$207&lt;=Inputs!$C$13),INDEX($N$210:$AL$210,1,AT$5-$K$207+1)*INDEX($N$211:$AL$211,1,AT$5-$K$207+1),0)-$I$207*((AT$5=Inputs!$C$12)*$C$209*$D$207+(AT$5=Inputs!$C$13)*$D$209*($D$207+Inputs!$C$14))+$I$207*((AT$5=Inputs!$C$15+$K$207)*$E$209*$I$209+(AT$5=Inputs!$C$16+$K$207)*$F$209*$J$209+(AT$5=Inputs!$C$17)*$G$209*$H$207*$H$209)</f>
        <v>0</v>
      </c>
      <c r="AU212" s="42" t="n">
        <f aca="false">-($D$207+$J$207)*(AU$5=0)+IF(AND(AU$5-$K$207&gt;=1,AU$5-$K$207&lt;=Inputs!$C$13),INDEX($N$210:$AL$210,1,AU$5-$K$207+1)*INDEX($N$211:$AL$211,1,AU$5-$K$207+1),0)-$I$207*((AU$5=Inputs!$C$12)*$C$209*$D$207+(AU$5=Inputs!$C$13)*$D$209*($D$207+Inputs!$C$14))+$I$207*((AU$5=Inputs!$C$15+$K$207)*$E$209*$I$209+(AU$5=Inputs!$C$16+$K$207)*$F$209*$J$209+(AU$5=Inputs!$C$17)*$G$209*$H$207*$H$209)</f>
        <v>0</v>
      </c>
      <c r="AV212" s="42" t="n">
        <f aca="false">-($D$207+$J$207)*(AV$5=0)+IF(AND(AV$5-$K$207&gt;=1,AV$5-$K$207&lt;=Inputs!$C$13),INDEX($N$210:$AL$210,1,AV$5-$K$207+1)*INDEX($N$211:$AL$211,1,AV$5-$K$207+1),0)-$I$207*((AV$5=Inputs!$C$12)*$C$209*$D$207+(AV$5=Inputs!$C$13)*$D$209*($D$207+Inputs!$C$14))+$I$207*((AV$5=Inputs!$C$15+$K$207)*$E$209*$I$209+(AV$5=Inputs!$C$16+$K$207)*$F$209*$J$209+(AV$5=Inputs!$C$17)*$G$209*$H$207*$H$209)</f>
        <v>0</v>
      </c>
      <c r="AW212" s="42" t="n">
        <f aca="false">-($D$207+$J$207)*(AW$5=0)+IF(AND(AW$5-$K$207&gt;=1,AW$5-$K$207&lt;=Inputs!$C$13),INDEX($N$210:$AL$210,1,AW$5-$K$207+1)*INDEX($N$211:$AL$211,1,AW$5-$K$207+1),0)-$I$207*((AW$5=Inputs!$C$12)*$C$209*$D$207+(AW$5=Inputs!$C$13)*$D$209*($D$207+Inputs!$C$14))+$I$207*((AW$5=Inputs!$C$15+$K$207)*$E$209*$I$209+(AW$5=Inputs!$C$16+$K$207)*$F$209*$J$209+(AW$5=Inputs!$C$17)*$G$209*$H$207*$H$209)</f>
        <v>0</v>
      </c>
      <c r="AX212" s="42" t="n">
        <f aca="false">-($D$207+$J$207)*(AX$5=0)+IF(AND(AX$5-$K$207&gt;=1,AX$5-$K$207&lt;=Inputs!$C$13),INDEX($N$210:$AL$210,1,AX$5-$K$207+1)*INDEX($N$211:$AL$211,1,AX$5-$K$207+1),0)-$I$207*((AX$5=Inputs!$C$12)*$C$209*$D$207+(AX$5=Inputs!$C$13)*$D$209*($D$207+Inputs!$C$14))+$I$207*((AX$5=Inputs!$C$15+$K$207)*$E$209*$I$209+(AX$5=Inputs!$C$16+$K$207)*$F$209*$J$209+(AX$5=Inputs!$C$17)*$G$209*$H$207*$H$209)</f>
        <v>218.16</v>
      </c>
      <c r="AY212" s="42" t="n">
        <f aca="false">-($D$207+$J$207)*(AY$5=0)+IF(AND(AY$5-$K$207&gt;=1,AY$5-$K$207&lt;=Inputs!$C$13),INDEX($N$210:$AL$210,1,AY$5-$K$207+1)*INDEX($N$211:$AL$211,1,AY$5-$K$207+1),0)-$I$207*((AY$5=Inputs!$C$12)*$C$209*$D$207+(AY$5=Inputs!$C$13)*$D$209*($D$207+Inputs!$C$14))+$I$207*((AY$5=Inputs!$C$15+$K$207)*$E$209*$I$209+(AY$5=Inputs!$C$16+$K$207)*$F$209*$J$209+(AY$5=Inputs!$C$17)*$G$209*$H$207*$H$209)</f>
        <v>0</v>
      </c>
    </row>
    <row r="214" customFormat="false" ht="15" hidden="false" customHeight="false" outlineLevel="0" collapsed="false">
      <c r="B214" s="7" t="s">
        <v>210</v>
      </c>
      <c r="C214" s="8"/>
      <c r="D214" s="8"/>
      <c r="E214" s="8"/>
      <c r="F214" s="8"/>
      <c r="G214" s="8"/>
      <c r="H214" s="8"/>
      <c r="I214" s="8"/>
      <c r="J214" s="8"/>
      <c r="K214" s="8"/>
      <c r="L214" s="8"/>
    </row>
    <row r="215" customFormat="false" ht="30" hidden="false" customHeight="true" outlineLevel="0" collapsed="false">
      <c r="B215" s="37"/>
      <c r="C215" s="38" t="s">
        <v>169</v>
      </c>
      <c r="D215" s="38" t="s">
        <v>170</v>
      </c>
      <c r="E215" s="38" t="s">
        <v>171</v>
      </c>
      <c r="F215" s="38" t="s">
        <v>43</v>
      </c>
      <c r="G215" s="38" t="s">
        <v>44</v>
      </c>
      <c r="H215" s="38" t="s">
        <v>45</v>
      </c>
      <c r="I215" s="38" t="s">
        <v>172</v>
      </c>
      <c r="J215" s="38" t="s">
        <v>90</v>
      </c>
      <c r="K215" s="38" t="s">
        <v>89</v>
      </c>
      <c r="L215" s="38" t="s">
        <v>173</v>
      </c>
    </row>
    <row r="216" customFormat="false" ht="15" hidden="false" customHeight="false" outlineLevel="0" collapsed="false">
      <c r="B216" s="39" t="s">
        <v>174</v>
      </c>
      <c r="C216" s="26" t="n">
        <f aca="false">Class_IRR!$J$5</f>
        <v>0.18</v>
      </c>
      <c r="D216" s="30" t="n">
        <f aca="false">Inputs!$E$25</f>
        <v>9500</v>
      </c>
      <c r="E216" s="26" t="n">
        <f aca="false">Inputs!$F$25</f>
        <v>0.9</v>
      </c>
      <c r="F216" s="25" t="n">
        <f aca="false">Inputs!$G$25</f>
        <v>0.6</v>
      </c>
      <c r="G216" s="25" t="n">
        <f aca="false">Inputs!$H$25</f>
        <v>0.8</v>
      </c>
      <c r="H216" s="25" t="n">
        <f aca="false">Inputs!$I$25</f>
        <v>0.9</v>
      </c>
      <c r="I216" s="22" t="n">
        <f aca="false">Inputs!$J$25</f>
        <v>1</v>
      </c>
      <c r="J216" s="23" t="n">
        <f aca="false">Inputs!$C$9</f>
        <v>10</v>
      </c>
      <c r="K216" s="22" t="n">
        <f aca="false">Inputs!$C$10</f>
        <v>1</v>
      </c>
      <c r="L216" s="22" t="n">
        <f aca="false">1</f>
        <v>1</v>
      </c>
    </row>
    <row r="217" customFormat="false" ht="30" hidden="false" customHeight="true" outlineLevel="0" collapsed="false">
      <c r="B217" s="37"/>
      <c r="C217" s="38" t="s">
        <v>175</v>
      </c>
      <c r="D217" s="38" t="s">
        <v>176</v>
      </c>
      <c r="E217" s="38" t="s">
        <v>177</v>
      </c>
      <c r="F217" s="38" t="s">
        <v>178</v>
      </c>
      <c r="G217" s="38" t="s">
        <v>112</v>
      </c>
      <c r="H217" s="38" t="s">
        <v>179</v>
      </c>
      <c r="I217" s="38" t="s">
        <v>180</v>
      </c>
      <c r="J217" s="38" t="s">
        <v>181</v>
      </c>
      <c r="K217" s="38" t="s">
        <v>182</v>
      </c>
      <c r="L217" s="38" t="s">
        <v>183</v>
      </c>
    </row>
    <row r="218" customFormat="false" ht="15" hidden="false" customHeight="false" outlineLevel="0" collapsed="false">
      <c r="B218" s="39" t="s">
        <v>184</v>
      </c>
      <c r="C218" s="40" t="n">
        <f aca="false">1-$E$216*CHOOSE($L$216,INDEX(Timing!$C$7:$AA$7,1,Inputs!$C$12+1),INDEX(Timing!$C$8:$AA$8,1,Inputs!$C$12+1))</f>
        <v>0.316</v>
      </c>
      <c r="D218" s="40" t="n">
        <f aca="false">1-$E$216*CHOOSE($L$216,INDEX(Timing!$C$7:$AA$7,1,Inputs!$C$13+1),INDEX(Timing!$C$8:$AA$8,1,Inputs!$C$13+1))</f>
        <v>0.1</v>
      </c>
      <c r="E218" s="40" t="n">
        <f aca="false">$I$216*$D$218*$F$216</f>
        <v>0.06</v>
      </c>
      <c r="F218" s="40" t="n">
        <f aca="false">$I$216*($D$218-$E$218)*$G$216</f>
        <v>0.032</v>
      </c>
      <c r="G218" s="40" t="n">
        <f aca="false">$I$216*($D$218-$E$218-$F$218)</f>
        <v>0.008</v>
      </c>
      <c r="H218" s="23" t="n">
        <f aca="false">$I$216*(3*$D$216+Inputs!$C$14)</f>
        <v>30300</v>
      </c>
      <c r="I218" s="23" t="n">
        <f aca="false">$I$216*($D$216*(1+IF($C$216&lt;=0,0,MAX($C$216*Inputs!$C$15/12,Inputs!$C$8)))+$D$216*(1+Inputs!$C$11*(Inputs!$C$15-Inputs!$C$12)/12)+$D$216*(1+Inputs!$C$11*(Inputs!$C$15-Inputs!$C$13)/12)+Inputs!$C$14)</f>
        <v>36712.5</v>
      </c>
      <c r="J218" s="23" t="n">
        <f aca="false">$I$216*($D$216*(1+IF($C$216&lt;=0,0,MAX($C$216*Inputs!$C$16/12,Inputs!$C$8)))+$D$216*(1+Inputs!$C$11*(Inputs!$C$16-Inputs!$C$12)/12)+$D$216*(1+Inputs!$C$11*(Inputs!$C$16-Inputs!$C$13)/12)+Inputs!$C$14)</f>
        <v>37995</v>
      </c>
      <c r="K218" s="40" t="n">
        <f aca="false">IRR($N$221:$AY$221,0.005)</f>
        <v>0.0120647135565946</v>
      </c>
      <c r="L218" s="41" t="n">
        <f aca="false">(1+$K$218)^12-1</f>
        <v>0.154780381811056</v>
      </c>
    </row>
    <row r="219" customFormat="false" ht="15" hidden="false" customHeight="false" outlineLevel="0" collapsed="false">
      <c r="B219" s="9" t="s">
        <v>185</v>
      </c>
      <c r="N219" s="40" t="n">
        <f aca="false">0</f>
        <v>0</v>
      </c>
      <c r="O219" s="40" t="n">
        <f aca="false">$E$216*(CHOOSE($L$216,Timing!D$7,Timing!D$8)-CHOOSE($L$216,Timing!C$7,Timing!C$8))</f>
        <v>0.108</v>
      </c>
      <c r="P219" s="40" t="n">
        <f aca="false">$E$216*(CHOOSE($L$216,Timing!E$7,Timing!E$8)-CHOOSE($L$216,Timing!D$7,Timing!D$8))</f>
        <v>0.09</v>
      </c>
      <c r="Q219" s="40" t="n">
        <f aca="false">$E$216*(CHOOSE($L$216,Timing!F$7,Timing!F$8)-CHOOSE($L$216,Timing!E$7,Timing!E$8))</f>
        <v>0.081</v>
      </c>
      <c r="R219" s="40" t="n">
        <f aca="false">$E$216*(CHOOSE($L$216,Timing!G$7,Timing!G$8)-CHOOSE($L$216,Timing!F$7,Timing!F$8))</f>
        <v>0.063</v>
      </c>
      <c r="S219" s="40" t="n">
        <f aca="false">$E$216*(CHOOSE($L$216,Timing!H$7,Timing!H$8)-CHOOSE($L$216,Timing!G$7,Timing!G$8))</f>
        <v>0.063</v>
      </c>
      <c r="T219" s="40" t="n">
        <f aca="false">$E$216*(CHOOSE($L$216,Timing!I$7,Timing!I$8)-CHOOSE($L$216,Timing!H$7,Timing!H$8))</f>
        <v>0.063</v>
      </c>
      <c r="U219" s="40" t="n">
        <f aca="false">$E$216*(CHOOSE($L$216,Timing!J$7,Timing!J$8)-CHOOSE($L$216,Timing!I$7,Timing!I$8))</f>
        <v>0.039</v>
      </c>
      <c r="V219" s="40" t="n">
        <f aca="false">$E$216*(CHOOSE($L$216,Timing!K$7,Timing!K$8)-CHOOSE($L$216,Timing!J$7,Timing!J$8))</f>
        <v>0.039</v>
      </c>
      <c r="W219" s="40" t="n">
        <f aca="false">$E$216*(CHOOSE($L$216,Timing!L$7,Timing!L$8)-CHOOSE($L$216,Timing!K$7,Timing!K$8))</f>
        <v>0.039</v>
      </c>
      <c r="X219" s="40" t="n">
        <f aca="false">$E$216*(CHOOSE($L$216,Timing!M$7,Timing!M$8)-CHOOSE($L$216,Timing!L$7,Timing!L$8))</f>
        <v>0.033</v>
      </c>
      <c r="Y219" s="40" t="n">
        <f aca="false">$E$216*(CHOOSE($L$216,Timing!N$7,Timing!N$8)-CHOOSE($L$216,Timing!M$7,Timing!M$8))</f>
        <v>0.0330000000000001</v>
      </c>
      <c r="Z219" s="40" t="n">
        <f aca="false">$E$216*(CHOOSE($L$216,Timing!O$7,Timing!O$8)-CHOOSE($L$216,Timing!N$7,Timing!N$8))</f>
        <v>0.033</v>
      </c>
      <c r="AA219" s="40" t="n">
        <f aca="false">$E$216*(CHOOSE($L$216,Timing!P$7,Timing!P$8)-CHOOSE($L$216,Timing!O$7,Timing!O$8))</f>
        <v>0.021</v>
      </c>
      <c r="AB219" s="40" t="n">
        <f aca="false">$E$216*(CHOOSE($L$216,Timing!Q$7,Timing!Q$8)-CHOOSE($L$216,Timing!P$7,Timing!P$8))</f>
        <v>0.021</v>
      </c>
      <c r="AC219" s="40" t="n">
        <f aca="false">$E$216*(CHOOSE($L$216,Timing!R$7,Timing!R$8)-CHOOSE($L$216,Timing!Q$7,Timing!Q$8))</f>
        <v>0.0210000000000001</v>
      </c>
      <c r="AD219" s="40" t="n">
        <f aca="false">$E$216*(CHOOSE($L$216,Timing!S$7,Timing!S$8)-CHOOSE($L$216,Timing!R$7,Timing!R$8))</f>
        <v>0.021</v>
      </c>
      <c r="AE219" s="40" t="n">
        <f aca="false">$E$216*(CHOOSE($L$216,Timing!T$7,Timing!T$8)-CHOOSE($L$216,Timing!S$7,Timing!S$8))</f>
        <v>0.021</v>
      </c>
      <c r="AF219" s="40" t="n">
        <f aca="false">$E$216*(CHOOSE($L$216,Timing!U$7,Timing!U$8)-CHOOSE($L$216,Timing!T$7,Timing!T$8))</f>
        <v>0.021</v>
      </c>
      <c r="AG219" s="40" t="n">
        <f aca="false">$E$216*(CHOOSE($L$216,Timing!V$7,Timing!V$8)-CHOOSE($L$216,Timing!U$7,Timing!U$8))</f>
        <v>0.015</v>
      </c>
      <c r="AH219" s="40" t="n">
        <f aca="false">$E$216*(CHOOSE($L$216,Timing!W$7,Timing!W$8)-CHOOSE($L$216,Timing!V$7,Timing!V$8))</f>
        <v>0.0149999999999999</v>
      </c>
      <c r="AI219" s="40" t="n">
        <f aca="false">$E$216*(CHOOSE($L$216,Timing!X$7,Timing!X$8)-CHOOSE($L$216,Timing!W$7,Timing!W$8))</f>
        <v>0.0149999999999999</v>
      </c>
      <c r="AJ219" s="40" t="n">
        <f aca="false">$E$216*(CHOOSE($L$216,Timing!Y$7,Timing!Y$8)-CHOOSE($L$216,Timing!X$7,Timing!X$8))</f>
        <v>0.015</v>
      </c>
      <c r="AK219" s="40" t="n">
        <f aca="false">$E$216*(CHOOSE($L$216,Timing!Z$7,Timing!Z$8)-CHOOSE($L$216,Timing!Y$7,Timing!Y$8))</f>
        <v>0.015</v>
      </c>
      <c r="AL219" s="40" t="n">
        <f aca="false">$E$216*(CHOOSE($L$216,Timing!AA$7,Timing!AA$8)-CHOOSE($L$216,Timing!Z$7,Timing!Z$8))</f>
        <v>0.0149999999999999</v>
      </c>
    </row>
    <row r="220" customFormat="false" ht="15" hidden="false" customHeight="false" outlineLevel="0" collapsed="false">
      <c r="B220" s="9" t="s">
        <v>186</v>
      </c>
      <c r="N220" s="42" t="n">
        <f aca="false">0</f>
        <v>0</v>
      </c>
      <c r="O220" s="42" t="n">
        <f aca="false">$D$216*(1+IF($C$216&lt;=0,0,MAX($C$216*O$5/12,Inputs!$C$8)))+$I$216*(O$5&gt;Inputs!$C$12)*$D$216*(1+Inputs!$C$11*(O$5-Inputs!$C$12)/12)</f>
        <v>9975</v>
      </c>
      <c r="P220" s="42" t="n">
        <f aca="false">$D$216*(1+IF($C$216&lt;=0,0,MAX($C$216*P$5/12,Inputs!$C$8)))+$I$216*(P$5&gt;Inputs!$C$12)*$D$216*(1+Inputs!$C$11*(P$5-Inputs!$C$12)/12)</f>
        <v>9975</v>
      </c>
      <c r="Q220" s="42" t="n">
        <f aca="false">$D$216*(1+IF($C$216&lt;=0,0,MAX($C$216*Q$5/12,Inputs!$C$8)))+$I$216*(Q$5&gt;Inputs!$C$12)*$D$216*(1+Inputs!$C$11*(Q$5-Inputs!$C$12)/12)</f>
        <v>9975</v>
      </c>
      <c r="R220" s="42" t="n">
        <f aca="false">$D$216*(1+IF($C$216&lt;=0,0,MAX($C$216*R$5/12,Inputs!$C$8)))+$I$216*(R$5&gt;Inputs!$C$12)*$D$216*(1+Inputs!$C$11*(R$5-Inputs!$C$12)/12)</f>
        <v>10070</v>
      </c>
      <c r="S220" s="42" t="n">
        <f aca="false">$D$216*(1+IF($C$216&lt;=0,0,MAX($C$216*S$5/12,Inputs!$C$8)))+$I$216*(S$5&gt;Inputs!$C$12)*$D$216*(1+Inputs!$C$11*(S$5-Inputs!$C$12)/12)</f>
        <v>10212.5</v>
      </c>
      <c r="T220" s="42" t="n">
        <f aca="false">$D$216*(1+IF($C$216&lt;=0,0,MAX($C$216*T$5/12,Inputs!$C$8)))+$I$216*(T$5&gt;Inputs!$C$12)*$D$216*(1+Inputs!$C$11*(T$5-Inputs!$C$12)/12)</f>
        <v>10355</v>
      </c>
      <c r="U220" s="42" t="n">
        <f aca="false">$D$216*(1+IF($C$216&lt;=0,0,MAX($C$216*U$5/12,Inputs!$C$8)))+$I$216*(U$5&gt;Inputs!$C$12)*$D$216*(1+Inputs!$C$11*(U$5-Inputs!$C$12)/12)</f>
        <v>10497.5</v>
      </c>
      <c r="V220" s="42" t="n">
        <f aca="false">$D$216*(1+IF($C$216&lt;=0,0,MAX($C$216*V$5/12,Inputs!$C$8)))+$I$216*(V$5&gt;Inputs!$C$12)*$D$216*(1+Inputs!$C$11*(V$5-Inputs!$C$12)/12)</f>
        <v>10640</v>
      </c>
      <c r="W220" s="42" t="n">
        <f aca="false">$D$216*(1+IF($C$216&lt;=0,0,MAX($C$216*W$5/12,Inputs!$C$8)))+$I$216*(W$5&gt;Inputs!$C$12)*$D$216*(1+Inputs!$C$11*(W$5-Inputs!$C$12)/12)</f>
        <v>10782.5</v>
      </c>
      <c r="X220" s="42" t="n">
        <f aca="false">$D$216*(1+IF($C$216&lt;=0,0,MAX($C$216*X$5/12,Inputs!$C$8)))+$I$216*(X$5&gt;Inputs!$C$12)*$D$216*(1+Inputs!$C$11*(X$5-Inputs!$C$12)/12)</f>
        <v>10925</v>
      </c>
      <c r="Y220" s="42" t="n">
        <f aca="false">$D$216*(1+IF($C$216&lt;=0,0,MAX($C$216*Y$5/12,Inputs!$C$8)))+$I$216*(Y$5&gt;Inputs!$C$12)*$D$216*(1+Inputs!$C$11*(Y$5-Inputs!$C$12)/12)</f>
        <v>11067.5</v>
      </c>
      <c r="Z220" s="42" t="n">
        <f aca="false">$D$216*(1+IF($C$216&lt;=0,0,MAX($C$216*Z$5/12,Inputs!$C$8)))+$I$216*(Z$5&gt;Inputs!$C$12)*$D$216*(1+Inputs!$C$11*(Z$5-Inputs!$C$12)/12)</f>
        <v>11210</v>
      </c>
      <c r="AA220" s="42" t="n">
        <f aca="false">$D$216*(1+IF($C$216&lt;=0,0,MAX($C$216*AA$5/12,Inputs!$C$8)))+$I$216*(AA$5&gt;Inputs!$C$12)*$D$216*(1+Inputs!$C$11*(AA$5-Inputs!$C$12)/12)</f>
        <v>20995</v>
      </c>
      <c r="AB220" s="42" t="n">
        <f aca="false">$D$216*(1+IF($C$216&lt;=0,0,MAX($C$216*AB$5/12,Inputs!$C$8)))+$I$216*(AB$5&gt;Inputs!$C$12)*$D$216*(1+Inputs!$C$11*(AB$5-Inputs!$C$12)/12)</f>
        <v>21280</v>
      </c>
      <c r="AC220" s="42" t="n">
        <f aca="false">$D$216*(1+IF($C$216&lt;=0,0,MAX($C$216*AC$5/12,Inputs!$C$8)))+$I$216*(AC$5&gt;Inputs!$C$12)*$D$216*(1+Inputs!$C$11*(AC$5-Inputs!$C$12)/12)</f>
        <v>21565</v>
      </c>
      <c r="AD220" s="42" t="n">
        <f aca="false">$D$216*(1+IF($C$216&lt;=0,0,MAX($C$216*AD$5/12,Inputs!$C$8)))+$I$216*(AD$5&gt;Inputs!$C$12)*$D$216*(1+Inputs!$C$11*(AD$5-Inputs!$C$12)/12)</f>
        <v>21850</v>
      </c>
      <c r="AE220" s="42" t="n">
        <f aca="false">$D$216*(1+IF($C$216&lt;=0,0,MAX($C$216*AE$5/12,Inputs!$C$8)))+$I$216*(AE$5&gt;Inputs!$C$12)*$D$216*(1+Inputs!$C$11*(AE$5-Inputs!$C$12)/12)</f>
        <v>22135</v>
      </c>
      <c r="AF220" s="42" t="n">
        <f aca="false">$D$216*(1+IF($C$216&lt;=0,0,MAX($C$216*AF$5/12,Inputs!$C$8)))+$I$216*(AF$5&gt;Inputs!$C$12)*$D$216*(1+Inputs!$C$11*(AF$5-Inputs!$C$12)/12)</f>
        <v>22420</v>
      </c>
      <c r="AG220" s="42" t="n">
        <f aca="false">$D$216*(1+IF($C$216&lt;=0,0,MAX($C$216*AG$5/12,Inputs!$C$8)))+$I$216*(AG$5&gt;Inputs!$C$12)*$D$216*(1+Inputs!$C$11*(AG$5-Inputs!$C$12)/12)</f>
        <v>22705</v>
      </c>
      <c r="AH220" s="42" t="n">
        <f aca="false">$D$216*(1+IF($C$216&lt;=0,0,MAX($C$216*AH$5/12,Inputs!$C$8)))+$I$216*(AH$5&gt;Inputs!$C$12)*$D$216*(1+Inputs!$C$11*(AH$5-Inputs!$C$12)/12)</f>
        <v>22990</v>
      </c>
      <c r="AI220" s="42" t="n">
        <f aca="false">$D$216*(1+IF($C$216&lt;=0,0,MAX($C$216*AI$5/12,Inputs!$C$8)))+$I$216*(AI$5&gt;Inputs!$C$12)*$D$216*(1+Inputs!$C$11*(AI$5-Inputs!$C$12)/12)</f>
        <v>23275</v>
      </c>
      <c r="AJ220" s="42" t="n">
        <f aca="false">$D$216*(1+IF($C$216&lt;=0,0,MAX($C$216*AJ$5/12,Inputs!$C$8)))+$I$216*(AJ$5&gt;Inputs!$C$12)*$D$216*(1+Inputs!$C$11*(AJ$5-Inputs!$C$12)/12)</f>
        <v>23560</v>
      </c>
      <c r="AK220" s="42" t="n">
        <f aca="false">$D$216*(1+IF($C$216&lt;=0,0,MAX($C$216*AK$5/12,Inputs!$C$8)))+$I$216*(AK$5&gt;Inputs!$C$12)*$D$216*(1+Inputs!$C$11*(AK$5-Inputs!$C$12)/12)</f>
        <v>23845</v>
      </c>
      <c r="AL220" s="42" t="n">
        <f aca="false">$D$216*(1+IF($C$216&lt;=0,0,MAX($C$216*AL$5/12,Inputs!$C$8)))+$I$216*(AL$5&gt;Inputs!$C$12)*$D$216*(1+Inputs!$C$11*(AL$5-Inputs!$C$12)/12)</f>
        <v>24130</v>
      </c>
    </row>
    <row r="221" customFormat="false" ht="15" hidden="false" customHeight="false" outlineLevel="0" collapsed="false">
      <c r="B221" s="31" t="s">
        <v>187</v>
      </c>
      <c r="N221" s="42" t="n">
        <f aca="false">-($D$216+$J$216)*(N$5=0)+IF(AND(N$5-$K$216&gt;=1,N$5-$K$216&lt;=Inputs!$C$13),INDEX($N$219:$AL$219,1,N$5-$K$216+1)*INDEX($N$220:$AL$220,1,N$5-$K$216+1),0)-$I$216*((N$5=Inputs!$C$12)*$C$218*$D$216+(N$5=Inputs!$C$13)*$D$218*($D$216+Inputs!$C$14))+$I$216*((N$5=Inputs!$C$15+$K$216)*$E$218*$I$218+(N$5=Inputs!$C$16+$K$216)*$F$218*$J$218+(N$5=Inputs!$C$17)*$G$218*$H$216*$H$218)</f>
        <v>-9510</v>
      </c>
      <c r="O221" s="42" t="n">
        <f aca="false">-($D$216+$J$216)*(O$5=0)+IF(AND(O$5-$K$216&gt;=1,O$5-$K$216&lt;=Inputs!$C$13),INDEX($N$219:$AL$219,1,O$5-$K$216+1)*INDEX($N$220:$AL$220,1,O$5-$K$216+1),0)-$I$216*((O$5=Inputs!$C$12)*$C$218*$D$216+(O$5=Inputs!$C$13)*$D$218*($D$216+Inputs!$C$14))+$I$216*((O$5=Inputs!$C$15+$K$216)*$E$218*$I$218+(O$5=Inputs!$C$16+$K$216)*$F$218*$J$218+(O$5=Inputs!$C$17)*$G$218*$H$216*$H$218)</f>
        <v>0</v>
      </c>
      <c r="P221" s="42" t="n">
        <f aca="false">-($D$216+$J$216)*(P$5=0)+IF(AND(P$5-$K$216&gt;=1,P$5-$K$216&lt;=Inputs!$C$13),INDEX($N$219:$AL$219,1,P$5-$K$216+1)*INDEX($N$220:$AL$220,1,P$5-$K$216+1),0)-$I$216*((P$5=Inputs!$C$12)*$C$218*$D$216+(P$5=Inputs!$C$13)*$D$218*($D$216+Inputs!$C$14))+$I$216*((P$5=Inputs!$C$15+$K$216)*$E$218*$I$218+(P$5=Inputs!$C$16+$K$216)*$F$218*$J$218+(P$5=Inputs!$C$17)*$G$218*$H$216*$H$218)</f>
        <v>1077.3</v>
      </c>
      <c r="Q221" s="42" t="n">
        <f aca="false">-($D$216+$J$216)*(Q$5=0)+IF(AND(Q$5-$K$216&gt;=1,Q$5-$K$216&lt;=Inputs!$C$13),INDEX($N$219:$AL$219,1,Q$5-$K$216+1)*INDEX($N$220:$AL$220,1,Q$5-$K$216+1),0)-$I$216*((Q$5=Inputs!$C$12)*$C$218*$D$216+(Q$5=Inputs!$C$13)*$D$218*($D$216+Inputs!$C$14))+$I$216*((Q$5=Inputs!$C$15+$K$216)*$E$218*$I$218+(Q$5=Inputs!$C$16+$K$216)*$F$218*$J$218+(Q$5=Inputs!$C$17)*$G$218*$H$216*$H$218)</f>
        <v>897.75</v>
      </c>
      <c r="R221" s="42" t="n">
        <f aca="false">-($D$216+$J$216)*(R$5=0)+IF(AND(R$5-$K$216&gt;=1,R$5-$K$216&lt;=Inputs!$C$13),INDEX($N$219:$AL$219,1,R$5-$K$216+1)*INDEX($N$220:$AL$220,1,R$5-$K$216+1),0)-$I$216*((R$5=Inputs!$C$12)*$C$218*$D$216+(R$5=Inputs!$C$13)*$D$218*($D$216+Inputs!$C$14))+$I$216*((R$5=Inputs!$C$15+$K$216)*$E$218*$I$218+(R$5=Inputs!$C$16+$K$216)*$F$218*$J$218+(R$5=Inputs!$C$17)*$G$218*$H$216*$H$218)</f>
        <v>807.975</v>
      </c>
      <c r="S221" s="42" t="n">
        <f aca="false">-($D$216+$J$216)*(S$5=0)+IF(AND(S$5-$K$216&gt;=1,S$5-$K$216&lt;=Inputs!$C$13),INDEX($N$219:$AL$219,1,S$5-$K$216+1)*INDEX($N$220:$AL$220,1,S$5-$K$216+1),0)-$I$216*((S$5=Inputs!$C$12)*$C$218*$D$216+(S$5=Inputs!$C$13)*$D$218*($D$216+Inputs!$C$14))+$I$216*((S$5=Inputs!$C$15+$K$216)*$E$218*$I$218+(S$5=Inputs!$C$16+$K$216)*$F$218*$J$218+(S$5=Inputs!$C$17)*$G$218*$H$216*$H$218)</f>
        <v>634.41</v>
      </c>
      <c r="T221" s="42" t="n">
        <f aca="false">-($D$216+$J$216)*(T$5=0)+IF(AND(T$5-$K$216&gt;=1,T$5-$K$216&lt;=Inputs!$C$13),INDEX($N$219:$AL$219,1,T$5-$K$216+1)*INDEX($N$220:$AL$220,1,T$5-$K$216+1),0)-$I$216*((T$5=Inputs!$C$12)*$C$218*$D$216+(T$5=Inputs!$C$13)*$D$218*($D$216+Inputs!$C$14))+$I$216*((T$5=Inputs!$C$15+$K$216)*$E$218*$I$218+(T$5=Inputs!$C$16+$K$216)*$F$218*$J$218+(T$5=Inputs!$C$17)*$G$218*$H$216*$H$218)</f>
        <v>643.3875</v>
      </c>
      <c r="U221" s="42" t="n">
        <f aca="false">-($D$216+$J$216)*(U$5=0)+IF(AND(U$5-$K$216&gt;=1,U$5-$K$216&lt;=Inputs!$C$13),INDEX($N$219:$AL$219,1,U$5-$K$216+1)*INDEX($N$220:$AL$220,1,U$5-$K$216+1),0)-$I$216*((U$5=Inputs!$C$12)*$C$218*$D$216+(U$5=Inputs!$C$13)*$D$218*($D$216+Inputs!$C$14))+$I$216*((U$5=Inputs!$C$15+$K$216)*$E$218*$I$218+(U$5=Inputs!$C$16+$K$216)*$F$218*$J$218+(U$5=Inputs!$C$17)*$G$218*$H$216*$H$218)</f>
        <v>652.365</v>
      </c>
      <c r="V221" s="42" t="n">
        <f aca="false">-($D$216+$J$216)*(V$5=0)+IF(AND(V$5-$K$216&gt;=1,V$5-$K$216&lt;=Inputs!$C$13),INDEX($N$219:$AL$219,1,V$5-$K$216+1)*INDEX($N$220:$AL$220,1,V$5-$K$216+1),0)-$I$216*((V$5=Inputs!$C$12)*$C$218*$D$216+(V$5=Inputs!$C$13)*$D$218*($D$216+Inputs!$C$14))+$I$216*((V$5=Inputs!$C$15+$K$216)*$E$218*$I$218+(V$5=Inputs!$C$16+$K$216)*$F$218*$J$218+(V$5=Inputs!$C$17)*$G$218*$H$216*$H$218)</f>
        <v>409.4025</v>
      </c>
      <c r="W221" s="42" t="n">
        <f aca="false">-($D$216+$J$216)*(W$5=0)+IF(AND(W$5-$K$216&gt;=1,W$5-$K$216&lt;=Inputs!$C$13),INDEX($N$219:$AL$219,1,W$5-$K$216+1)*INDEX($N$220:$AL$220,1,W$5-$K$216+1),0)-$I$216*((W$5=Inputs!$C$12)*$C$218*$D$216+(W$5=Inputs!$C$13)*$D$218*($D$216+Inputs!$C$14))+$I$216*((W$5=Inputs!$C$15+$K$216)*$E$218*$I$218+(W$5=Inputs!$C$16+$K$216)*$F$218*$J$218+(W$5=Inputs!$C$17)*$G$218*$H$216*$H$218)</f>
        <v>414.96</v>
      </c>
      <c r="X221" s="42" t="n">
        <f aca="false">-($D$216+$J$216)*(X$5=0)+IF(AND(X$5-$K$216&gt;=1,X$5-$K$216&lt;=Inputs!$C$13),INDEX($N$219:$AL$219,1,X$5-$K$216+1)*INDEX($N$220:$AL$220,1,X$5-$K$216+1),0)-$I$216*((X$5=Inputs!$C$12)*$C$218*$D$216+(X$5=Inputs!$C$13)*$D$218*($D$216+Inputs!$C$14))+$I$216*((X$5=Inputs!$C$15+$K$216)*$E$218*$I$218+(X$5=Inputs!$C$16+$K$216)*$F$218*$J$218+(X$5=Inputs!$C$17)*$G$218*$H$216*$H$218)</f>
        <v>420.5175</v>
      </c>
      <c r="Y221" s="42" t="n">
        <f aca="false">-($D$216+$J$216)*(Y$5=0)+IF(AND(Y$5-$K$216&gt;=1,Y$5-$K$216&lt;=Inputs!$C$13),INDEX($N$219:$AL$219,1,Y$5-$K$216+1)*INDEX($N$220:$AL$220,1,Y$5-$K$216+1),0)-$I$216*((Y$5=Inputs!$C$12)*$C$218*$D$216+(Y$5=Inputs!$C$13)*$D$218*($D$216+Inputs!$C$14))+$I$216*((Y$5=Inputs!$C$15+$K$216)*$E$218*$I$218+(Y$5=Inputs!$C$16+$K$216)*$F$218*$J$218+(Y$5=Inputs!$C$17)*$G$218*$H$216*$H$218)</f>
        <v>360.525</v>
      </c>
      <c r="Z221" s="42" t="n">
        <f aca="false">-($D$216+$J$216)*(Z$5=0)+IF(AND(Z$5-$K$216&gt;=1,Z$5-$K$216&lt;=Inputs!$C$13),INDEX($N$219:$AL$219,1,Z$5-$K$216+1)*INDEX($N$220:$AL$220,1,Z$5-$K$216+1),0)-$I$216*((Z$5=Inputs!$C$12)*$C$218*$D$216+(Z$5=Inputs!$C$13)*$D$218*($D$216+Inputs!$C$14))+$I$216*((Z$5=Inputs!$C$15+$K$216)*$E$218*$I$218+(Z$5=Inputs!$C$16+$K$216)*$F$218*$J$218+(Z$5=Inputs!$C$17)*$G$218*$H$216*$H$218)</f>
        <v>-2636.7725</v>
      </c>
      <c r="AA221" s="42" t="n">
        <f aca="false">-($D$216+$J$216)*(AA$5=0)+IF(AND(AA$5-$K$216&gt;=1,AA$5-$K$216&lt;=Inputs!$C$13),INDEX($N$219:$AL$219,1,AA$5-$K$216+1)*INDEX($N$220:$AL$220,1,AA$5-$K$216+1),0)-$I$216*((AA$5=Inputs!$C$12)*$C$218*$D$216+(AA$5=Inputs!$C$13)*$D$218*($D$216+Inputs!$C$14))+$I$216*((AA$5=Inputs!$C$15+$K$216)*$E$218*$I$218+(AA$5=Inputs!$C$16+$K$216)*$F$218*$J$218+(AA$5=Inputs!$C$17)*$G$218*$H$216*$H$218)</f>
        <v>369.93</v>
      </c>
      <c r="AB221" s="42" t="n">
        <f aca="false">-($D$216+$J$216)*(AB$5=0)+IF(AND(AB$5-$K$216&gt;=1,AB$5-$K$216&lt;=Inputs!$C$13),INDEX($N$219:$AL$219,1,AB$5-$K$216+1)*INDEX($N$220:$AL$220,1,AB$5-$K$216+1),0)-$I$216*((AB$5=Inputs!$C$12)*$C$218*$D$216+(AB$5=Inputs!$C$13)*$D$218*($D$216+Inputs!$C$14))+$I$216*((AB$5=Inputs!$C$15+$K$216)*$E$218*$I$218+(AB$5=Inputs!$C$16+$K$216)*$F$218*$J$218+(AB$5=Inputs!$C$17)*$G$218*$H$216*$H$218)</f>
        <v>440.895</v>
      </c>
      <c r="AC221" s="42" t="n">
        <f aca="false">-($D$216+$J$216)*(AC$5=0)+IF(AND(AC$5-$K$216&gt;=1,AC$5-$K$216&lt;=Inputs!$C$13),INDEX($N$219:$AL$219,1,AC$5-$K$216+1)*INDEX($N$220:$AL$220,1,AC$5-$K$216+1),0)-$I$216*((AC$5=Inputs!$C$12)*$C$218*$D$216+(AC$5=Inputs!$C$13)*$D$218*($D$216+Inputs!$C$14))+$I$216*((AC$5=Inputs!$C$15+$K$216)*$E$218*$I$218+(AC$5=Inputs!$C$16+$K$216)*$F$218*$J$218+(AC$5=Inputs!$C$17)*$G$218*$H$216*$H$218)</f>
        <v>446.88</v>
      </c>
      <c r="AD221" s="42" t="n">
        <f aca="false">-($D$216+$J$216)*(AD$5=0)+IF(AND(AD$5-$K$216&gt;=1,AD$5-$K$216&lt;=Inputs!$C$13),INDEX($N$219:$AL$219,1,AD$5-$K$216+1)*INDEX($N$220:$AL$220,1,AD$5-$K$216+1),0)-$I$216*((AD$5=Inputs!$C$12)*$C$218*$D$216+(AD$5=Inputs!$C$13)*$D$218*($D$216+Inputs!$C$14))+$I$216*((AD$5=Inputs!$C$15+$K$216)*$E$218*$I$218+(AD$5=Inputs!$C$16+$K$216)*$F$218*$J$218+(AD$5=Inputs!$C$17)*$G$218*$H$216*$H$218)</f>
        <v>452.865000000002</v>
      </c>
      <c r="AE221" s="42" t="n">
        <f aca="false">-($D$216+$J$216)*(AE$5=0)+IF(AND(AE$5-$K$216&gt;=1,AE$5-$K$216&lt;=Inputs!$C$13),INDEX($N$219:$AL$219,1,AE$5-$K$216+1)*INDEX($N$220:$AL$220,1,AE$5-$K$216+1),0)-$I$216*((AE$5=Inputs!$C$12)*$C$218*$D$216+(AE$5=Inputs!$C$13)*$D$218*($D$216+Inputs!$C$14))+$I$216*((AE$5=Inputs!$C$15+$K$216)*$E$218*$I$218+(AE$5=Inputs!$C$16+$K$216)*$F$218*$J$218+(AE$5=Inputs!$C$17)*$G$218*$H$216*$H$218)</f>
        <v>458.85</v>
      </c>
      <c r="AF221" s="42" t="n">
        <f aca="false">-($D$216+$J$216)*(AF$5=0)+IF(AND(AF$5-$K$216&gt;=1,AF$5-$K$216&lt;=Inputs!$C$13),INDEX($N$219:$AL$219,1,AF$5-$K$216+1)*INDEX($N$220:$AL$220,1,AF$5-$K$216+1),0)-$I$216*((AF$5=Inputs!$C$12)*$C$218*$D$216+(AF$5=Inputs!$C$13)*$D$218*($D$216+Inputs!$C$14))+$I$216*((AF$5=Inputs!$C$15+$K$216)*$E$218*$I$218+(AF$5=Inputs!$C$16+$K$216)*$F$218*$J$218+(AF$5=Inputs!$C$17)*$G$218*$H$216*$H$218)</f>
        <v>464.835</v>
      </c>
      <c r="AG221" s="42" t="n">
        <f aca="false">-($D$216+$J$216)*(AG$5=0)+IF(AND(AG$5-$K$216&gt;=1,AG$5-$K$216&lt;=Inputs!$C$13),INDEX($N$219:$AL$219,1,AG$5-$K$216+1)*INDEX($N$220:$AL$220,1,AG$5-$K$216+1),0)-$I$216*((AG$5=Inputs!$C$12)*$C$218*$D$216+(AG$5=Inputs!$C$13)*$D$218*($D$216+Inputs!$C$14))+$I$216*((AG$5=Inputs!$C$15+$K$216)*$E$218*$I$218+(AG$5=Inputs!$C$16+$K$216)*$F$218*$J$218+(AG$5=Inputs!$C$17)*$G$218*$H$216*$H$218)</f>
        <v>470.82</v>
      </c>
      <c r="AH221" s="42" t="n">
        <f aca="false">-($D$216+$J$216)*(AH$5=0)+IF(AND(AH$5-$K$216&gt;=1,AH$5-$K$216&lt;=Inputs!$C$13),INDEX($N$219:$AL$219,1,AH$5-$K$216+1)*INDEX($N$220:$AL$220,1,AH$5-$K$216+1),0)-$I$216*((AH$5=Inputs!$C$12)*$C$218*$D$216+(AH$5=Inputs!$C$13)*$D$218*($D$216+Inputs!$C$14))+$I$216*((AH$5=Inputs!$C$15+$K$216)*$E$218*$I$218+(AH$5=Inputs!$C$16+$K$216)*$F$218*$J$218+(AH$5=Inputs!$C$17)*$G$218*$H$216*$H$218)</f>
        <v>340.575000000001</v>
      </c>
      <c r="AI221" s="42" t="n">
        <f aca="false">-($D$216+$J$216)*(AI$5=0)+IF(AND(AI$5-$K$216&gt;=1,AI$5-$K$216&lt;=Inputs!$C$13),INDEX($N$219:$AL$219,1,AI$5-$K$216+1)*INDEX($N$220:$AL$220,1,AI$5-$K$216+1),0)-$I$216*((AI$5=Inputs!$C$12)*$C$218*$D$216+(AI$5=Inputs!$C$13)*$D$218*($D$216+Inputs!$C$14))+$I$216*((AI$5=Inputs!$C$15+$K$216)*$E$218*$I$218+(AI$5=Inputs!$C$16+$K$216)*$F$218*$J$218+(AI$5=Inputs!$C$17)*$G$218*$H$216*$H$218)</f>
        <v>344.849999999999</v>
      </c>
      <c r="AJ221" s="42" t="n">
        <f aca="false">-($D$216+$J$216)*(AJ$5=0)+IF(AND(AJ$5-$K$216&gt;=1,AJ$5-$K$216&lt;=Inputs!$C$13),INDEX($N$219:$AL$219,1,AJ$5-$K$216+1)*INDEX($N$220:$AL$220,1,AJ$5-$K$216+1),0)-$I$216*((AJ$5=Inputs!$C$12)*$C$218*$D$216+(AJ$5=Inputs!$C$13)*$D$218*($D$216+Inputs!$C$14))+$I$216*((AJ$5=Inputs!$C$15+$K$216)*$E$218*$I$218+(AJ$5=Inputs!$C$16+$K$216)*$F$218*$J$218+(AJ$5=Inputs!$C$17)*$G$218*$H$216*$H$218)</f>
        <v>349.124999999999</v>
      </c>
      <c r="AK221" s="42" t="n">
        <f aca="false">-($D$216+$J$216)*(AK$5=0)+IF(AND(AK$5-$K$216&gt;=1,AK$5-$K$216&lt;=Inputs!$C$13),INDEX($N$219:$AL$219,1,AK$5-$K$216+1)*INDEX($N$220:$AL$220,1,AK$5-$K$216+1),0)-$I$216*((AK$5=Inputs!$C$12)*$C$218*$D$216+(AK$5=Inputs!$C$13)*$D$218*($D$216+Inputs!$C$14))+$I$216*((AK$5=Inputs!$C$15+$K$216)*$E$218*$I$218+(AK$5=Inputs!$C$16+$K$216)*$F$218*$J$218+(AK$5=Inputs!$C$17)*$G$218*$H$216*$H$218)</f>
        <v>353.400000000001</v>
      </c>
      <c r="AL221" s="42" t="n">
        <f aca="false">-($D$216+$J$216)*(AL$5=0)+IF(AND(AL$5-$K$216&gt;=1,AL$5-$K$216&lt;=Inputs!$C$13),INDEX($N$219:$AL$219,1,AL$5-$K$216+1)*INDEX($N$220:$AL$220,1,AL$5-$K$216+1),0)-$I$216*((AL$5=Inputs!$C$12)*$C$218*$D$216+(AL$5=Inputs!$C$13)*$D$218*($D$216+Inputs!$C$14))+$I$216*((AL$5=Inputs!$C$15+$K$216)*$E$218*$I$218+(AL$5=Inputs!$C$16+$K$216)*$F$218*$J$218+(AL$5=Inputs!$C$17)*$G$218*$H$216*$H$218)</f>
        <v>-772.324999999999</v>
      </c>
      <c r="AM221" s="42" t="n">
        <f aca="false">-($D$216+$J$216)*(AM$5=0)+IF(AND(AM$5-$K$216&gt;=1,AM$5-$K$216&lt;=Inputs!$C$13),INDEX($N$219:$AL$219,1,AM$5-$K$216+1)*INDEX($N$220:$AL$220,1,AM$5-$K$216+1),0)-$I$216*((AM$5=Inputs!$C$12)*$C$218*$D$216+(AM$5=Inputs!$C$13)*$D$218*($D$216+Inputs!$C$14))+$I$216*((AM$5=Inputs!$C$15+$K$216)*$E$218*$I$218+(AM$5=Inputs!$C$16+$K$216)*$F$218*$J$218+(AM$5=Inputs!$C$17)*$G$218*$H$216*$H$218)</f>
        <v>361.949999999999</v>
      </c>
      <c r="AN221" s="42" t="n">
        <f aca="false">-($D$216+$J$216)*(AN$5=0)+IF(AND(AN$5-$K$216&gt;=1,AN$5-$K$216&lt;=Inputs!$C$13),INDEX($N$219:$AL$219,1,AN$5-$K$216+1)*INDEX($N$220:$AL$220,1,AN$5-$K$216+1),0)-$I$216*((AN$5=Inputs!$C$12)*$C$218*$D$216+(AN$5=Inputs!$C$13)*$D$218*($D$216+Inputs!$C$14))+$I$216*((AN$5=Inputs!$C$15+$K$216)*$E$218*$I$218+(AN$5=Inputs!$C$16+$K$216)*$F$218*$J$218+(AN$5=Inputs!$C$17)*$G$218*$H$216*$H$218)</f>
        <v>0</v>
      </c>
      <c r="AO221" s="42" t="n">
        <f aca="false">-($D$216+$J$216)*(AO$5=0)+IF(AND(AO$5-$K$216&gt;=1,AO$5-$K$216&lt;=Inputs!$C$13),INDEX($N$219:$AL$219,1,AO$5-$K$216+1)*INDEX($N$220:$AL$220,1,AO$5-$K$216+1),0)-$I$216*((AO$5=Inputs!$C$12)*$C$218*$D$216+(AO$5=Inputs!$C$13)*$D$218*($D$216+Inputs!$C$14))+$I$216*((AO$5=Inputs!$C$15+$K$216)*$E$218*$I$218+(AO$5=Inputs!$C$16+$K$216)*$F$218*$J$218+(AO$5=Inputs!$C$17)*$G$218*$H$216*$H$218)</f>
        <v>0</v>
      </c>
      <c r="AP221" s="42" t="n">
        <f aca="false">-($D$216+$J$216)*(AP$5=0)+IF(AND(AP$5-$K$216&gt;=1,AP$5-$K$216&lt;=Inputs!$C$13),INDEX($N$219:$AL$219,1,AP$5-$K$216+1)*INDEX($N$220:$AL$220,1,AP$5-$K$216+1),0)-$I$216*((AP$5=Inputs!$C$12)*$C$218*$D$216+(AP$5=Inputs!$C$13)*$D$218*($D$216+Inputs!$C$14))+$I$216*((AP$5=Inputs!$C$15+$K$216)*$E$218*$I$218+(AP$5=Inputs!$C$16+$K$216)*$F$218*$J$218+(AP$5=Inputs!$C$17)*$G$218*$H$216*$H$218)</f>
        <v>2202.75</v>
      </c>
      <c r="AQ221" s="42" t="n">
        <f aca="false">-($D$216+$J$216)*(AQ$5=0)+IF(AND(AQ$5-$K$216&gt;=1,AQ$5-$K$216&lt;=Inputs!$C$13),INDEX($N$219:$AL$219,1,AQ$5-$K$216+1)*INDEX($N$220:$AL$220,1,AQ$5-$K$216+1),0)-$I$216*((AQ$5=Inputs!$C$12)*$C$218*$D$216+(AQ$5=Inputs!$C$13)*$D$218*($D$216+Inputs!$C$14))+$I$216*((AQ$5=Inputs!$C$15+$K$216)*$E$218*$I$218+(AQ$5=Inputs!$C$16+$K$216)*$F$218*$J$218+(AQ$5=Inputs!$C$17)*$G$218*$H$216*$H$218)</f>
        <v>0</v>
      </c>
      <c r="AR221" s="42" t="n">
        <f aca="false">-($D$216+$J$216)*(AR$5=0)+IF(AND(AR$5-$K$216&gt;=1,AR$5-$K$216&lt;=Inputs!$C$13),INDEX($N$219:$AL$219,1,AR$5-$K$216+1)*INDEX($N$220:$AL$220,1,AR$5-$K$216+1),0)-$I$216*((AR$5=Inputs!$C$12)*$C$218*$D$216+(AR$5=Inputs!$C$13)*$D$218*($D$216+Inputs!$C$14))+$I$216*((AR$5=Inputs!$C$15+$K$216)*$E$218*$I$218+(AR$5=Inputs!$C$16+$K$216)*$F$218*$J$218+(AR$5=Inputs!$C$17)*$G$218*$H$216*$H$218)</f>
        <v>0</v>
      </c>
      <c r="AS221" s="42" t="n">
        <f aca="false">-($D$216+$J$216)*(AS$5=0)+IF(AND(AS$5-$K$216&gt;=1,AS$5-$K$216&lt;=Inputs!$C$13),INDEX($N$219:$AL$219,1,AS$5-$K$216+1)*INDEX($N$220:$AL$220,1,AS$5-$K$216+1),0)-$I$216*((AS$5=Inputs!$C$12)*$C$218*$D$216+(AS$5=Inputs!$C$13)*$D$218*($D$216+Inputs!$C$14))+$I$216*((AS$5=Inputs!$C$15+$K$216)*$E$218*$I$218+(AS$5=Inputs!$C$16+$K$216)*$F$218*$J$218+(AS$5=Inputs!$C$17)*$G$218*$H$216*$H$218)</f>
        <v>1215.84</v>
      </c>
      <c r="AT221" s="42" t="n">
        <f aca="false">-($D$216+$J$216)*(AT$5=0)+IF(AND(AT$5-$K$216&gt;=1,AT$5-$K$216&lt;=Inputs!$C$13),INDEX($N$219:$AL$219,1,AT$5-$K$216+1)*INDEX($N$220:$AL$220,1,AT$5-$K$216+1),0)-$I$216*((AT$5=Inputs!$C$12)*$C$218*$D$216+(AT$5=Inputs!$C$13)*$D$218*($D$216+Inputs!$C$14))+$I$216*((AT$5=Inputs!$C$15+$K$216)*$E$218*$I$218+(AT$5=Inputs!$C$16+$K$216)*$F$218*$J$218+(AT$5=Inputs!$C$17)*$G$218*$H$216*$H$218)</f>
        <v>0</v>
      </c>
      <c r="AU221" s="42" t="n">
        <f aca="false">-($D$216+$J$216)*(AU$5=0)+IF(AND(AU$5-$K$216&gt;=1,AU$5-$K$216&lt;=Inputs!$C$13),INDEX($N$219:$AL$219,1,AU$5-$K$216+1)*INDEX($N$220:$AL$220,1,AU$5-$K$216+1),0)-$I$216*((AU$5=Inputs!$C$12)*$C$218*$D$216+(AU$5=Inputs!$C$13)*$D$218*($D$216+Inputs!$C$14))+$I$216*((AU$5=Inputs!$C$15+$K$216)*$E$218*$I$218+(AU$5=Inputs!$C$16+$K$216)*$F$218*$J$218+(AU$5=Inputs!$C$17)*$G$218*$H$216*$H$218)</f>
        <v>0</v>
      </c>
      <c r="AV221" s="42" t="n">
        <f aca="false">-($D$216+$J$216)*(AV$5=0)+IF(AND(AV$5-$K$216&gt;=1,AV$5-$K$216&lt;=Inputs!$C$13),INDEX($N$219:$AL$219,1,AV$5-$K$216+1)*INDEX($N$220:$AL$220,1,AV$5-$K$216+1),0)-$I$216*((AV$5=Inputs!$C$12)*$C$218*$D$216+(AV$5=Inputs!$C$13)*$D$218*($D$216+Inputs!$C$14))+$I$216*((AV$5=Inputs!$C$15+$K$216)*$E$218*$I$218+(AV$5=Inputs!$C$16+$K$216)*$F$218*$J$218+(AV$5=Inputs!$C$17)*$G$218*$H$216*$H$218)</f>
        <v>0</v>
      </c>
      <c r="AW221" s="42" t="n">
        <f aca="false">-($D$216+$J$216)*(AW$5=0)+IF(AND(AW$5-$K$216&gt;=1,AW$5-$K$216&lt;=Inputs!$C$13),INDEX($N$219:$AL$219,1,AW$5-$K$216+1)*INDEX($N$220:$AL$220,1,AW$5-$K$216+1),0)-$I$216*((AW$5=Inputs!$C$12)*$C$218*$D$216+(AW$5=Inputs!$C$13)*$D$218*($D$216+Inputs!$C$14))+$I$216*((AW$5=Inputs!$C$15+$K$216)*$E$218*$I$218+(AW$5=Inputs!$C$16+$K$216)*$F$218*$J$218+(AW$5=Inputs!$C$17)*$G$218*$H$216*$H$218)</f>
        <v>0</v>
      </c>
      <c r="AX221" s="42" t="n">
        <f aca="false">-($D$216+$J$216)*(AX$5=0)+IF(AND(AX$5-$K$216&gt;=1,AX$5-$K$216&lt;=Inputs!$C$13),INDEX($N$219:$AL$219,1,AX$5-$K$216+1)*INDEX($N$220:$AL$220,1,AX$5-$K$216+1),0)-$I$216*((AX$5=Inputs!$C$12)*$C$218*$D$216+(AX$5=Inputs!$C$13)*$D$218*($D$216+Inputs!$C$14))+$I$216*((AX$5=Inputs!$C$15+$K$216)*$E$218*$I$218+(AX$5=Inputs!$C$16+$K$216)*$F$218*$J$218+(AX$5=Inputs!$C$17)*$G$218*$H$216*$H$218)</f>
        <v>218.16</v>
      </c>
      <c r="AY221" s="42" t="n">
        <f aca="false">-($D$216+$J$216)*(AY$5=0)+IF(AND(AY$5-$K$216&gt;=1,AY$5-$K$216&lt;=Inputs!$C$13),INDEX($N$219:$AL$219,1,AY$5-$K$216+1)*INDEX($N$220:$AL$220,1,AY$5-$K$216+1),0)-$I$216*((AY$5=Inputs!$C$12)*$C$218*$D$216+(AY$5=Inputs!$C$13)*$D$218*($D$216+Inputs!$C$14))+$I$216*((AY$5=Inputs!$C$15+$K$216)*$E$218*$I$218+(AY$5=Inputs!$C$16+$K$216)*$F$218*$J$218+(AY$5=Inputs!$C$17)*$G$218*$H$216*$H$218)</f>
        <v>0</v>
      </c>
    </row>
    <row r="223" customFormat="false" ht="15" hidden="false" customHeight="false" outlineLevel="0" collapsed="false">
      <c r="B223" s="7" t="s">
        <v>211</v>
      </c>
      <c r="C223" s="8"/>
      <c r="D223" s="8"/>
      <c r="E223" s="8"/>
      <c r="F223" s="8"/>
      <c r="G223" s="8"/>
      <c r="H223" s="8"/>
      <c r="I223" s="8"/>
      <c r="J223" s="8"/>
      <c r="K223" s="8"/>
      <c r="L223" s="8"/>
    </row>
    <row r="224" customFormat="false" ht="30" hidden="false" customHeight="true" outlineLevel="0" collapsed="false">
      <c r="B224" s="37"/>
      <c r="C224" s="38" t="s">
        <v>169</v>
      </c>
      <c r="D224" s="38" t="s">
        <v>170</v>
      </c>
      <c r="E224" s="38" t="s">
        <v>171</v>
      </c>
      <c r="F224" s="38" t="s">
        <v>43</v>
      </c>
      <c r="G224" s="38" t="s">
        <v>44</v>
      </c>
      <c r="H224" s="38" t="s">
        <v>45</v>
      </c>
      <c r="I224" s="38" t="s">
        <v>172</v>
      </c>
      <c r="J224" s="38" t="s">
        <v>90</v>
      </c>
      <c r="K224" s="38" t="s">
        <v>89</v>
      </c>
      <c r="L224" s="38" t="s">
        <v>173</v>
      </c>
    </row>
    <row r="225" customFormat="false" ht="15" hidden="false" customHeight="false" outlineLevel="0" collapsed="false">
      <c r="B225" s="39" t="s">
        <v>174</v>
      </c>
      <c r="C225" s="26" t="n">
        <f aca="false">Class_IRR!$C$5</f>
        <v>0.0025</v>
      </c>
      <c r="D225" s="30" t="n">
        <f aca="false">Inputs!$E$26</f>
        <v>1600</v>
      </c>
      <c r="E225" s="26" t="n">
        <f aca="false">Inputs!$F$26</f>
        <v>0.8</v>
      </c>
      <c r="F225" s="25" t="n">
        <f aca="false">Inputs!$G$26</f>
        <v>0.4</v>
      </c>
      <c r="G225" s="25" t="n">
        <f aca="false">Inputs!$H$26</f>
        <v>0.5</v>
      </c>
      <c r="H225" s="25" t="n">
        <f aca="false">Inputs!$I$26</f>
        <v>0.7</v>
      </c>
      <c r="I225" s="22" t="n">
        <f aca="false">Inputs!$J$26</f>
        <v>1</v>
      </c>
      <c r="J225" s="23" t="n">
        <f aca="false">Inputs!$C$9</f>
        <v>10</v>
      </c>
      <c r="K225" s="22" t="n">
        <f aca="false">Inputs!$C$10</f>
        <v>1</v>
      </c>
      <c r="L225" s="22" t="n">
        <f aca="false">1</f>
        <v>1</v>
      </c>
    </row>
    <row r="226" customFormat="false" ht="30" hidden="false" customHeight="true" outlineLevel="0" collapsed="false">
      <c r="B226" s="37"/>
      <c r="C226" s="38" t="s">
        <v>175</v>
      </c>
      <c r="D226" s="38" t="s">
        <v>176</v>
      </c>
      <c r="E226" s="38" t="s">
        <v>177</v>
      </c>
      <c r="F226" s="38" t="s">
        <v>178</v>
      </c>
      <c r="G226" s="38" t="s">
        <v>112</v>
      </c>
      <c r="H226" s="38" t="s">
        <v>179</v>
      </c>
      <c r="I226" s="38" t="s">
        <v>180</v>
      </c>
      <c r="J226" s="38" t="s">
        <v>181</v>
      </c>
      <c r="K226" s="38" t="s">
        <v>182</v>
      </c>
      <c r="L226" s="38" t="s">
        <v>183</v>
      </c>
    </row>
    <row r="227" customFormat="false" ht="15" hidden="false" customHeight="false" outlineLevel="0" collapsed="false">
      <c r="B227" s="39" t="s">
        <v>184</v>
      </c>
      <c r="C227" s="40" t="n">
        <f aca="false">1-$E$225*CHOOSE($L$225,INDEX(Timing!$C$7:$AA$7,1,Inputs!$C$12+1),INDEX(Timing!$C$8:$AA$8,1,Inputs!$C$12+1))</f>
        <v>0.392</v>
      </c>
      <c r="D227" s="40" t="n">
        <f aca="false">1-$E$225*CHOOSE($L$225,INDEX(Timing!$C$7:$AA$7,1,Inputs!$C$13+1),INDEX(Timing!$C$8:$AA$8,1,Inputs!$C$13+1))</f>
        <v>0.2</v>
      </c>
      <c r="E227" s="40" t="n">
        <f aca="false">$I$225*$D$227*$F$225</f>
        <v>0.08</v>
      </c>
      <c r="F227" s="40" t="n">
        <f aca="false">$I$225*($D$227-$E$227)*$G$225</f>
        <v>0.06</v>
      </c>
      <c r="G227" s="40" t="n">
        <f aca="false">$I$225*($D$227-$E$227-$F$227)</f>
        <v>0.06</v>
      </c>
      <c r="H227" s="23" t="n">
        <f aca="false">$I$225*(3*$D$225+Inputs!$C$14)</f>
        <v>6600</v>
      </c>
      <c r="I227" s="23" t="n">
        <f aca="false">$I$225*($D$225*(1+IF($C$225&lt;=0,0,MAX($C$225*Inputs!$C$15/12,Inputs!$C$8)))+$D$225*(1+Inputs!$C$11*(Inputs!$C$15-Inputs!$C$12)/12)+$D$225*(1+Inputs!$C$11*(Inputs!$C$15-Inputs!$C$13)/12)+Inputs!$C$14)</f>
        <v>7112</v>
      </c>
      <c r="J227" s="23" t="n">
        <f aca="false">$I$225*($D$225*(1+IF($C$225&lt;=0,0,MAX($C$225*Inputs!$C$16/12,Inputs!$C$8)))+$D$225*(1+Inputs!$C$11*(Inputs!$C$16-Inputs!$C$12)/12)+$D$225*(1+Inputs!$C$11*(Inputs!$C$16-Inputs!$C$13)/12)+Inputs!$C$14)</f>
        <v>7256</v>
      </c>
      <c r="K227" s="40" t="n">
        <f aca="false">IRR($N$230:$AY$230,0.005)</f>
        <v>0.00128185534859917</v>
      </c>
      <c r="L227" s="41" t="n">
        <f aca="false">(1+$K$227)^12-1</f>
        <v>0.0154911770119233</v>
      </c>
    </row>
    <row r="228" customFormat="false" ht="15" hidden="false" customHeight="false" outlineLevel="0" collapsed="false">
      <c r="B228" s="9" t="s">
        <v>185</v>
      </c>
      <c r="N228" s="40" t="n">
        <f aca="false">0</f>
        <v>0</v>
      </c>
      <c r="O228" s="40" t="n">
        <f aca="false">$E$225*(CHOOSE($L$225,Timing!D$7,Timing!D$8)-CHOOSE($L$225,Timing!C$7,Timing!C$8))</f>
        <v>0.096</v>
      </c>
      <c r="P228" s="40" t="n">
        <f aca="false">$E$225*(CHOOSE($L$225,Timing!E$7,Timing!E$8)-CHOOSE($L$225,Timing!D$7,Timing!D$8))</f>
        <v>0.08</v>
      </c>
      <c r="Q228" s="40" t="n">
        <f aca="false">$E$225*(CHOOSE($L$225,Timing!F$7,Timing!F$8)-CHOOSE($L$225,Timing!E$7,Timing!E$8))</f>
        <v>0.072</v>
      </c>
      <c r="R228" s="40" t="n">
        <f aca="false">$E$225*(CHOOSE($L$225,Timing!G$7,Timing!G$8)-CHOOSE($L$225,Timing!F$7,Timing!F$8))</f>
        <v>0.056</v>
      </c>
      <c r="S228" s="40" t="n">
        <f aca="false">$E$225*(CHOOSE($L$225,Timing!H$7,Timing!H$8)-CHOOSE($L$225,Timing!G$7,Timing!G$8))</f>
        <v>0.056</v>
      </c>
      <c r="T228" s="40" t="n">
        <f aca="false">$E$225*(CHOOSE($L$225,Timing!I$7,Timing!I$8)-CHOOSE($L$225,Timing!H$7,Timing!H$8))</f>
        <v>0.056</v>
      </c>
      <c r="U228" s="40" t="n">
        <f aca="false">$E$225*(CHOOSE($L$225,Timing!J$7,Timing!J$8)-CHOOSE($L$225,Timing!I$7,Timing!I$8))</f>
        <v>0.0346666666666667</v>
      </c>
      <c r="V228" s="40" t="n">
        <f aca="false">$E$225*(CHOOSE($L$225,Timing!K$7,Timing!K$8)-CHOOSE($L$225,Timing!J$7,Timing!J$8))</f>
        <v>0.0346666666666667</v>
      </c>
      <c r="W228" s="40" t="n">
        <f aca="false">$E$225*(CHOOSE($L$225,Timing!L$7,Timing!L$8)-CHOOSE($L$225,Timing!K$7,Timing!K$8))</f>
        <v>0.0346666666666667</v>
      </c>
      <c r="X228" s="40" t="n">
        <f aca="false">$E$225*(CHOOSE($L$225,Timing!M$7,Timing!M$8)-CHOOSE($L$225,Timing!L$7,Timing!L$8))</f>
        <v>0.0293333333333333</v>
      </c>
      <c r="Y228" s="40" t="n">
        <f aca="false">$E$225*(CHOOSE($L$225,Timing!N$7,Timing!N$8)-CHOOSE($L$225,Timing!M$7,Timing!M$8))</f>
        <v>0.0293333333333334</v>
      </c>
      <c r="Z228" s="40" t="n">
        <f aca="false">$E$225*(CHOOSE($L$225,Timing!O$7,Timing!O$8)-CHOOSE($L$225,Timing!N$7,Timing!N$8))</f>
        <v>0.0293333333333333</v>
      </c>
      <c r="AA228" s="40" t="n">
        <f aca="false">$E$225*(CHOOSE($L$225,Timing!P$7,Timing!P$8)-CHOOSE($L$225,Timing!O$7,Timing!O$8))</f>
        <v>0.0186666666666667</v>
      </c>
      <c r="AB228" s="40" t="n">
        <f aca="false">$E$225*(CHOOSE($L$225,Timing!Q$7,Timing!Q$8)-CHOOSE($L$225,Timing!P$7,Timing!P$8))</f>
        <v>0.0186666666666667</v>
      </c>
      <c r="AC228" s="40" t="n">
        <f aca="false">$E$225*(CHOOSE($L$225,Timing!R$7,Timing!R$8)-CHOOSE($L$225,Timing!Q$7,Timing!Q$8))</f>
        <v>0.0186666666666667</v>
      </c>
      <c r="AD228" s="40" t="n">
        <f aca="false">$E$225*(CHOOSE($L$225,Timing!S$7,Timing!S$8)-CHOOSE($L$225,Timing!R$7,Timing!R$8))</f>
        <v>0.0186666666666667</v>
      </c>
      <c r="AE228" s="40" t="n">
        <f aca="false">$E$225*(CHOOSE($L$225,Timing!T$7,Timing!T$8)-CHOOSE($L$225,Timing!S$7,Timing!S$8))</f>
        <v>0.0186666666666667</v>
      </c>
      <c r="AF228" s="40" t="n">
        <f aca="false">$E$225*(CHOOSE($L$225,Timing!U$7,Timing!U$8)-CHOOSE($L$225,Timing!T$7,Timing!T$8))</f>
        <v>0.0186666666666667</v>
      </c>
      <c r="AG228" s="40" t="n">
        <f aca="false">$E$225*(CHOOSE($L$225,Timing!V$7,Timing!V$8)-CHOOSE($L$225,Timing!U$7,Timing!U$8))</f>
        <v>0.0133333333333334</v>
      </c>
      <c r="AH228" s="40" t="n">
        <f aca="false">$E$225*(CHOOSE($L$225,Timing!W$7,Timing!W$8)-CHOOSE($L$225,Timing!V$7,Timing!V$8))</f>
        <v>0.0133333333333333</v>
      </c>
      <c r="AI228" s="40" t="n">
        <f aca="false">$E$225*(CHOOSE($L$225,Timing!X$7,Timing!X$8)-CHOOSE($L$225,Timing!W$7,Timing!W$8))</f>
        <v>0.0133333333333333</v>
      </c>
      <c r="AJ228" s="40" t="n">
        <f aca="false">$E$225*(CHOOSE($L$225,Timing!Y$7,Timing!Y$8)-CHOOSE($L$225,Timing!X$7,Timing!X$8))</f>
        <v>0.0133333333333334</v>
      </c>
      <c r="AK228" s="40" t="n">
        <f aca="false">$E$225*(CHOOSE($L$225,Timing!Z$7,Timing!Z$8)-CHOOSE($L$225,Timing!Y$7,Timing!Y$8))</f>
        <v>0.0133333333333334</v>
      </c>
      <c r="AL228" s="40" t="n">
        <f aca="false">$E$225*(CHOOSE($L$225,Timing!AA$7,Timing!AA$8)-CHOOSE($L$225,Timing!Z$7,Timing!Z$8))</f>
        <v>0.0133333333333333</v>
      </c>
    </row>
    <row r="229" customFormat="false" ht="15" hidden="false" customHeight="false" outlineLevel="0" collapsed="false">
      <c r="B229" s="9" t="s">
        <v>186</v>
      </c>
      <c r="N229" s="42" t="n">
        <f aca="false">0</f>
        <v>0</v>
      </c>
      <c r="O229" s="42" t="n">
        <f aca="false">$D$225*(1+IF($C$225&lt;=0,0,MAX($C$225*O$5/12,Inputs!$C$8)))+$I$225*(O$5&gt;Inputs!$C$12)*$D$225*(1+Inputs!$C$11*(O$5-Inputs!$C$12)/12)</f>
        <v>1680</v>
      </c>
      <c r="P229" s="42" t="n">
        <f aca="false">$D$225*(1+IF($C$225&lt;=0,0,MAX($C$225*P$5/12,Inputs!$C$8)))+$I$225*(P$5&gt;Inputs!$C$12)*$D$225*(1+Inputs!$C$11*(P$5-Inputs!$C$12)/12)</f>
        <v>1680</v>
      </c>
      <c r="Q229" s="42" t="n">
        <f aca="false">$D$225*(1+IF($C$225&lt;=0,0,MAX($C$225*Q$5/12,Inputs!$C$8)))+$I$225*(Q$5&gt;Inputs!$C$12)*$D$225*(1+Inputs!$C$11*(Q$5-Inputs!$C$12)/12)</f>
        <v>1680</v>
      </c>
      <c r="R229" s="42" t="n">
        <f aca="false">$D$225*(1+IF($C$225&lt;=0,0,MAX($C$225*R$5/12,Inputs!$C$8)))+$I$225*(R$5&gt;Inputs!$C$12)*$D$225*(1+Inputs!$C$11*(R$5-Inputs!$C$12)/12)</f>
        <v>1680</v>
      </c>
      <c r="S229" s="42" t="n">
        <f aca="false">$D$225*(1+IF($C$225&lt;=0,0,MAX($C$225*S$5/12,Inputs!$C$8)))+$I$225*(S$5&gt;Inputs!$C$12)*$D$225*(1+Inputs!$C$11*(S$5-Inputs!$C$12)/12)</f>
        <v>1680</v>
      </c>
      <c r="T229" s="42" t="n">
        <f aca="false">$D$225*(1+IF($C$225&lt;=0,0,MAX($C$225*T$5/12,Inputs!$C$8)))+$I$225*(T$5&gt;Inputs!$C$12)*$D$225*(1+Inputs!$C$11*(T$5-Inputs!$C$12)/12)</f>
        <v>1680</v>
      </c>
      <c r="U229" s="42" t="n">
        <f aca="false">$D$225*(1+IF($C$225&lt;=0,0,MAX($C$225*U$5/12,Inputs!$C$8)))+$I$225*(U$5&gt;Inputs!$C$12)*$D$225*(1+Inputs!$C$11*(U$5-Inputs!$C$12)/12)</f>
        <v>1680</v>
      </c>
      <c r="V229" s="42" t="n">
        <f aca="false">$D$225*(1+IF($C$225&lt;=0,0,MAX($C$225*V$5/12,Inputs!$C$8)))+$I$225*(V$5&gt;Inputs!$C$12)*$D$225*(1+Inputs!$C$11*(V$5-Inputs!$C$12)/12)</f>
        <v>1680</v>
      </c>
      <c r="W229" s="42" t="n">
        <f aca="false">$D$225*(1+IF($C$225&lt;=0,0,MAX($C$225*W$5/12,Inputs!$C$8)))+$I$225*(W$5&gt;Inputs!$C$12)*$D$225*(1+Inputs!$C$11*(W$5-Inputs!$C$12)/12)</f>
        <v>1680</v>
      </c>
      <c r="X229" s="42" t="n">
        <f aca="false">$D$225*(1+IF($C$225&lt;=0,0,MAX($C$225*X$5/12,Inputs!$C$8)))+$I$225*(X$5&gt;Inputs!$C$12)*$D$225*(1+Inputs!$C$11*(X$5-Inputs!$C$12)/12)</f>
        <v>1680</v>
      </c>
      <c r="Y229" s="42" t="n">
        <f aca="false">$D$225*(1+IF($C$225&lt;=0,0,MAX($C$225*Y$5/12,Inputs!$C$8)))+$I$225*(Y$5&gt;Inputs!$C$12)*$D$225*(1+Inputs!$C$11*(Y$5-Inputs!$C$12)/12)</f>
        <v>1680</v>
      </c>
      <c r="Z229" s="42" t="n">
        <f aca="false">$D$225*(1+IF($C$225&lt;=0,0,MAX($C$225*Z$5/12,Inputs!$C$8)))+$I$225*(Z$5&gt;Inputs!$C$12)*$D$225*(1+Inputs!$C$11*(Z$5-Inputs!$C$12)/12)</f>
        <v>1680</v>
      </c>
      <c r="AA229" s="42" t="n">
        <f aca="false">$D$225*(1+IF($C$225&lt;=0,0,MAX($C$225*AA$5/12,Inputs!$C$8)))+$I$225*(AA$5&gt;Inputs!$C$12)*$D$225*(1+Inputs!$C$11*(AA$5-Inputs!$C$12)/12)</f>
        <v>3304</v>
      </c>
      <c r="AB229" s="42" t="n">
        <f aca="false">$D$225*(1+IF($C$225&lt;=0,0,MAX($C$225*AB$5/12,Inputs!$C$8)))+$I$225*(AB$5&gt;Inputs!$C$12)*$D$225*(1+Inputs!$C$11*(AB$5-Inputs!$C$12)/12)</f>
        <v>3328</v>
      </c>
      <c r="AC229" s="42" t="n">
        <f aca="false">$D$225*(1+IF($C$225&lt;=0,0,MAX($C$225*AC$5/12,Inputs!$C$8)))+$I$225*(AC$5&gt;Inputs!$C$12)*$D$225*(1+Inputs!$C$11*(AC$5-Inputs!$C$12)/12)</f>
        <v>3352</v>
      </c>
      <c r="AD229" s="42" t="n">
        <f aca="false">$D$225*(1+IF($C$225&lt;=0,0,MAX($C$225*AD$5/12,Inputs!$C$8)))+$I$225*(AD$5&gt;Inputs!$C$12)*$D$225*(1+Inputs!$C$11*(AD$5-Inputs!$C$12)/12)</f>
        <v>3376</v>
      </c>
      <c r="AE229" s="42" t="n">
        <f aca="false">$D$225*(1+IF($C$225&lt;=0,0,MAX($C$225*AE$5/12,Inputs!$C$8)))+$I$225*(AE$5&gt;Inputs!$C$12)*$D$225*(1+Inputs!$C$11*(AE$5-Inputs!$C$12)/12)</f>
        <v>3400</v>
      </c>
      <c r="AF229" s="42" t="n">
        <f aca="false">$D$225*(1+IF($C$225&lt;=0,0,MAX($C$225*AF$5/12,Inputs!$C$8)))+$I$225*(AF$5&gt;Inputs!$C$12)*$D$225*(1+Inputs!$C$11*(AF$5-Inputs!$C$12)/12)</f>
        <v>3424</v>
      </c>
      <c r="AG229" s="42" t="n">
        <f aca="false">$D$225*(1+IF($C$225&lt;=0,0,MAX($C$225*AG$5/12,Inputs!$C$8)))+$I$225*(AG$5&gt;Inputs!$C$12)*$D$225*(1+Inputs!$C$11*(AG$5-Inputs!$C$12)/12)</f>
        <v>3448</v>
      </c>
      <c r="AH229" s="42" t="n">
        <f aca="false">$D$225*(1+IF($C$225&lt;=0,0,MAX($C$225*AH$5/12,Inputs!$C$8)))+$I$225*(AH$5&gt;Inputs!$C$12)*$D$225*(1+Inputs!$C$11*(AH$5-Inputs!$C$12)/12)</f>
        <v>3472</v>
      </c>
      <c r="AI229" s="42" t="n">
        <f aca="false">$D$225*(1+IF($C$225&lt;=0,0,MAX($C$225*AI$5/12,Inputs!$C$8)))+$I$225*(AI$5&gt;Inputs!$C$12)*$D$225*(1+Inputs!$C$11*(AI$5-Inputs!$C$12)/12)</f>
        <v>3496</v>
      </c>
      <c r="AJ229" s="42" t="n">
        <f aca="false">$D$225*(1+IF($C$225&lt;=0,0,MAX($C$225*AJ$5/12,Inputs!$C$8)))+$I$225*(AJ$5&gt;Inputs!$C$12)*$D$225*(1+Inputs!$C$11*(AJ$5-Inputs!$C$12)/12)</f>
        <v>3520</v>
      </c>
      <c r="AK229" s="42" t="n">
        <f aca="false">$D$225*(1+IF($C$225&lt;=0,0,MAX($C$225*AK$5/12,Inputs!$C$8)))+$I$225*(AK$5&gt;Inputs!$C$12)*$D$225*(1+Inputs!$C$11*(AK$5-Inputs!$C$12)/12)</f>
        <v>3544</v>
      </c>
      <c r="AL229" s="42" t="n">
        <f aca="false">$D$225*(1+IF($C$225&lt;=0,0,MAX($C$225*AL$5/12,Inputs!$C$8)))+$I$225*(AL$5&gt;Inputs!$C$12)*$D$225*(1+Inputs!$C$11*(AL$5-Inputs!$C$12)/12)</f>
        <v>3568</v>
      </c>
    </row>
    <row r="230" customFormat="false" ht="15" hidden="false" customHeight="false" outlineLevel="0" collapsed="false">
      <c r="B230" s="31" t="s">
        <v>187</v>
      </c>
      <c r="N230" s="42" t="n">
        <f aca="false">-($D$225+$J$225)*(N$5=0)+IF(AND(N$5-$K$225&gt;=1,N$5-$K$225&lt;=Inputs!$C$13),INDEX($N$228:$AL$228,1,N$5-$K$225+1)*INDEX($N$229:$AL$229,1,N$5-$K$225+1),0)-$I$225*((N$5=Inputs!$C$12)*$C$227*$D$225+(N$5=Inputs!$C$13)*$D$227*($D$225+Inputs!$C$14))+$I$225*((N$5=Inputs!$C$15+$K$225)*$E$227*$I$227+(N$5=Inputs!$C$16+$K$225)*$F$227*$J$227+(N$5=Inputs!$C$17)*$G$227*$H$225*$H$227)</f>
        <v>-1610</v>
      </c>
      <c r="O230" s="42" t="n">
        <f aca="false">-($D$225+$J$225)*(O$5=0)+IF(AND(O$5-$K$225&gt;=1,O$5-$K$225&lt;=Inputs!$C$13),INDEX($N$228:$AL$228,1,O$5-$K$225+1)*INDEX($N$229:$AL$229,1,O$5-$K$225+1),0)-$I$225*((O$5=Inputs!$C$12)*$C$227*$D$225+(O$5=Inputs!$C$13)*$D$227*($D$225+Inputs!$C$14))+$I$225*((O$5=Inputs!$C$15+$K$225)*$E$227*$I$227+(O$5=Inputs!$C$16+$K$225)*$F$227*$J$227+(O$5=Inputs!$C$17)*$G$227*$H$225*$H$227)</f>
        <v>0</v>
      </c>
      <c r="P230" s="42" t="n">
        <f aca="false">-($D$225+$J$225)*(P$5=0)+IF(AND(P$5-$K$225&gt;=1,P$5-$K$225&lt;=Inputs!$C$13),INDEX($N$228:$AL$228,1,P$5-$K$225+1)*INDEX($N$229:$AL$229,1,P$5-$K$225+1),0)-$I$225*((P$5=Inputs!$C$12)*$C$227*$D$225+(P$5=Inputs!$C$13)*$D$227*($D$225+Inputs!$C$14))+$I$225*((P$5=Inputs!$C$15+$K$225)*$E$227*$I$227+(P$5=Inputs!$C$16+$K$225)*$F$227*$J$227+(P$5=Inputs!$C$17)*$G$227*$H$225*$H$227)</f>
        <v>161.28</v>
      </c>
      <c r="Q230" s="42" t="n">
        <f aca="false">-($D$225+$J$225)*(Q$5=0)+IF(AND(Q$5-$K$225&gt;=1,Q$5-$K$225&lt;=Inputs!$C$13),INDEX($N$228:$AL$228,1,Q$5-$K$225+1)*INDEX($N$229:$AL$229,1,Q$5-$K$225+1),0)-$I$225*((Q$5=Inputs!$C$12)*$C$227*$D$225+(Q$5=Inputs!$C$13)*$D$227*($D$225+Inputs!$C$14))+$I$225*((Q$5=Inputs!$C$15+$K$225)*$E$227*$I$227+(Q$5=Inputs!$C$16+$K$225)*$F$227*$J$227+(Q$5=Inputs!$C$17)*$G$227*$H$225*$H$227)</f>
        <v>134.4</v>
      </c>
      <c r="R230" s="42" t="n">
        <f aca="false">-($D$225+$J$225)*(R$5=0)+IF(AND(R$5-$K$225&gt;=1,R$5-$K$225&lt;=Inputs!$C$13),INDEX($N$228:$AL$228,1,R$5-$K$225+1)*INDEX($N$229:$AL$229,1,R$5-$K$225+1),0)-$I$225*((R$5=Inputs!$C$12)*$C$227*$D$225+(R$5=Inputs!$C$13)*$D$227*($D$225+Inputs!$C$14))+$I$225*((R$5=Inputs!$C$15+$K$225)*$E$227*$I$227+(R$5=Inputs!$C$16+$K$225)*$F$227*$J$227+(R$5=Inputs!$C$17)*$G$227*$H$225*$H$227)</f>
        <v>120.96</v>
      </c>
      <c r="S230" s="42" t="n">
        <f aca="false">-($D$225+$J$225)*(S$5=0)+IF(AND(S$5-$K$225&gt;=1,S$5-$K$225&lt;=Inputs!$C$13),INDEX($N$228:$AL$228,1,S$5-$K$225+1)*INDEX($N$229:$AL$229,1,S$5-$K$225+1),0)-$I$225*((S$5=Inputs!$C$12)*$C$227*$D$225+(S$5=Inputs!$C$13)*$D$227*($D$225+Inputs!$C$14))+$I$225*((S$5=Inputs!$C$15+$K$225)*$E$227*$I$227+(S$5=Inputs!$C$16+$K$225)*$F$227*$J$227+(S$5=Inputs!$C$17)*$G$227*$H$225*$H$227)</f>
        <v>94.08</v>
      </c>
      <c r="T230" s="42" t="n">
        <f aca="false">-($D$225+$J$225)*(T$5=0)+IF(AND(T$5-$K$225&gt;=1,T$5-$K$225&lt;=Inputs!$C$13),INDEX($N$228:$AL$228,1,T$5-$K$225+1)*INDEX($N$229:$AL$229,1,T$5-$K$225+1),0)-$I$225*((T$5=Inputs!$C$12)*$C$227*$D$225+(T$5=Inputs!$C$13)*$D$227*($D$225+Inputs!$C$14))+$I$225*((T$5=Inputs!$C$15+$K$225)*$E$227*$I$227+(T$5=Inputs!$C$16+$K$225)*$F$227*$J$227+(T$5=Inputs!$C$17)*$G$227*$H$225*$H$227)</f>
        <v>94.08</v>
      </c>
      <c r="U230" s="42" t="n">
        <f aca="false">-($D$225+$J$225)*(U$5=0)+IF(AND(U$5-$K$225&gt;=1,U$5-$K$225&lt;=Inputs!$C$13),INDEX($N$228:$AL$228,1,U$5-$K$225+1)*INDEX($N$229:$AL$229,1,U$5-$K$225+1),0)-$I$225*((U$5=Inputs!$C$12)*$C$227*$D$225+(U$5=Inputs!$C$13)*$D$227*($D$225+Inputs!$C$14))+$I$225*((U$5=Inputs!$C$15+$K$225)*$E$227*$I$227+(U$5=Inputs!$C$16+$K$225)*$F$227*$J$227+(U$5=Inputs!$C$17)*$G$227*$H$225*$H$227)</f>
        <v>94.08</v>
      </c>
      <c r="V230" s="42" t="n">
        <f aca="false">-($D$225+$J$225)*(V$5=0)+IF(AND(V$5-$K$225&gt;=1,V$5-$K$225&lt;=Inputs!$C$13),INDEX($N$228:$AL$228,1,V$5-$K$225+1)*INDEX($N$229:$AL$229,1,V$5-$K$225+1),0)-$I$225*((V$5=Inputs!$C$12)*$C$227*$D$225+(V$5=Inputs!$C$13)*$D$227*($D$225+Inputs!$C$14))+$I$225*((V$5=Inputs!$C$15+$K$225)*$E$227*$I$227+(V$5=Inputs!$C$16+$K$225)*$F$227*$J$227+(V$5=Inputs!$C$17)*$G$227*$H$225*$H$227)</f>
        <v>58.24</v>
      </c>
      <c r="W230" s="42" t="n">
        <f aca="false">-($D$225+$J$225)*(W$5=0)+IF(AND(W$5-$K$225&gt;=1,W$5-$K$225&lt;=Inputs!$C$13),INDEX($N$228:$AL$228,1,W$5-$K$225+1)*INDEX($N$229:$AL$229,1,W$5-$K$225+1),0)-$I$225*((W$5=Inputs!$C$12)*$C$227*$D$225+(W$5=Inputs!$C$13)*$D$227*($D$225+Inputs!$C$14))+$I$225*((W$5=Inputs!$C$15+$K$225)*$E$227*$I$227+(W$5=Inputs!$C$16+$K$225)*$F$227*$J$227+(W$5=Inputs!$C$17)*$G$227*$H$225*$H$227)</f>
        <v>58.24</v>
      </c>
      <c r="X230" s="42" t="n">
        <f aca="false">-($D$225+$J$225)*(X$5=0)+IF(AND(X$5-$K$225&gt;=1,X$5-$K$225&lt;=Inputs!$C$13),INDEX($N$228:$AL$228,1,X$5-$K$225+1)*INDEX($N$229:$AL$229,1,X$5-$K$225+1),0)-$I$225*((X$5=Inputs!$C$12)*$C$227*$D$225+(X$5=Inputs!$C$13)*$D$227*($D$225+Inputs!$C$14))+$I$225*((X$5=Inputs!$C$15+$K$225)*$E$227*$I$227+(X$5=Inputs!$C$16+$K$225)*$F$227*$J$227+(X$5=Inputs!$C$17)*$G$227*$H$225*$H$227)</f>
        <v>58.24</v>
      </c>
      <c r="Y230" s="42" t="n">
        <f aca="false">-($D$225+$J$225)*(Y$5=0)+IF(AND(Y$5-$K$225&gt;=1,Y$5-$K$225&lt;=Inputs!$C$13),INDEX($N$228:$AL$228,1,Y$5-$K$225+1)*INDEX($N$229:$AL$229,1,Y$5-$K$225+1),0)-$I$225*((Y$5=Inputs!$C$12)*$C$227*$D$225+(Y$5=Inputs!$C$13)*$D$227*($D$225+Inputs!$C$14))+$I$225*((Y$5=Inputs!$C$15+$K$225)*$E$227*$I$227+(Y$5=Inputs!$C$16+$K$225)*$F$227*$J$227+(Y$5=Inputs!$C$17)*$G$227*$H$225*$H$227)</f>
        <v>49.2799999999999</v>
      </c>
      <c r="Z230" s="42" t="n">
        <f aca="false">-($D$225+$J$225)*(Z$5=0)+IF(AND(Z$5-$K$225&gt;=1,Z$5-$K$225&lt;=Inputs!$C$13),INDEX($N$228:$AL$228,1,Z$5-$K$225+1)*INDEX($N$229:$AL$229,1,Z$5-$K$225+1),0)-$I$225*((Z$5=Inputs!$C$12)*$C$227*$D$225+(Z$5=Inputs!$C$13)*$D$227*($D$225+Inputs!$C$14))+$I$225*((Z$5=Inputs!$C$15+$K$225)*$E$227*$I$227+(Z$5=Inputs!$C$16+$K$225)*$F$227*$J$227+(Z$5=Inputs!$C$17)*$G$227*$H$225*$H$227)</f>
        <v>-577.92</v>
      </c>
      <c r="AA230" s="42" t="n">
        <f aca="false">-($D$225+$J$225)*(AA$5=0)+IF(AND(AA$5-$K$225&gt;=1,AA$5-$K$225&lt;=Inputs!$C$13),INDEX($N$228:$AL$228,1,AA$5-$K$225+1)*INDEX($N$229:$AL$229,1,AA$5-$K$225+1),0)-$I$225*((AA$5=Inputs!$C$12)*$C$227*$D$225+(AA$5=Inputs!$C$13)*$D$227*($D$225+Inputs!$C$14))+$I$225*((AA$5=Inputs!$C$15+$K$225)*$E$227*$I$227+(AA$5=Inputs!$C$16+$K$225)*$F$227*$J$227+(AA$5=Inputs!$C$17)*$G$227*$H$225*$H$227)</f>
        <v>49.2799999999999</v>
      </c>
      <c r="AB230" s="42" t="n">
        <f aca="false">-($D$225+$J$225)*(AB$5=0)+IF(AND(AB$5-$K$225&gt;=1,AB$5-$K$225&lt;=Inputs!$C$13),INDEX($N$228:$AL$228,1,AB$5-$K$225+1)*INDEX($N$229:$AL$229,1,AB$5-$K$225+1),0)-$I$225*((AB$5=Inputs!$C$12)*$C$227*$D$225+(AB$5=Inputs!$C$13)*$D$227*($D$225+Inputs!$C$14))+$I$225*((AB$5=Inputs!$C$15+$K$225)*$E$227*$I$227+(AB$5=Inputs!$C$16+$K$225)*$F$227*$J$227+(AB$5=Inputs!$C$17)*$G$227*$H$225*$H$227)</f>
        <v>61.6746666666666</v>
      </c>
      <c r="AC230" s="42" t="n">
        <f aca="false">-($D$225+$J$225)*(AC$5=0)+IF(AND(AC$5-$K$225&gt;=1,AC$5-$K$225&lt;=Inputs!$C$13),INDEX($N$228:$AL$228,1,AC$5-$K$225+1)*INDEX($N$229:$AL$229,1,AC$5-$K$225+1),0)-$I$225*((AC$5=Inputs!$C$12)*$C$227*$D$225+(AC$5=Inputs!$C$13)*$D$227*($D$225+Inputs!$C$14))+$I$225*((AC$5=Inputs!$C$15+$K$225)*$E$227*$I$227+(AC$5=Inputs!$C$16+$K$225)*$F$227*$J$227+(AC$5=Inputs!$C$17)*$G$227*$H$225*$H$227)</f>
        <v>62.1226666666666</v>
      </c>
      <c r="AD230" s="42" t="n">
        <f aca="false">-($D$225+$J$225)*(AD$5=0)+IF(AND(AD$5-$K$225&gt;=1,AD$5-$K$225&lt;=Inputs!$C$13),INDEX($N$228:$AL$228,1,AD$5-$K$225+1)*INDEX($N$229:$AL$229,1,AD$5-$K$225+1),0)-$I$225*((AD$5=Inputs!$C$12)*$C$227*$D$225+(AD$5=Inputs!$C$13)*$D$227*($D$225+Inputs!$C$14))+$I$225*((AD$5=Inputs!$C$15+$K$225)*$E$227*$I$227+(AD$5=Inputs!$C$16+$K$225)*$F$227*$J$227+(AD$5=Inputs!$C$17)*$G$227*$H$225*$H$227)</f>
        <v>62.5706666666669</v>
      </c>
      <c r="AE230" s="42" t="n">
        <f aca="false">-($D$225+$J$225)*(AE$5=0)+IF(AND(AE$5-$K$225&gt;=1,AE$5-$K$225&lt;=Inputs!$C$13),INDEX($N$228:$AL$228,1,AE$5-$K$225+1)*INDEX($N$229:$AL$229,1,AE$5-$K$225+1),0)-$I$225*((AE$5=Inputs!$C$12)*$C$227*$D$225+(AE$5=Inputs!$C$13)*$D$227*($D$225+Inputs!$C$14))+$I$225*((AE$5=Inputs!$C$15+$K$225)*$E$227*$I$227+(AE$5=Inputs!$C$16+$K$225)*$F$227*$J$227+(AE$5=Inputs!$C$17)*$G$227*$H$225*$H$227)</f>
        <v>63.0186666666666</v>
      </c>
      <c r="AF230" s="42" t="n">
        <f aca="false">-($D$225+$J$225)*(AF$5=0)+IF(AND(AF$5-$K$225&gt;=1,AF$5-$K$225&lt;=Inputs!$C$13),INDEX($N$228:$AL$228,1,AF$5-$K$225+1)*INDEX($N$229:$AL$229,1,AF$5-$K$225+1),0)-$I$225*((AF$5=Inputs!$C$12)*$C$227*$D$225+(AF$5=Inputs!$C$13)*$D$227*($D$225+Inputs!$C$14))+$I$225*((AF$5=Inputs!$C$15+$K$225)*$E$227*$I$227+(AF$5=Inputs!$C$16+$K$225)*$F$227*$J$227+(AF$5=Inputs!$C$17)*$G$227*$H$225*$H$227)</f>
        <v>63.4666666666666</v>
      </c>
      <c r="AG230" s="42" t="n">
        <f aca="false">-($D$225+$J$225)*(AG$5=0)+IF(AND(AG$5-$K$225&gt;=1,AG$5-$K$225&lt;=Inputs!$C$13),INDEX($N$228:$AL$228,1,AG$5-$K$225+1)*INDEX($N$229:$AL$229,1,AG$5-$K$225+1),0)-$I$225*((AG$5=Inputs!$C$12)*$C$227*$D$225+(AG$5=Inputs!$C$13)*$D$227*($D$225+Inputs!$C$14))+$I$225*((AG$5=Inputs!$C$15+$K$225)*$E$227*$I$227+(AG$5=Inputs!$C$16+$K$225)*$F$227*$J$227+(AG$5=Inputs!$C$17)*$G$227*$H$225*$H$227)</f>
        <v>63.9146666666666</v>
      </c>
      <c r="AH230" s="42" t="n">
        <f aca="false">-($D$225+$J$225)*(AH$5=0)+IF(AND(AH$5-$K$225&gt;=1,AH$5-$K$225&lt;=Inputs!$C$13),INDEX($N$228:$AL$228,1,AH$5-$K$225+1)*INDEX($N$229:$AL$229,1,AH$5-$K$225+1),0)-$I$225*((AH$5=Inputs!$C$12)*$C$227*$D$225+(AH$5=Inputs!$C$13)*$D$227*($D$225+Inputs!$C$14))+$I$225*((AH$5=Inputs!$C$15+$K$225)*$E$227*$I$227+(AH$5=Inputs!$C$16+$K$225)*$F$227*$J$227+(AH$5=Inputs!$C$17)*$G$227*$H$225*$H$227)</f>
        <v>45.9733333333335</v>
      </c>
      <c r="AI230" s="42" t="n">
        <f aca="false">-($D$225+$J$225)*(AI$5=0)+IF(AND(AI$5-$K$225&gt;=1,AI$5-$K$225&lt;=Inputs!$C$13),INDEX($N$228:$AL$228,1,AI$5-$K$225+1)*INDEX($N$229:$AL$229,1,AI$5-$K$225+1),0)-$I$225*((AI$5=Inputs!$C$12)*$C$227*$D$225+(AI$5=Inputs!$C$13)*$D$227*($D$225+Inputs!$C$14))+$I$225*((AI$5=Inputs!$C$15+$K$225)*$E$227*$I$227+(AI$5=Inputs!$C$16+$K$225)*$F$227*$J$227+(AI$5=Inputs!$C$17)*$G$227*$H$225*$H$227)</f>
        <v>46.2933333333332</v>
      </c>
      <c r="AJ230" s="42" t="n">
        <f aca="false">-($D$225+$J$225)*(AJ$5=0)+IF(AND(AJ$5-$K$225&gt;=1,AJ$5-$K$225&lt;=Inputs!$C$13),INDEX($N$228:$AL$228,1,AJ$5-$K$225+1)*INDEX($N$229:$AL$229,1,AJ$5-$K$225+1),0)-$I$225*((AJ$5=Inputs!$C$12)*$C$227*$D$225+(AJ$5=Inputs!$C$13)*$D$227*($D$225+Inputs!$C$14))+$I$225*((AJ$5=Inputs!$C$15+$K$225)*$E$227*$I$227+(AJ$5=Inputs!$C$16+$K$225)*$F$227*$J$227+(AJ$5=Inputs!$C$17)*$G$227*$H$225*$H$227)</f>
        <v>46.6133333333332</v>
      </c>
      <c r="AK230" s="42" t="n">
        <f aca="false">-($D$225+$J$225)*(AK$5=0)+IF(AND(AK$5-$K$225&gt;=1,AK$5-$K$225&lt;=Inputs!$C$13),INDEX($N$228:$AL$228,1,AK$5-$K$225+1)*INDEX($N$229:$AL$229,1,AK$5-$K$225+1),0)-$I$225*((AK$5=Inputs!$C$12)*$C$227*$D$225+(AK$5=Inputs!$C$13)*$D$227*($D$225+Inputs!$C$14))+$I$225*((AK$5=Inputs!$C$15+$K$225)*$E$227*$I$227+(AK$5=Inputs!$C$16+$K$225)*$F$227*$J$227+(AK$5=Inputs!$C$17)*$G$227*$H$225*$H$227)</f>
        <v>46.9333333333335</v>
      </c>
      <c r="AL230" s="42" t="n">
        <f aca="false">-($D$225+$J$225)*(AL$5=0)+IF(AND(AL$5-$K$225&gt;=1,AL$5-$K$225&lt;=Inputs!$C$13),INDEX($N$228:$AL$228,1,AL$5-$K$225+1)*INDEX($N$229:$AL$229,1,AL$5-$K$225+1),0)-$I$225*((AL$5=Inputs!$C$12)*$C$227*$D$225+(AL$5=Inputs!$C$13)*$D$227*($D$225+Inputs!$C$14))+$I$225*((AL$5=Inputs!$C$15+$K$225)*$E$227*$I$227+(AL$5=Inputs!$C$16+$K$225)*$F$227*$J$227+(AL$5=Inputs!$C$17)*$G$227*$H$225*$H$227)</f>
        <v>-632.746666666666</v>
      </c>
      <c r="AM230" s="42" t="n">
        <f aca="false">-($D$225+$J$225)*(AM$5=0)+IF(AND(AM$5-$K$225&gt;=1,AM$5-$K$225&lt;=Inputs!$C$13),INDEX($N$228:$AL$228,1,AM$5-$K$225+1)*INDEX($N$229:$AL$229,1,AM$5-$K$225+1),0)-$I$225*((AM$5=Inputs!$C$12)*$C$227*$D$225+(AM$5=Inputs!$C$13)*$D$227*($D$225+Inputs!$C$14))+$I$225*((AM$5=Inputs!$C$15+$K$225)*$E$227*$I$227+(AM$5=Inputs!$C$16+$K$225)*$F$227*$J$227+(AM$5=Inputs!$C$17)*$G$227*$H$225*$H$227)</f>
        <v>47.5733333333332</v>
      </c>
      <c r="AN230" s="42" t="n">
        <f aca="false">-($D$225+$J$225)*(AN$5=0)+IF(AND(AN$5-$K$225&gt;=1,AN$5-$K$225&lt;=Inputs!$C$13),INDEX($N$228:$AL$228,1,AN$5-$K$225+1)*INDEX($N$229:$AL$229,1,AN$5-$K$225+1),0)-$I$225*((AN$5=Inputs!$C$12)*$C$227*$D$225+(AN$5=Inputs!$C$13)*$D$227*($D$225+Inputs!$C$14))+$I$225*((AN$5=Inputs!$C$15+$K$225)*$E$227*$I$227+(AN$5=Inputs!$C$16+$K$225)*$F$227*$J$227+(AN$5=Inputs!$C$17)*$G$227*$H$225*$H$227)</f>
        <v>0</v>
      </c>
      <c r="AO230" s="42" t="n">
        <f aca="false">-($D$225+$J$225)*(AO$5=0)+IF(AND(AO$5-$K$225&gt;=1,AO$5-$K$225&lt;=Inputs!$C$13),INDEX($N$228:$AL$228,1,AO$5-$K$225+1)*INDEX($N$229:$AL$229,1,AO$5-$K$225+1),0)-$I$225*((AO$5=Inputs!$C$12)*$C$227*$D$225+(AO$5=Inputs!$C$13)*$D$227*($D$225+Inputs!$C$14))+$I$225*((AO$5=Inputs!$C$15+$K$225)*$E$227*$I$227+(AO$5=Inputs!$C$16+$K$225)*$F$227*$J$227+(AO$5=Inputs!$C$17)*$G$227*$H$225*$H$227)</f>
        <v>0</v>
      </c>
      <c r="AP230" s="42" t="n">
        <f aca="false">-($D$225+$J$225)*(AP$5=0)+IF(AND(AP$5-$K$225&gt;=1,AP$5-$K$225&lt;=Inputs!$C$13),INDEX($N$228:$AL$228,1,AP$5-$K$225+1)*INDEX($N$229:$AL$229,1,AP$5-$K$225+1),0)-$I$225*((AP$5=Inputs!$C$12)*$C$227*$D$225+(AP$5=Inputs!$C$13)*$D$227*($D$225+Inputs!$C$14))+$I$225*((AP$5=Inputs!$C$15+$K$225)*$E$227*$I$227+(AP$5=Inputs!$C$16+$K$225)*$F$227*$J$227+(AP$5=Inputs!$C$17)*$G$227*$H$225*$H$227)</f>
        <v>568.96</v>
      </c>
      <c r="AQ230" s="42" t="n">
        <f aca="false">-($D$225+$J$225)*(AQ$5=0)+IF(AND(AQ$5-$K$225&gt;=1,AQ$5-$K$225&lt;=Inputs!$C$13),INDEX($N$228:$AL$228,1,AQ$5-$K$225+1)*INDEX($N$229:$AL$229,1,AQ$5-$K$225+1),0)-$I$225*((AQ$5=Inputs!$C$12)*$C$227*$D$225+(AQ$5=Inputs!$C$13)*$D$227*($D$225+Inputs!$C$14))+$I$225*((AQ$5=Inputs!$C$15+$K$225)*$E$227*$I$227+(AQ$5=Inputs!$C$16+$K$225)*$F$227*$J$227+(AQ$5=Inputs!$C$17)*$G$227*$H$225*$H$227)</f>
        <v>0</v>
      </c>
      <c r="AR230" s="42" t="n">
        <f aca="false">-($D$225+$J$225)*(AR$5=0)+IF(AND(AR$5-$K$225&gt;=1,AR$5-$K$225&lt;=Inputs!$C$13),INDEX($N$228:$AL$228,1,AR$5-$K$225+1)*INDEX($N$229:$AL$229,1,AR$5-$K$225+1),0)-$I$225*((AR$5=Inputs!$C$12)*$C$227*$D$225+(AR$5=Inputs!$C$13)*$D$227*($D$225+Inputs!$C$14))+$I$225*((AR$5=Inputs!$C$15+$K$225)*$E$227*$I$227+(AR$5=Inputs!$C$16+$K$225)*$F$227*$J$227+(AR$5=Inputs!$C$17)*$G$227*$H$225*$H$227)</f>
        <v>0</v>
      </c>
      <c r="AS230" s="42" t="n">
        <f aca="false">-($D$225+$J$225)*(AS$5=0)+IF(AND(AS$5-$K$225&gt;=1,AS$5-$K$225&lt;=Inputs!$C$13),INDEX($N$228:$AL$228,1,AS$5-$K$225+1)*INDEX($N$229:$AL$229,1,AS$5-$K$225+1),0)-$I$225*((AS$5=Inputs!$C$12)*$C$227*$D$225+(AS$5=Inputs!$C$13)*$D$227*($D$225+Inputs!$C$14))+$I$225*((AS$5=Inputs!$C$15+$K$225)*$E$227*$I$227+(AS$5=Inputs!$C$16+$K$225)*$F$227*$J$227+(AS$5=Inputs!$C$17)*$G$227*$H$225*$H$227)</f>
        <v>435.36</v>
      </c>
      <c r="AT230" s="42" t="n">
        <f aca="false">-($D$225+$J$225)*(AT$5=0)+IF(AND(AT$5-$K$225&gt;=1,AT$5-$K$225&lt;=Inputs!$C$13),INDEX($N$228:$AL$228,1,AT$5-$K$225+1)*INDEX($N$229:$AL$229,1,AT$5-$K$225+1),0)-$I$225*((AT$5=Inputs!$C$12)*$C$227*$D$225+(AT$5=Inputs!$C$13)*$D$227*($D$225+Inputs!$C$14))+$I$225*((AT$5=Inputs!$C$15+$K$225)*$E$227*$I$227+(AT$5=Inputs!$C$16+$K$225)*$F$227*$J$227+(AT$5=Inputs!$C$17)*$G$227*$H$225*$H$227)</f>
        <v>0</v>
      </c>
      <c r="AU230" s="42" t="n">
        <f aca="false">-($D$225+$J$225)*(AU$5=0)+IF(AND(AU$5-$K$225&gt;=1,AU$5-$K$225&lt;=Inputs!$C$13),INDEX($N$228:$AL$228,1,AU$5-$K$225+1)*INDEX($N$229:$AL$229,1,AU$5-$K$225+1),0)-$I$225*((AU$5=Inputs!$C$12)*$C$227*$D$225+(AU$5=Inputs!$C$13)*$D$227*($D$225+Inputs!$C$14))+$I$225*((AU$5=Inputs!$C$15+$K$225)*$E$227*$I$227+(AU$5=Inputs!$C$16+$K$225)*$F$227*$J$227+(AU$5=Inputs!$C$17)*$G$227*$H$225*$H$227)</f>
        <v>0</v>
      </c>
      <c r="AV230" s="42" t="n">
        <f aca="false">-($D$225+$J$225)*(AV$5=0)+IF(AND(AV$5-$K$225&gt;=1,AV$5-$K$225&lt;=Inputs!$C$13),INDEX($N$228:$AL$228,1,AV$5-$K$225+1)*INDEX($N$229:$AL$229,1,AV$5-$K$225+1),0)-$I$225*((AV$5=Inputs!$C$12)*$C$227*$D$225+(AV$5=Inputs!$C$13)*$D$227*($D$225+Inputs!$C$14))+$I$225*((AV$5=Inputs!$C$15+$K$225)*$E$227*$I$227+(AV$5=Inputs!$C$16+$K$225)*$F$227*$J$227+(AV$5=Inputs!$C$17)*$G$227*$H$225*$H$227)</f>
        <v>0</v>
      </c>
      <c r="AW230" s="42" t="n">
        <f aca="false">-($D$225+$J$225)*(AW$5=0)+IF(AND(AW$5-$K$225&gt;=1,AW$5-$K$225&lt;=Inputs!$C$13),INDEX($N$228:$AL$228,1,AW$5-$K$225+1)*INDEX($N$229:$AL$229,1,AW$5-$K$225+1),0)-$I$225*((AW$5=Inputs!$C$12)*$C$227*$D$225+(AW$5=Inputs!$C$13)*$D$227*($D$225+Inputs!$C$14))+$I$225*((AW$5=Inputs!$C$15+$K$225)*$E$227*$I$227+(AW$5=Inputs!$C$16+$K$225)*$F$227*$J$227+(AW$5=Inputs!$C$17)*$G$227*$H$225*$H$227)</f>
        <v>0</v>
      </c>
      <c r="AX230" s="42" t="n">
        <f aca="false">-($D$225+$J$225)*(AX$5=0)+IF(AND(AX$5-$K$225&gt;=1,AX$5-$K$225&lt;=Inputs!$C$13),INDEX($N$228:$AL$228,1,AX$5-$K$225+1)*INDEX($N$229:$AL$229,1,AX$5-$K$225+1),0)-$I$225*((AX$5=Inputs!$C$12)*$C$227*$D$225+(AX$5=Inputs!$C$13)*$D$227*($D$225+Inputs!$C$14))+$I$225*((AX$5=Inputs!$C$15+$K$225)*$E$227*$I$227+(AX$5=Inputs!$C$16+$K$225)*$F$227*$J$227+(AX$5=Inputs!$C$17)*$G$227*$H$225*$H$227)</f>
        <v>277.2</v>
      </c>
      <c r="AY230" s="42" t="n">
        <f aca="false">-($D$225+$J$225)*(AY$5=0)+IF(AND(AY$5-$K$225&gt;=1,AY$5-$K$225&lt;=Inputs!$C$13),INDEX($N$228:$AL$228,1,AY$5-$K$225+1)*INDEX($N$229:$AL$229,1,AY$5-$K$225+1),0)-$I$225*((AY$5=Inputs!$C$12)*$C$227*$D$225+(AY$5=Inputs!$C$13)*$D$227*($D$225+Inputs!$C$14))+$I$225*((AY$5=Inputs!$C$15+$K$225)*$E$227*$I$227+(AY$5=Inputs!$C$16+$K$225)*$F$227*$J$227+(AY$5=Inputs!$C$17)*$G$227*$H$225*$H$227)</f>
        <v>0</v>
      </c>
    </row>
    <row r="232" customFormat="false" ht="15" hidden="false" customHeight="false" outlineLevel="0" collapsed="false">
      <c r="B232" s="7" t="s">
        <v>212</v>
      </c>
      <c r="C232" s="8"/>
      <c r="D232" s="8"/>
      <c r="E232" s="8"/>
      <c r="F232" s="8"/>
      <c r="G232" s="8"/>
      <c r="H232" s="8"/>
      <c r="I232" s="8"/>
      <c r="J232" s="8"/>
      <c r="K232" s="8"/>
      <c r="L232" s="8"/>
    </row>
    <row r="233" customFormat="false" ht="30" hidden="false" customHeight="true" outlineLevel="0" collapsed="false">
      <c r="B233" s="37"/>
      <c r="C233" s="38" t="s">
        <v>169</v>
      </c>
      <c r="D233" s="38" t="s">
        <v>170</v>
      </c>
      <c r="E233" s="38" t="s">
        <v>171</v>
      </c>
      <c r="F233" s="38" t="s">
        <v>43</v>
      </c>
      <c r="G233" s="38" t="s">
        <v>44</v>
      </c>
      <c r="H233" s="38" t="s">
        <v>45</v>
      </c>
      <c r="I233" s="38" t="s">
        <v>172</v>
      </c>
      <c r="J233" s="38" t="s">
        <v>90</v>
      </c>
      <c r="K233" s="38" t="s">
        <v>89</v>
      </c>
      <c r="L233" s="38" t="s">
        <v>173</v>
      </c>
    </row>
    <row r="234" customFormat="false" ht="15" hidden="false" customHeight="false" outlineLevel="0" collapsed="false">
      <c r="B234" s="39" t="s">
        <v>174</v>
      </c>
      <c r="C234" s="26" t="n">
        <f aca="false">Class_IRR!$D$5</f>
        <v>0.01</v>
      </c>
      <c r="D234" s="30" t="n">
        <f aca="false">Inputs!$E$26</f>
        <v>1600</v>
      </c>
      <c r="E234" s="26" t="n">
        <f aca="false">Inputs!$F$26</f>
        <v>0.8</v>
      </c>
      <c r="F234" s="25" t="n">
        <f aca="false">Inputs!$G$26</f>
        <v>0.4</v>
      </c>
      <c r="G234" s="25" t="n">
        <f aca="false">Inputs!$H$26</f>
        <v>0.5</v>
      </c>
      <c r="H234" s="25" t="n">
        <f aca="false">Inputs!$I$26</f>
        <v>0.7</v>
      </c>
      <c r="I234" s="22" t="n">
        <f aca="false">Inputs!$J$26</f>
        <v>1</v>
      </c>
      <c r="J234" s="23" t="n">
        <f aca="false">Inputs!$C$9</f>
        <v>10</v>
      </c>
      <c r="K234" s="22" t="n">
        <f aca="false">Inputs!$C$10</f>
        <v>1</v>
      </c>
      <c r="L234" s="22" t="n">
        <f aca="false">1</f>
        <v>1</v>
      </c>
    </row>
    <row r="235" customFormat="false" ht="30" hidden="false" customHeight="true" outlineLevel="0" collapsed="false">
      <c r="B235" s="37"/>
      <c r="C235" s="38" t="s">
        <v>175</v>
      </c>
      <c r="D235" s="38" t="s">
        <v>176</v>
      </c>
      <c r="E235" s="38" t="s">
        <v>177</v>
      </c>
      <c r="F235" s="38" t="s">
        <v>178</v>
      </c>
      <c r="G235" s="38" t="s">
        <v>112</v>
      </c>
      <c r="H235" s="38" t="s">
        <v>179</v>
      </c>
      <c r="I235" s="38" t="s">
        <v>180</v>
      </c>
      <c r="J235" s="38" t="s">
        <v>181</v>
      </c>
      <c r="K235" s="38" t="s">
        <v>182</v>
      </c>
      <c r="L235" s="38" t="s">
        <v>183</v>
      </c>
    </row>
    <row r="236" customFormat="false" ht="15" hidden="false" customHeight="false" outlineLevel="0" collapsed="false">
      <c r="B236" s="39" t="s">
        <v>184</v>
      </c>
      <c r="C236" s="40" t="n">
        <f aca="false">1-$E$234*CHOOSE($L$234,INDEX(Timing!$C$7:$AA$7,1,Inputs!$C$12+1),INDEX(Timing!$C$8:$AA$8,1,Inputs!$C$12+1))</f>
        <v>0.392</v>
      </c>
      <c r="D236" s="40" t="n">
        <f aca="false">1-$E$234*CHOOSE($L$234,INDEX(Timing!$C$7:$AA$7,1,Inputs!$C$13+1),INDEX(Timing!$C$8:$AA$8,1,Inputs!$C$13+1))</f>
        <v>0.2</v>
      </c>
      <c r="E236" s="40" t="n">
        <f aca="false">$I$234*$D$236*$F$234</f>
        <v>0.08</v>
      </c>
      <c r="F236" s="40" t="n">
        <f aca="false">$I$234*($D$236-$E$236)*$G$234</f>
        <v>0.06</v>
      </c>
      <c r="G236" s="40" t="n">
        <f aca="false">$I$234*($D$236-$E$236-$F$236)</f>
        <v>0.06</v>
      </c>
      <c r="H236" s="23" t="n">
        <f aca="false">$I$234*(3*$D$234+Inputs!$C$14)</f>
        <v>6600</v>
      </c>
      <c r="I236" s="23" t="n">
        <f aca="false">$I$234*($D$234*(1+IF($C$234&lt;=0,0,MAX($C$234*Inputs!$C$15/12,Inputs!$C$8)))+$D$234*(1+Inputs!$C$11*(Inputs!$C$15-Inputs!$C$12)/12)+$D$234*(1+Inputs!$C$11*(Inputs!$C$15-Inputs!$C$13)/12)+Inputs!$C$14)</f>
        <v>7112</v>
      </c>
      <c r="J236" s="23" t="n">
        <f aca="false">$I$234*($D$234*(1+IF($C$234&lt;=0,0,MAX($C$234*Inputs!$C$16/12,Inputs!$C$8)))+$D$234*(1+Inputs!$C$11*(Inputs!$C$16-Inputs!$C$12)/12)+$D$234*(1+Inputs!$C$11*(Inputs!$C$16-Inputs!$C$13)/12)+Inputs!$C$14)</f>
        <v>7256</v>
      </c>
      <c r="K236" s="40" t="n">
        <f aca="false">IRR($N$239:$AY$239,0.005)</f>
        <v>0.00128185534859917</v>
      </c>
      <c r="L236" s="41" t="n">
        <f aca="false">(1+$K$236)^12-1</f>
        <v>0.0154911770119233</v>
      </c>
    </row>
    <row r="237" customFormat="false" ht="15" hidden="false" customHeight="false" outlineLevel="0" collapsed="false">
      <c r="B237" s="9" t="s">
        <v>185</v>
      </c>
      <c r="N237" s="40" t="n">
        <f aca="false">0</f>
        <v>0</v>
      </c>
      <c r="O237" s="40" t="n">
        <f aca="false">$E$234*(CHOOSE($L$234,Timing!D$7,Timing!D$8)-CHOOSE($L$234,Timing!C$7,Timing!C$8))</f>
        <v>0.096</v>
      </c>
      <c r="P237" s="40" t="n">
        <f aca="false">$E$234*(CHOOSE($L$234,Timing!E$7,Timing!E$8)-CHOOSE($L$234,Timing!D$7,Timing!D$8))</f>
        <v>0.08</v>
      </c>
      <c r="Q237" s="40" t="n">
        <f aca="false">$E$234*(CHOOSE($L$234,Timing!F$7,Timing!F$8)-CHOOSE($L$234,Timing!E$7,Timing!E$8))</f>
        <v>0.072</v>
      </c>
      <c r="R237" s="40" t="n">
        <f aca="false">$E$234*(CHOOSE($L$234,Timing!G$7,Timing!G$8)-CHOOSE($L$234,Timing!F$7,Timing!F$8))</f>
        <v>0.056</v>
      </c>
      <c r="S237" s="40" t="n">
        <f aca="false">$E$234*(CHOOSE($L$234,Timing!H$7,Timing!H$8)-CHOOSE($L$234,Timing!G$7,Timing!G$8))</f>
        <v>0.056</v>
      </c>
      <c r="T237" s="40" t="n">
        <f aca="false">$E$234*(CHOOSE($L$234,Timing!I$7,Timing!I$8)-CHOOSE($L$234,Timing!H$7,Timing!H$8))</f>
        <v>0.056</v>
      </c>
      <c r="U237" s="40" t="n">
        <f aca="false">$E$234*(CHOOSE($L$234,Timing!J$7,Timing!J$8)-CHOOSE($L$234,Timing!I$7,Timing!I$8))</f>
        <v>0.0346666666666667</v>
      </c>
      <c r="V237" s="40" t="n">
        <f aca="false">$E$234*(CHOOSE($L$234,Timing!K$7,Timing!K$8)-CHOOSE($L$234,Timing!J$7,Timing!J$8))</f>
        <v>0.0346666666666667</v>
      </c>
      <c r="W237" s="40" t="n">
        <f aca="false">$E$234*(CHOOSE($L$234,Timing!L$7,Timing!L$8)-CHOOSE($L$234,Timing!K$7,Timing!K$8))</f>
        <v>0.0346666666666667</v>
      </c>
      <c r="X237" s="40" t="n">
        <f aca="false">$E$234*(CHOOSE($L$234,Timing!M$7,Timing!M$8)-CHOOSE($L$234,Timing!L$7,Timing!L$8))</f>
        <v>0.0293333333333333</v>
      </c>
      <c r="Y237" s="40" t="n">
        <f aca="false">$E$234*(CHOOSE($L$234,Timing!N$7,Timing!N$8)-CHOOSE($L$234,Timing!M$7,Timing!M$8))</f>
        <v>0.0293333333333334</v>
      </c>
      <c r="Z237" s="40" t="n">
        <f aca="false">$E$234*(CHOOSE($L$234,Timing!O$7,Timing!O$8)-CHOOSE($L$234,Timing!N$7,Timing!N$8))</f>
        <v>0.0293333333333333</v>
      </c>
      <c r="AA237" s="40" t="n">
        <f aca="false">$E$234*(CHOOSE($L$234,Timing!P$7,Timing!P$8)-CHOOSE($L$234,Timing!O$7,Timing!O$8))</f>
        <v>0.0186666666666667</v>
      </c>
      <c r="AB237" s="40" t="n">
        <f aca="false">$E$234*(CHOOSE($L$234,Timing!Q$7,Timing!Q$8)-CHOOSE($L$234,Timing!P$7,Timing!P$8))</f>
        <v>0.0186666666666667</v>
      </c>
      <c r="AC237" s="40" t="n">
        <f aca="false">$E$234*(CHOOSE($L$234,Timing!R$7,Timing!R$8)-CHOOSE($L$234,Timing!Q$7,Timing!Q$8))</f>
        <v>0.0186666666666667</v>
      </c>
      <c r="AD237" s="40" t="n">
        <f aca="false">$E$234*(CHOOSE($L$234,Timing!S$7,Timing!S$8)-CHOOSE($L$234,Timing!R$7,Timing!R$8))</f>
        <v>0.0186666666666667</v>
      </c>
      <c r="AE237" s="40" t="n">
        <f aca="false">$E$234*(CHOOSE($L$234,Timing!T$7,Timing!T$8)-CHOOSE($L$234,Timing!S$7,Timing!S$8))</f>
        <v>0.0186666666666667</v>
      </c>
      <c r="AF237" s="40" t="n">
        <f aca="false">$E$234*(CHOOSE($L$234,Timing!U$7,Timing!U$8)-CHOOSE($L$234,Timing!T$7,Timing!T$8))</f>
        <v>0.0186666666666667</v>
      </c>
      <c r="AG237" s="40" t="n">
        <f aca="false">$E$234*(CHOOSE($L$234,Timing!V$7,Timing!V$8)-CHOOSE($L$234,Timing!U$7,Timing!U$8))</f>
        <v>0.0133333333333334</v>
      </c>
      <c r="AH237" s="40" t="n">
        <f aca="false">$E$234*(CHOOSE($L$234,Timing!W$7,Timing!W$8)-CHOOSE($L$234,Timing!V$7,Timing!V$8))</f>
        <v>0.0133333333333333</v>
      </c>
      <c r="AI237" s="40" t="n">
        <f aca="false">$E$234*(CHOOSE($L$234,Timing!X$7,Timing!X$8)-CHOOSE($L$234,Timing!W$7,Timing!W$8))</f>
        <v>0.0133333333333333</v>
      </c>
      <c r="AJ237" s="40" t="n">
        <f aca="false">$E$234*(CHOOSE($L$234,Timing!Y$7,Timing!Y$8)-CHOOSE($L$234,Timing!X$7,Timing!X$8))</f>
        <v>0.0133333333333334</v>
      </c>
      <c r="AK237" s="40" t="n">
        <f aca="false">$E$234*(CHOOSE($L$234,Timing!Z$7,Timing!Z$8)-CHOOSE($L$234,Timing!Y$7,Timing!Y$8))</f>
        <v>0.0133333333333334</v>
      </c>
      <c r="AL237" s="40" t="n">
        <f aca="false">$E$234*(CHOOSE($L$234,Timing!AA$7,Timing!AA$8)-CHOOSE($L$234,Timing!Z$7,Timing!Z$8))</f>
        <v>0.0133333333333333</v>
      </c>
    </row>
    <row r="238" customFormat="false" ht="15" hidden="false" customHeight="false" outlineLevel="0" collapsed="false">
      <c r="B238" s="9" t="s">
        <v>186</v>
      </c>
      <c r="N238" s="42" t="n">
        <f aca="false">0</f>
        <v>0</v>
      </c>
      <c r="O238" s="42" t="n">
        <f aca="false">$D$234*(1+IF($C$234&lt;=0,0,MAX($C$234*O$5/12,Inputs!$C$8)))+$I$234*(O$5&gt;Inputs!$C$12)*$D$234*(1+Inputs!$C$11*(O$5-Inputs!$C$12)/12)</f>
        <v>1680</v>
      </c>
      <c r="P238" s="42" t="n">
        <f aca="false">$D$234*(1+IF($C$234&lt;=0,0,MAX($C$234*P$5/12,Inputs!$C$8)))+$I$234*(P$5&gt;Inputs!$C$12)*$D$234*(1+Inputs!$C$11*(P$5-Inputs!$C$12)/12)</f>
        <v>1680</v>
      </c>
      <c r="Q238" s="42" t="n">
        <f aca="false">$D$234*(1+IF($C$234&lt;=0,0,MAX($C$234*Q$5/12,Inputs!$C$8)))+$I$234*(Q$5&gt;Inputs!$C$12)*$D$234*(1+Inputs!$C$11*(Q$5-Inputs!$C$12)/12)</f>
        <v>1680</v>
      </c>
      <c r="R238" s="42" t="n">
        <f aca="false">$D$234*(1+IF($C$234&lt;=0,0,MAX($C$234*R$5/12,Inputs!$C$8)))+$I$234*(R$5&gt;Inputs!$C$12)*$D$234*(1+Inputs!$C$11*(R$5-Inputs!$C$12)/12)</f>
        <v>1680</v>
      </c>
      <c r="S238" s="42" t="n">
        <f aca="false">$D$234*(1+IF($C$234&lt;=0,0,MAX($C$234*S$5/12,Inputs!$C$8)))+$I$234*(S$5&gt;Inputs!$C$12)*$D$234*(1+Inputs!$C$11*(S$5-Inputs!$C$12)/12)</f>
        <v>1680</v>
      </c>
      <c r="T238" s="42" t="n">
        <f aca="false">$D$234*(1+IF($C$234&lt;=0,0,MAX($C$234*T$5/12,Inputs!$C$8)))+$I$234*(T$5&gt;Inputs!$C$12)*$D$234*(1+Inputs!$C$11*(T$5-Inputs!$C$12)/12)</f>
        <v>1680</v>
      </c>
      <c r="U238" s="42" t="n">
        <f aca="false">$D$234*(1+IF($C$234&lt;=0,0,MAX($C$234*U$5/12,Inputs!$C$8)))+$I$234*(U$5&gt;Inputs!$C$12)*$D$234*(1+Inputs!$C$11*(U$5-Inputs!$C$12)/12)</f>
        <v>1680</v>
      </c>
      <c r="V238" s="42" t="n">
        <f aca="false">$D$234*(1+IF($C$234&lt;=0,0,MAX($C$234*V$5/12,Inputs!$C$8)))+$I$234*(V$5&gt;Inputs!$C$12)*$D$234*(1+Inputs!$C$11*(V$5-Inputs!$C$12)/12)</f>
        <v>1680</v>
      </c>
      <c r="W238" s="42" t="n">
        <f aca="false">$D$234*(1+IF($C$234&lt;=0,0,MAX($C$234*W$5/12,Inputs!$C$8)))+$I$234*(W$5&gt;Inputs!$C$12)*$D$234*(1+Inputs!$C$11*(W$5-Inputs!$C$12)/12)</f>
        <v>1680</v>
      </c>
      <c r="X238" s="42" t="n">
        <f aca="false">$D$234*(1+IF($C$234&lt;=0,0,MAX($C$234*X$5/12,Inputs!$C$8)))+$I$234*(X$5&gt;Inputs!$C$12)*$D$234*(1+Inputs!$C$11*(X$5-Inputs!$C$12)/12)</f>
        <v>1680</v>
      </c>
      <c r="Y238" s="42" t="n">
        <f aca="false">$D$234*(1+IF($C$234&lt;=0,0,MAX($C$234*Y$5/12,Inputs!$C$8)))+$I$234*(Y$5&gt;Inputs!$C$12)*$D$234*(1+Inputs!$C$11*(Y$5-Inputs!$C$12)/12)</f>
        <v>1680</v>
      </c>
      <c r="Z238" s="42" t="n">
        <f aca="false">$D$234*(1+IF($C$234&lt;=0,0,MAX($C$234*Z$5/12,Inputs!$C$8)))+$I$234*(Z$5&gt;Inputs!$C$12)*$D$234*(1+Inputs!$C$11*(Z$5-Inputs!$C$12)/12)</f>
        <v>1680</v>
      </c>
      <c r="AA238" s="42" t="n">
        <f aca="false">$D$234*(1+IF($C$234&lt;=0,0,MAX($C$234*AA$5/12,Inputs!$C$8)))+$I$234*(AA$5&gt;Inputs!$C$12)*$D$234*(1+Inputs!$C$11*(AA$5-Inputs!$C$12)/12)</f>
        <v>3304</v>
      </c>
      <c r="AB238" s="42" t="n">
        <f aca="false">$D$234*(1+IF($C$234&lt;=0,0,MAX($C$234*AB$5/12,Inputs!$C$8)))+$I$234*(AB$5&gt;Inputs!$C$12)*$D$234*(1+Inputs!$C$11*(AB$5-Inputs!$C$12)/12)</f>
        <v>3328</v>
      </c>
      <c r="AC238" s="42" t="n">
        <f aca="false">$D$234*(1+IF($C$234&lt;=0,0,MAX($C$234*AC$5/12,Inputs!$C$8)))+$I$234*(AC$5&gt;Inputs!$C$12)*$D$234*(1+Inputs!$C$11*(AC$5-Inputs!$C$12)/12)</f>
        <v>3352</v>
      </c>
      <c r="AD238" s="42" t="n">
        <f aca="false">$D$234*(1+IF($C$234&lt;=0,0,MAX($C$234*AD$5/12,Inputs!$C$8)))+$I$234*(AD$5&gt;Inputs!$C$12)*$D$234*(1+Inputs!$C$11*(AD$5-Inputs!$C$12)/12)</f>
        <v>3376</v>
      </c>
      <c r="AE238" s="42" t="n">
        <f aca="false">$D$234*(1+IF($C$234&lt;=0,0,MAX($C$234*AE$5/12,Inputs!$C$8)))+$I$234*(AE$5&gt;Inputs!$C$12)*$D$234*(1+Inputs!$C$11*(AE$5-Inputs!$C$12)/12)</f>
        <v>3400</v>
      </c>
      <c r="AF238" s="42" t="n">
        <f aca="false">$D$234*(1+IF($C$234&lt;=0,0,MAX($C$234*AF$5/12,Inputs!$C$8)))+$I$234*(AF$5&gt;Inputs!$C$12)*$D$234*(1+Inputs!$C$11*(AF$5-Inputs!$C$12)/12)</f>
        <v>3424</v>
      </c>
      <c r="AG238" s="42" t="n">
        <f aca="false">$D$234*(1+IF($C$234&lt;=0,0,MAX($C$234*AG$5/12,Inputs!$C$8)))+$I$234*(AG$5&gt;Inputs!$C$12)*$D$234*(1+Inputs!$C$11*(AG$5-Inputs!$C$12)/12)</f>
        <v>3448</v>
      </c>
      <c r="AH238" s="42" t="n">
        <f aca="false">$D$234*(1+IF($C$234&lt;=0,0,MAX($C$234*AH$5/12,Inputs!$C$8)))+$I$234*(AH$5&gt;Inputs!$C$12)*$D$234*(1+Inputs!$C$11*(AH$5-Inputs!$C$12)/12)</f>
        <v>3472</v>
      </c>
      <c r="AI238" s="42" t="n">
        <f aca="false">$D$234*(1+IF($C$234&lt;=0,0,MAX($C$234*AI$5/12,Inputs!$C$8)))+$I$234*(AI$5&gt;Inputs!$C$12)*$D$234*(1+Inputs!$C$11*(AI$5-Inputs!$C$12)/12)</f>
        <v>3496</v>
      </c>
      <c r="AJ238" s="42" t="n">
        <f aca="false">$D$234*(1+IF($C$234&lt;=0,0,MAX($C$234*AJ$5/12,Inputs!$C$8)))+$I$234*(AJ$5&gt;Inputs!$C$12)*$D$234*(1+Inputs!$C$11*(AJ$5-Inputs!$C$12)/12)</f>
        <v>3520</v>
      </c>
      <c r="AK238" s="42" t="n">
        <f aca="false">$D$234*(1+IF($C$234&lt;=0,0,MAX($C$234*AK$5/12,Inputs!$C$8)))+$I$234*(AK$5&gt;Inputs!$C$12)*$D$234*(1+Inputs!$C$11*(AK$5-Inputs!$C$12)/12)</f>
        <v>3544</v>
      </c>
      <c r="AL238" s="42" t="n">
        <f aca="false">$D$234*(1+IF($C$234&lt;=0,0,MAX($C$234*AL$5/12,Inputs!$C$8)))+$I$234*(AL$5&gt;Inputs!$C$12)*$D$234*(1+Inputs!$C$11*(AL$5-Inputs!$C$12)/12)</f>
        <v>3568</v>
      </c>
    </row>
    <row r="239" customFormat="false" ht="15" hidden="false" customHeight="false" outlineLevel="0" collapsed="false">
      <c r="B239" s="31" t="s">
        <v>187</v>
      </c>
      <c r="N239" s="42" t="n">
        <f aca="false">-($D$234+$J$234)*(N$5=0)+IF(AND(N$5-$K$234&gt;=1,N$5-$K$234&lt;=Inputs!$C$13),INDEX($N$237:$AL$237,1,N$5-$K$234+1)*INDEX($N$238:$AL$238,1,N$5-$K$234+1),0)-$I$234*((N$5=Inputs!$C$12)*$C$236*$D$234+(N$5=Inputs!$C$13)*$D$236*($D$234+Inputs!$C$14))+$I$234*((N$5=Inputs!$C$15+$K$234)*$E$236*$I$236+(N$5=Inputs!$C$16+$K$234)*$F$236*$J$236+(N$5=Inputs!$C$17)*$G$236*$H$234*$H$236)</f>
        <v>-1610</v>
      </c>
      <c r="O239" s="42" t="n">
        <f aca="false">-($D$234+$J$234)*(O$5=0)+IF(AND(O$5-$K$234&gt;=1,O$5-$K$234&lt;=Inputs!$C$13),INDEX($N$237:$AL$237,1,O$5-$K$234+1)*INDEX($N$238:$AL$238,1,O$5-$K$234+1),0)-$I$234*((O$5=Inputs!$C$12)*$C$236*$D$234+(O$5=Inputs!$C$13)*$D$236*($D$234+Inputs!$C$14))+$I$234*((O$5=Inputs!$C$15+$K$234)*$E$236*$I$236+(O$5=Inputs!$C$16+$K$234)*$F$236*$J$236+(O$5=Inputs!$C$17)*$G$236*$H$234*$H$236)</f>
        <v>0</v>
      </c>
      <c r="P239" s="42" t="n">
        <f aca="false">-($D$234+$J$234)*(P$5=0)+IF(AND(P$5-$K$234&gt;=1,P$5-$K$234&lt;=Inputs!$C$13),INDEX($N$237:$AL$237,1,P$5-$K$234+1)*INDEX($N$238:$AL$238,1,P$5-$K$234+1),0)-$I$234*((P$5=Inputs!$C$12)*$C$236*$D$234+(P$5=Inputs!$C$13)*$D$236*($D$234+Inputs!$C$14))+$I$234*((P$5=Inputs!$C$15+$K$234)*$E$236*$I$236+(P$5=Inputs!$C$16+$K$234)*$F$236*$J$236+(P$5=Inputs!$C$17)*$G$236*$H$234*$H$236)</f>
        <v>161.28</v>
      </c>
      <c r="Q239" s="42" t="n">
        <f aca="false">-($D$234+$J$234)*(Q$5=0)+IF(AND(Q$5-$K$234&gt;=1,Q$5-$K$234&lt;=Inputs!$C$13),INDEX($N$237:$AL$237,1,Q$5-$K$234+1)*INDEX($N$238:$AL$238,1,Q$5-$K$234+1),0)-$I$234*((Q$5=Inputs!$C$12)*$C$236*$D$234+(Q$5=Inputs!$C$13)*$D$236*($D$234+Inputs!$C$14))+$I$234*((Q$5=Inputs!$C$15+$K$234)*$E$236*$I$236+(Q$5=Inputs!$C$16+$K$234)*$F$236*$J$236+(Q$5=Inputs!$C$17)*$G$236*$H$234*$H$236)</f>
        <v>134.4</v>
      </c>
      <c r="R239" s="42" t="n">
        <f aca="false">-($D$234+$J$234)*(R$5=0)+IF(AND(R$5-$K$234&gt;=1,R$5-$K$234&lt;=Inputs!$C$13),INDEX($N$237:$AL$237,1,R$5-$K$234+1)*INDEX($N$238:$AL$238,1,R$5-$K$234+1),0)-$I$234*((R$5=Inputs!$C$12)*$C$236*$D$234+(R$5=Inputs!$C$13)*$D$236*($D$234+Inputs!$C$14))+$I$234*((R$5=Inputs!$C$15+$K$234)*$E$236*$I$236+(R$5=Inputs!$C$16+$K$234)*$F$236*$J$236+(R$5=Inputs!$C$17)*$G$236*$H$234*$H$236)</f>
        <v>120.96</v>
      </c>
      <c r="S239" s="42" t="n">
        <f aca="false">-($D$234+$J$234)*(S$5=0)+IF(AND(S$5-$K$234&gt;=1,S$5-$K$234&lt;=Inputs!$C$13),INDEX($N$237:$AL$237,1,S$5-$K$234+1)*INDEX($N$238:$AL$238,1,S$5-$K$234+1),0)-$I$234*((S$5=Inputs!$C$12)*$C$236*$D$234+(S$5=Inputs!$C$13)*$D$236*($D$234+Inputs!$C$14))+$I$234*((S$5=Inputs!$C$15+$K$234)*$E$236*$I$236+(S$5=Inputs!$C$16+$K$234)*$F$236*$J$236+(S$5=Inputs!$C$17)*$G$236*$H$234*$H$236)</f>
        <v>94.08</v>
      </c>
      <c r="T239" s="42" t="n">
        <f aca="false">-($D$234+$J$234)*(T$5=0)+IF(AND(T$5-$K$234&gt;=1,T$5-$K$234&lt;=Inputs!$C$13),INDEX($N$237:$AL$237,1,T$5-$K$234+1)*INDEX($N$238:$AL$238,1,T$5-$K$234+1),0)-$I$234*((T$5=Inputs!$C$12)*$C$236*$D$234+(T$5=Inputs!$C$13)*$D$236*($D$234+Inputs!$C$14))+$I$234*((T$5=Inputs!$C$15+$K$234)*$E$236*$I$236+(T$5=Inputs!$C$16+$K$234)*$F$236*$J$236+(T$5=Inputs!$C$17)*$G$236*$H$234*$H$236)</f>
        <v>94.08</v>
      </c>
      <c r="U239" s="42" t="n">
        <f aca="false">-($D$234+$J$234)*(U$5=0)+IF(AND(U$5-$K$234&gt;=1,U$5-$K$234&lt;=Inputs!$C$13),INDEX($N$237:$AL$237,1,U$5-$K$234+1)*INDEX($N$238:$AL$238,1,U$5-$K$234+1),0)-$I$234*((U$5=Inputs!$C$12)*$C$236*$D$234+(U$5=Inputs!$C$13)*$D$236*($D$234+Inputs!$C$14))+$I$234*((U$5=Inputs!$C$15+$K$234)*$E$236*$I$236+(U$5=Inputs!$C$16+$K$234)*$F$236*$J$236+(U$5=Inputs!$C$17)*$G$236*$H$234*$H$236)</f>
        <v>94.08</v>
      </c>
      <c r="V239" s="42" t="n">
        <f aca="false">-($D$234+$J$234)*(V$5=0)+IF(AND(V$5-$K$234&gt;=1,V$5-$K$234&lt;=Inputs!$C$13),INDEX($N$237:$AL$237,1,V$5-$K$234+1)*INDEX($N$238:$AL$238,1,V$5-$K$234+1),0)-$I$234*((V$5=Inputs!$C$12)*$C$236*$D$234+(V$5=Inputs!$C$13)*$D$236*($D$234+Inputs!$C$14))+$I$234*((V$5=Inputs!$C$15+$K$234)*$E$236*$I$236+(V$5=Inputs!$C$16+$K$234)*$F$236*$J$236+(V$5=Inputs!$C$17)*$G$236*$H$234*$H$236)</f>
        <v>58.24</v>
      </c>
      <c r="W239" s="42" t="n">
        <f aca="false">-($D$234+$J$234)*(W$5=0)+IF(AND(W$5-$K$234&gt;=1,W$5-$K$234&lt;=Inputs!$C$13),INDEX($N$237:$AL$237,1,W$5-$K$234+1)*INDEX($N$238:$AL$238,1,W$5-$K$234+1),0)-$I$234*((W$5=Inputs!$C$12)*$C$236*$D$234+(W$5=Inputs!$C$13)*$D$236*($D$234+Inputs!$C$14))+$I$234*((W$5=Inputs!$C$15+$K$234)*$E$236*$I$236+(W$5=Inputs!$C$16+$K$234)*$F$236*$J$236+(W$5=Inputs!$C$17)*$G$236*$H$234*$H$236)</f>
        <v>58.24</v>
      </c>
      <c r="X239" s="42" t="n">
        <f aca="false">-($D$234+$J$234)*(X$5=0)+IF(AND(X$5-$K$234&gt;=1,X$5-$K$234&lt;=Inputs!$C$13),INDEX($N$237:$AL$237,1,X$5-$K$234+1)*INDEX($N$238:$AL$238,1,X$5-$K$234+1),0)-$I$234*((X$5=Inputs!$C$12)*$C$236*$D$234+(X$5=Inputs!$C$13)*$D$236*($D$234+Inputs!$C$14))+$I$234*((X$5=Inputs!$C$15+$K$234)*$E$236*$I$236+(X$5=Inputs!$C$16+$K$234)*$F$236*$J$236+(X$5=Inputs!$C$17)*$G$236*$H$234*$H$236)</f>
        <v>58.24</v>
      </c>
      <c r="Y239" s="42" t="n">
        <f aca="false">-($D$234+$J$234)*(Y$5=0)+IF(AND(Y$5-$K$234&gt;=1,Y$5-$K$234&lt;=Inputs!$C$13),INDEX($N$237:$AL$237,1,Y$5-$K$234+1)*INDEX($N$238:$AL$238,1,Y$5-$K$234+1),0)-$I$234*((Y$5=Inputs!$C$12)*$C$236*$D$234+(Y$5=Inputs!$C$13)*$D$236*($D$234+Inputs!$C$14))+$I$234*((Y$5=Inputs!$C$15+$K$234)*$E$236*$I$236+(Y$5=Inputs!$C$16+$K$234)*$F$236*$J$236+(Y$5=Inputs!$C$17)*$G$236*$H$234*$H$236)</f>
        <v>49.2799999999999</v>
      </c>
      <c r="Z239" s="42" t="n">
        <f aca="false">-($D$234+$J$234)*(Z$5=0)+IF(AND(Z$5-$K$234&gt;=1,Z$5-$K$234&lt;=Inputs!$C$13),INDEX($N$237:$AL$237,1,Z$5-$K$234+1)*INDEX($N$238:$AL$238,1,Z$5-$K$234+1),0)-$I$234*((Z$5=Inputs!$C$12)*$C$236*$D$234+(Z$5=Inputs!$C$13)*$D$236*($D$234+Inputs!$C$14))+$I$234*((Z$5=Inputs!$C$15+$K$234)*$E$236*$I$236+(Z$5=Inputs!$C$16+$K$234)*$F$236*$J$236+(Z$5=Inputs!$C$17)*$G$236*$H$234*$H$236)</f>
        <v>-577.92</v>
      </c>
      <c r="AA239" s="42" t="n">
        <f aca="false">-($D$234+$J$234)*(AA$5=0)+IF(AND(AA$5-$K$234&gt;=1,AA$5-$K$234&lt;=Inputs!$C$13),INDEX($N$237:$AL$237,1,AA$5-$K$234+1)*INDEX($N$238:$AL$238,1,AA$5-$K$234+1),0)-$I$234*((AA$5=Inputs!$C$12)*$C$236*$D$234+(AA$5=Inputs!$C$13)*$D$236*($D$234+Inputs!$C$14))+$I$234*((AA$5=Inputs!$C$15+$K$234)*$E$236*$I$236+(AA$5=Inputs!$C$16+$K$234)*$F$236*$J$236+(AA$5=Inputs!$C$17)*$G$236*$H$234*$H$236)</f>
        <v>49.2799999999999</v>
      </c>
      <c r="AB239" s="42" t="n">
        <f aca="false">-($D$234+$J$234)*(AB$5=0)+IF(AND(AB$5-$K$234&gt;=1,AB$5-$K$234&lt;=Inputs!$C$13),INDEX($N$237:$AL$237,1,AB$5-$K$234+1)*INDEX($N$238:$AL$238,1,AB$5-$K$234+1),0)-$I$234*((AB$5=Inputs!$C$12)*$C$236*$D$234+(AB$5=Inputs!$C$13)*$D$236*($D$234+Inputs!$C$14))+$I$234*((AB$5=Inputs!$C$15+$K$234)*$E$236*$I$236+(AB$5=Inputs!$C$16+$K$234)*$F$236*$J$236+(AB$5=Inputs!$C$17)*$G$236*$H$234*$H$236)</f>
        <v>61.6746666666666</v>
      </c>
      <c r="AC239" s="42" t="n">
        <f aca="false">-($D$234+$J$234)*(AC$5=0)+IF(AND(AC$5-$K$234&gt;=1,AC$5-$K$234&lt;=Inputs!$C$13),INDEX($N$237:$AL$237,1,AC$5-$K$234+1)*INDEX($N$238:$AL$238,1,AC$5-$K$234+1),0)-$I$234*((AC$5=Inputs!$C$12)*$C$236*$D$234+(AC$5=Inputs!$C$13)*$D$236*($D$234+Inputs!$C$14))+$I$234*((AC$5=Inputs!$C$15+$K$234)*$E$236*$I$236+(AC$5=Inputs!$C$16+$K$234)*$F$236*$J$236+(AC$5=Inputs!$C$17)*$G$236*$H$234*$H$236)</f>
        <v>62.1226666666666</v>
      </c>
      <c r="AD239" s="42" t="n">
        <f aca="false">-($D$234+$J$234)*(AD$5=0)+IF(AND(AD$5-$K$234&gt;=1,AD$5-$K$234&lt;=Inputs!$C$13),INDEX($N$237:$AL$237,1,AD$5-$K$234+1)*INDEX($N$238:$AL$238,1,AD$5-$K$234+1),0)-$I$234*((AD$5=Inputs!$C$12)*$C$236*$D$234+(AD$5=Inputs!$C$13)*$D$236*($D$234+Inputs!$C$14))+$I$234*((AD$5=Inputs!$C$15+$K$234)*$E$236*$I$236+(AD$5=Inputs!$C$16+$K$234)*$F$236*$J$236+(AD$5=Inputs!$C$17)*$G$236*$H$234*$H$236)</f>
        <v>62.5706666666669</v>
      </c>
      <c r="AE239" s="42" t="n">
        <f aca="false">-($D$234+$J$234)*(AE$5=0)+IF(AND(AE$5-$K$234&gt;=1,AE$5-$K$234&lt;=Inputs!$C$13),INDEX($N$237:$AL$237,1,AE$5-$K$234+1)*INDEX($N$238:$AL$238,1,AE$5-$K$234+1),0)-$I$234*((AE$5=Inputs!$C$12)*$C$236*$D$234+(AE$5=Inputs!$C$13)*$D$236*($D$234+Inputs!$C$14))+$I$234*((AE$5=Inputs!$C$15+$K$234)*$E$236*$I$236+(AE$5=Inputs!$C$16+$K$234)*$F$236*$J$236+(AE$5=Inputs!$C$17)*$G$236*$H$234*$H$236)</f>
        <v>63.0186666666666</v>
      </c>
      <c r="AF239" s="42" t="n">
        <f aca="false">-($D$234+$J$234)*(AF$5=0)+IF(AND(AF$5-$K$234&gt;=1,AF$5-$K$234&lt;=Inputs!$C$13),INDEX($N$237:$AL$237,1,AF$5-$K$234+1)*INDEX($N$238:$AL$238,1,AF$5-$K$234+1),0)-$I$234*((AF$5=Inputs!$C$12)*$C$236*$D$234+(AF$5=Inputs!$C$13)*$D$236*($D$234+Inputs!$C$14))+$I$234*((AF$5=Inputs!$C$15+$K$234)*$E$236*$I$236+(AF$5=Inputs!$C$16+$K$234)*$F$236*$J$236+(AF$5=Inputs!$C$17)*$G$236*$H$234*$H$236)</f>
        <v>63.4666666666666</v>
      </c>
      <c r="AG239" s="42" t="n">
        <f aca="false">-($D$234+$J$234)*(AG$5=0)+IF(AND(AG$5-$K$234&gt;=1,AG$5-$K$234&lt;=Inputs!$C$13),INDEX($N$237:$AL$237,1,AG$5-$K$234+1)*INDEX($N$238:$AL$238,1,AG$5-$K$234+1),0)-$I$234*((AG$5=Inputs!$C$12)*$C$236*$D$234+(AG$5=Inputs!$C$13)*$D$236*($D$234+Inputs!$C$14))+$I$234*((AG$5=Inputs!$C$15+$K$234)*$E$236*$I$236+(AG$5=Inputs!$C$16+$K$234)*$F$236*$J$236+(AG$5=Inputs!$C$17)*$G$236*$H$234*$H$236)</f>
        <v>63.9146666666666</v>
      </c>
      <c r="AH239" s="42" t="n">
        <f aca="false">-($D$234+$J$234)*(AH$5=0)+IF(AND(AH$5-$K$234&gt;=1,AH$5-$K$234&lt;=Inputs!$C$13),INDEX($N$237:$AL$237,1,AH$5-$K$234+1)*INDEX($N$238:$AL$238,1,AH$5-$K$234+1),0)-$I$234*((AH$5=Inputs!$C$12)*$C$236*$D$234+(AH$5=Inputs!$C$13)*$D$236*($D$234+Inputs!$C$14))+$I$234*((AH$5=Inputs!$C$15+$K$234)*$E$236*$I$236+(AH$5=Inputs!$C$16+$K$234)*$F$236*$J$236+(AH$5=Inputs!$C$17)*$G$236*$H$234*$H$236)</f>
        <v>45.9733333333335</v>
      </c>
      <c r="AI239" s="42" t="n">
        <f aca="false">-($D$234+$J$234)*(AI$5=0)+IF(AND(AI$5-$K$234&gt;=1,AI$5-$K$234&lt;=Inputs!$C$13),INDEX($N$237:$AL$237,1,AI$5-$K$234+1)*INDEX($N$238:$AL$238,1,AI$5-$K$234+1),0)-$I$234*((AI$5=Inputs!$C$12)*$C$236*$D$234+(AI$5=Inputs!$C$13)*$D$236*($D$234+Inputs!$C$14))+$I$234*((AI$5=Inputs!$C$15+$K$234)*$E$236*$I$236+(AI$5=Inputs!$C$16+$K$234)*$F$236*$J$236+(AI$5=Inputs!$C$17)*$G$236*$H$234*$H$236)</f>
        <v>46.2933333333332</v>
      </c>
      <c r="AJ239" s="42" t="n">
        <f aca="false">-($D$234+$J$234)*(AJ$5=0)+IF(AND(AJ$5-$K$234&gt;=1,AJ$5-$K$234&lt;=Inputs!$C$13),INDEX($N$237:$AL$237,1,AJ$5-$K$234+1)*INDEX($N$238:$AL$238,1,AJ$5-$K$234+1),0)-$I$234*((AJ$5=Inputs!$C$12)*$C$236*$D$234+(AJ$5=Inputs!$C$13)*$D$236*($D$234+Inputs!$C$14))+$I$234*((AJ$5=Inputs!$C$15+$K$234)*$E$236*$I$236+(AJ$5=Inputs!$C$16+$K$234)*$F$236*$J$236+(AJ$5=Inputs!$C$17)*$G$236*$H$234*$H$236)</f>
        <v>46.6133333333332</v>
      </c>
      <c r="AK239" s="42" t="n">
        <f aca="false">-($D$234+$J$234)*(AK$5=0)+IF(AND(AK$5-$K$234&gt;=1,AK$5-$K$234&lt;=Inputs!$C$13),INDEX($N$237:$AL$237,1,AK$5-$K$234+1)*INDEX($N$238:$AL$238,1,AK$5-$K$234+1),0)-$I$234*((AK$5=Inputs!$C$12)*$C$236*$D$234+(AK$5=Inputs!$C$13)*$D$236*($D$234+Inputs!$C$14))+$I$234*((AK$5=Inputs!$C$15+$K$234)*$E$236*$I$236+(AK$5=Inputs!$C$16+$K$234)*$F$236*$J$236+(AK$5=Inputs!$C$17)*$G$236*$H$234*$H$236)</f>
        <v>46.9333333333335</v>
      </c>
      <c r="AL239" s="42" t="n">
        <f aca="false">-($D$234+$J$234)*(AL$5=0)+IF(AND(AL$5-$K$234&gt;=1,AL$5-$K$234&lt;=Inputs!$C$13),INDEX($N$237:$AL$237,1,AL$5-$K$234+1)*INDEX($N$238:$AL$238,1,AL$5-$K$234+1),0)-$I$234*((AL$5=Inputs!$C$12)*$C$236*$D$234+(AL$5=Inputs!$C$13)*$D$236*($D$234+Inputs!$C$14))+$I$234*((AL$5=Inputs!$C$15+$K$234)*$E$236*$I$236+(AL$5=Inputs!$C$16+$K$234)*$F$236*$J$236+(AL$5=Inputs!$C$17)*$G$236*$H$234*$H$236)</f>
        <v>-632.746666666666</v>
      </c>
      <c r="AM239" s="42" t="n">
        <f aca="false">-($D$234+$J$234)*(AM$5=0)+IF(AND(AM$5-$K$234&gt;=1,AM$5-$K$234&lt;=Inputs!$C$13),INDEX($N$237:$AL$237,1,AM$5-$K$234+1)*INDEX($N$238:$AL$238,1,AM$5-$K$234+1),0)-$I$234*((AM$5=Inputs!$C$12)*$C$236*$D$234+(AM$5=Inputs!$C$13)*$D$236*($D$234+Inputs!$C$14))+$I$234*((AM$5=Inputs!$C$15+$K$234)*$E$236*$I$236+(AM$5=Inputs!$C$16+$K$234)*$F$236*$J$236+(AM$5=Inputs!$C$17)*$G$236*$H$234*$H$236)</f>
        <v>47.5733333333332</v>
      </c>
      <c r="AN239" s="42" t="n">
        <f aca="false">-($D$234+$J$234)*(AN$5=0)+IF(AND(AN$5-$K$234&gt;=1,AN$5-$K$234&lt;=Inputs!$C$13),INDEX($N$237:$AL$237,1,AN$5-$K$234+1)*INDEX($N$238:$AL$238,1,AN$5-$K$234+1),0)-$I$234*((AN$5=Inputs!$C$12)*$C$236*$D$234+(AN$5=Inputs!$C$13)*$D$236*($D$234+Inputs!$C$14))+$I$234*((AN$5=Inputs!$C$15+$K$234)*$E$236*$I$236+(AN$5=Inputs!$C$16+$K$234)*$F$236*$J$236+(AN$5=Inputs!$C$17)*$G$236*$H$234*$H$236)</f>
        <v>0</v>
      </c>
      <c r="AO239" s="42" t="n">
        <f aca="false">-($D$234+$J$234)*(AO$5=0)+IF(AND(AO$5-$K$234&gt;=1,AO$5-$K$234&lt;=Inputs!$C$13),INDEX($N$237:$AL$237,1,AO$5-$K$234+1)*INDEX($N$238:$AL$238,1,AO$5-$K$234+1),0)-$I$234*((AO$5=Inputs!$C$12)*$C$236*$D$234+(AO$5=Inputs!$C$13)*$D$236*($D$234+Inputs!$C$14))+$I$234*((AO$5=Inputs!$C$15+$K$234)*$E$236*$I$236+(AO$5=Inputs!$C$16+$K$234)*$F$236*$J$236+(AO$5=Inputs!$C$17)*$G$236*$H$234*$H$236)</f>
        <v>0</v>
      </c>
      <c r="AP239" s="42" t="n">
        <f aca="false">-($D$234+$J$234)*(AP$5=0)+IF(AND(AP$5-$K$234&gt;=1,AP$5-$K$234&lt;=Inputs!$C$13),INDEX($N$237:$AL$237,1,AP$5-$K$234+1)*INDEX($N$238:$AL$238,1,AP$5-$K$234+1),0)-$I$234*((AP$5=Inputs!$C$12)*$C$236*$D$234+(AP$5=Inputs!$C$13)*$D$236*($D$234+Inputs!$C$14))+$I$234*((AP$5=Inputs!$C$15+$K$234)*$E$236*$I$236+(AP$5=Inputs!$C$16+$K$234)*$F$236*$J$236+(AP$5=Inputs!$C$17)*$G$236*$H$234*$H$236)</f>
        <v>568.96</v>
      </c>
      <c r="AQ239" s="42" t="n">
        <f aca="false">-($D$234+$J$234)*(AQ$5=0)+IF(AND(AQ$5-$K$234&gt;=1,AQ$5-$K$234&lt;=Inputs!$C$13),INDEX($N$237:$AL$237,1,AQ$5-$K$234+1)*INDEX($N$238:$AL$238,1,AQ$5-$K$234+1),0)-$I$234*((AQ$5=Inputs!$C$12)*$C$236*$D$234+(AQ$5=Inputs!$C$13)*$D$236*($D$234+Inputs!$C$14))+$I$234*((AQ$5=Inputs!$C$15+$K$234)*$E$236*$I$236+(AQ$5=Inputs!$C$16+$K$234)*$F$236*$J$236+(AQ$5=Inputs!$C$17)*$G$236*$H$234*$H$236)</f>
        <v>0</v>
      </c>
      <c r="AR239" s="42" t="n">
        <f aca="false">-($D$234+$J$234)*(AR$5=0)+IF(AND(AR$5-$K$234&gt;=1,AR$5-$K$234&lt;=Inputs!$C$13),INDEX($N$237:$AL$237,1,AR$5-$K$234+1)*INDEX($N$238:$AL$238,1,AR$5-$K$234+1),0)-$I$234*((AR$5=Inputs!$C$12)*$C$236*$D$234+(AR$5=Inputs!$C$13)*$D$236*($D$234+Inputs!$C$14))+$I$234*((AR$5=Inputs!$C$15+$K$234)*$E$236*$I$236+(AR$5=Inputs!$C$16+$K$234)*$F$236*$J$236+(AR$5=Inputs!$C$17)*$G$236*$H$234*$H$236)</f>
        <v>0</v>
      </c>
      <c r="AS239" s="42" t="n">
        <f aca="false">-($D$234+$J$234)*(AS$5=0)+IF(AND(AS$5-$K$234&gt;=1,AS$5-$K$234&lt;=Inputs!$C$13),INDEX($N$237:$AL$237,1,AS$5-$K$234+1)*INDEX($N$238:$AL$238,1,AS$5-$K$234+1),0)-$I$234*((AS$5=Inputs!$C$12)*$C$236*$D$234+(AS$5=Inputs!$C$13)*$D$236*($D$234+Inputs!$C$14))+$I$234*((AS$5=Inputs!$C$15+$K$234)*$E$236*$I$236+(AS$5=Inputs!$C$16+$K$234)*$F$236*$J$236+(AS$5=Inputs!$C$17)*$G$236*$H$234*$H$236)</f>
        <v>435.36</v>
      </c>
      <c r="AT239" s="42" t="n">
        <f aca="false">-($D$234+$J$234)*(AT$5=0)+IF(AND(AT$5-$K$234&gt;=1,AT$5-$K$234&lt;=Inputs!$C$13),INDEX($N$237:$AL$237,1,AT$5-$K$234+1)*INDEX($N$238:$AL$238,1,AT$5-$K$234+1),0)-$I$234*((AT$5=Inputs!$C$12)*$C$236*$D$234+(AT$5=Inputs!$C$13)*$D$236*($D$234+Inputs!$C$14))+$I$234*((AT$5=Inputs!$C$15+$K$234)*$E$236*$I$236+(AT$5=Inputs!$C$16+$K$234)*$F$236*$J$236+(AT$5=Inputs!$C$17)*$G$236*$H$234*$H$236)</f>
        <v>0</v>
      </c>
      <c r="AU239" s="42" t="n">
        <f aca="false">-($D$234+$J$234)*(AU$5=0)+IF(AND(AU$5-$K$234&gt;=1,AU$5-$K$234&lt;=Inputs!$C$13),INDEX($N$237:$AL$237,1,AU$5-$K$234+1)*INDEX($N$238:$AL$238,1,AU$5-$K$234+1),0)-$I$234*((AU$5=Inputs!$C$12)*$C$236*$D$234+(AU$5=Inputs!$C$13)*$D$236*($D$234+Inputs!$C$14))+$I$234*((AU$5=Inputs!$C$15+$K$234)*$E$236*$I$236+(AU$5=Inputs!$C$16+$K$234)*$F$236*$J$236+(AU$5=Inputs!$C$17)*$G$236*$H$234*$H$236)</f>
        <v>0</v>
      </c>
      <c r="AV239" s="42" t="n">
        <f aca="false">-($D$234+$J$234)*(AV$5=0)+IF(AND(AV$5-$K$234&gt;=1,AV$5-$K$234&lt;=Inputs!$C$13),INDEX($N$237:$AL$237,1,AV$5-$K$234+1)*INDEX($N$238:$AL$238,1,AV$5-$K$234+1),0)-$I$234*((AV$5=Inputs!$C$12)*$C$236*$D$234+(AV$5=Inputs!$C$13)*$D$236*($D$234+Inputs!$C$14))+$I$234*((AV$5=Inputs!$C$15+$K$234)*$E$236*$I$236+(AV$5=Inputs!$C$16+$K$234)*$F$236*$J$236+(AV$5=Inputs!$C$17)*$G$236*$H$234*$H$236)</f>
        <v>0</v>
      </c>
      <c r="AW239" s="42" t="n">
        <f aca="false">-($D$234+$J$234)*(AW$5=0)+IF(AND(AW$5-$K$234&gt;=1,AW$5-$K$234&lt;=Inputs!$C$13),INDEX($N$237:$AL$237,1,AW$5-$K$234+1)*INDEX($N$238:$AL$238,1,AW$5-$K$234+1),0)-$I$234*((AW$5=Inputs!$C$12)*$C$236*$D$234+(AW$5=Inputs!$C$13)*$D$236*($D$234+Inputs!$C$14))+$I$234*((AW$5=Inputs!$C$15+$K$234)*$E$236*$I$236+(AW$5=Inputs!$C$16+$K$234)*$F$236*$J$236+(AW$5=Inputs!$C$17)*$G$236*$H$234*$H$236)</f>
        <v>0</v>
      </c>
      <c r="AX239" s="42" t="n">
        <f aca="false">-($D$234+$J$234)*(AX$5=0)+IF(AND(AX$5-$K$234&gt;=1,AX$5-$K$234&lt;=Inputs!$C$13),INDEX($N$237:$AL$237,1,AX$5-$K$234+1)*INDEX($N$238:$AL$238,1,AX$5-$K$234+1),0)-$I$234*((AX$5=Inputs!$C$12)*$C$236*$D$234+(AX$5=Inputs!$C$13)*$D$236*($D$234+Inputs!$C$14))+$I$234*((AX$5=Inputs!$C$15+$K$234)*$E$236*$I$236+(AX$5=Inputs!$C$16+$K$234)*$F$236*$J$236+(AX$5=Inputs!$C$17)*$G$236*$H$234*$H$236)</f>
        <v>277.2</v>
      </c>
      <c r="AY239" s="42" t="n">
        <f aca="false">-($D$234+$J$234)*(AY$5=0)+IF(AND(AY$5-$K$234&gt;=1,AY$5-$K$234&lt;=Inputs!$C$13),INDEX($N$237:$AL$237,1,AY$5-$K$234+1)*INDEX($N$238:$AL$238,1,AY$5-$K$234+1),0)-$I$234*((AY$5=Inputs!$C$12)*$C$236*$D$234+(AY$5=Inputs!$C$13)*$D$236*($D$234+Inputs!$C$14))+$I$234*((AY$5=Inputs!$C$15+$K$234)*$E$236*$I$236+(AY$5=Inputs!$C$16+$K$234)*$F$236*$J$236+(AY$5=Inputs!$C$17)*$G$236*$H$234*$H$236)</f>
        <v>0</v>
      </c>
    </row>
    <row r="241" customFormat="false" ht="15" hidden="false" customHeight="false" outlineLevel="0" collapsed="false">
      <c r="B241" s="7" t="s">
        <v>213</v>
      </c>
      <c r="C241" s="8"/>
      <c r="D241" s="8"/>
      <c r="E241" s="8"/>
      <c r="F241" s="8"/>
      <c r="G241" s="8"/>
      <c r="H241" s="8"/>
      <c r="I241" s="8"/>
      <c r="J241" s="8"/>
      <c r="K241" s="8"/>
      <c r="L241" s="8"/>
    </row>
    <row r="242" customFormat="false" ht="30" hidden="false" customHeight="true" outlineLevel="0" collapsed="false">
      <c r="B242" s="37"/>
      <c r="C242" s="38" t="s">
        <v>169</v>
      </c>
      <c r="D242" s="38" t="s">
        <v>170</v>
      </c>
      <c r="E242" s="38" t="s">
        <v>171</v>
      </c>
      <c r="F242" s="38" t="s">
        <v>43</v>
      </c>
      <c r="G242" s="38" t="s">
        <v>44</v>
      </c>
      <c r="H242" s="38" t="s">
        <v>45</v>
      </c>
      <c r="I242" s="38" t="s">
        <v>172</v>
      </c>
      <c r="J242" s="38" t="s">
        <v>90</v>
      </c>
      <c r="K242" s="38" t="s">
        <v>89</v>
      </c>
      <c r="L242" s="38" t="s">
        <v>173</v>
      </c>
    </row>
    <row r="243" customFormat="false" ht="15" hidden="false" customHeight="false" outlineLevel="0" collapsed="false">
      <c r="B243" s="39" t="s">
        <v>174</v>
      </c>
      <c r="C243" s="26" t="n">
        <f aca="false">Class_IRR!$E$5</f>
        <v>0.03</v>
      </c>
      <c r="D243" s="30" t="n">
        <f aca="false">Inputs!$E$26</f>
        <v>1600</v>
      </c>
      <c r="E243" s="26" t="n">
        <f aca="false">Inputs!$F$26</f>
        <v>0.8</v>
      </c>
      <c r="F243" s="25" t="n">
        <f aca="false">Inputs!$G$26</f>
        <v>0.4</v>
      </c>
      <c r="G243" s="25" t="n">
        <f aca="false">Inputs!$H$26</f>
        <v>0.5</v>
      </c>
      <c r="H243" s="25" t="n">
        <f aca="false">Inputs!$I$26</f>
        <v>0.7</v>
      </c>
      <c r="I243" s="22" t="n">
        <f aca="false">Inputs!$J$26</f>
        <v>1</v>
      </c>
      <c r="J243" s="23" t="n">
        <f aca="false">Inputs!$C$9</f>
        <v>10</v>
      </c>
      <c r="K243" s="22" t="n">
        <f aca="false">Inputs!$C$10</f>
        <v>1</v>
      </c>
      <c r="L243" s="22" t="n">
        <f aca="false">1</f>
        <v>1</v>
      </c>
    </row>
    <row r="244" customFormat="false" ht="30" hidden="false" customHeight="true" outlineLevel="0" collapsed="false">
      <c r="B244" s="37"/>
      <c r="C244" s="38" t="s">
        <v>175</v>
      </c>
      <c r="D244" s="38" t="s">
        <v>176</v>
      </c>
      <c r="E244" s="38" t="s">
        <v>177</v>
      </c>
      <c r="F244" s="38" t="s">
        <v>178</v>
      </c>
      <c r="G244" s="38" t="s">
        <v>112</v>
      </c>
      <c r="H244" s="38" t="s">
        <v>179</v>
      </c>
      <c r="I244" s="38" t="s">
        <v>180</v>
      </c>
      <c r="J244" s="38" t="s">
        <v>181</v>
      </c>
      <c r="K244" s="38" t="s">
        <v>182</v>
      </c>
      <c r="L244" s="38" t="s">
        <v>183</v>
      </c>
    </row>
    <row r="245" customFormat="false" ht="15" hidden="false" customHeight="false" outlineLevel="0" collapsed="false">
      <c r="B245" s="39" t="s">
        <v>184</v>
      </c>
      <c r="C245" s="40" t="n">
        <f aca="false">1-$E$243*CHOOSE($L$243,INDEX(Timing!$C$7:$AA$7,1,Inputs!$C$12+1),INDEX(Timing!$C$8:$AA$8,1,Inputs!$C$12+1))</f>
        <v>0.392</v>
      </c>
      <c r="D245" s="40" t="n">
        <f aca="false">1-$E$243*CHOOSE($L$243,INDEX(Timing!$C$7:$AA$7,1,Inputs!$C$13+1),INDEX(Timing!$C$8:$AA$8,1,Inputs!$C$13+1))</f>
        <v>0.2</v>
      </c>
      <c r="E245" s="40" t="n">
        <f aca="false">$I$243*$D$245*$F$243</f>
        <v>0.08</v>
      </c>
      <c r="F245" s="40" t="n">
        <f aca="false">$I$243*($D$245-$E$245)*$G$243</f>
        <v>0.06</v>
      </c>
      <c r="G245" s="40" t="n">
        <f aca="false">$I$243*($D$245-$E$245-$F$245)</f>
        <v>0.06</v>
      </c>
      <c r="H245" s="23" t="n">
        <f aca="false">$I$243*(3*$D$243+Inputs!$C$14)</f>
        <v>6600</v>
      </c>
      <c r="I245" s="23" t="n">
        <f aca="false">$I$243*($D$243*(1+IF($C$243&lt;=0,0,MAX($C$243*Inputs!$C$15/12,Inputs!$C$8)))+$D$243*(1+Inputs!$C$11*(Inputs!$C$15-Inputs!$C$12)/12)+$D$243*(1+Inputs!$C$11*(Inputs!$C$15-Inputs!$C$13)/12)+Inputs!$C$14)</f>
        <v>7140</v>
      </c>
      <c r="J245" s="23" t="n">
        <f aca="false">$I$243*($D$243*(1+IF($C$243&lt;=0,0,MAX($C$243*Inputs!$C$16/12,Inputs!$C$8)))+$D$243*(1+Inputs!$C$11*(Inputs!$C$16-Inputs!$C$12)/12)+$D$243*(1+Inputs!$C$11*(Inputs!$C$16-Inputs!$C$13)/12)+Inputs!$C$14)</f>
        <v>7296</v>
      </c>
      <c r="K245" s="40" t="n">
        <f aca="false">IRR($N$248:$AY$248,0.005)</f>
        <v>0.00143256867584331</v>
      </c>
      <c r="L245" s="41" t="n">
        <f aca="false">(1+$K$245)^12-1</f>
        <v>0.0173269216969898</v>
      </c>
    </row>
    <row r="246" customFormat="false" ht="15" hidden="false" customHeight="false" outlineLevel="0" collapsed="false">
      <c r="B246" s="9" t="s">
        <v>185</v>
      </c>
      <c r="N246" s="40" t="n">
        <f aca="false">0</f>
        <v>0</v>
      </c>
      <c r="O246" s="40" t="n">
        <f aca="false">$E$243*(CHOOSE($L$243,Timing!D$7,Timing!D$8)-CHOOSE($L$243,Timing!C$7,Timing!C$8))</f>
        <v>0.096</v>
      </c>
      <c r="P246" s="40" t="n">
        <f aca="false">$E$243*(CHOOSE($L$243,Timing!E$7,Timing!E$8)-CHOOSE($L$243,Timing!D$7,Timing!D$8))</f>
        <v>0.08</v>
      </c>
      <c r="Q246" s="40" t="n">
        <f aca="false">$E$243*(CHOOSE($L$243,Timing!F$7,Timing!F$8)-CHOOSE($L$243,Timing!E$7,Timing!E$8))</f>
        <v>0.072</v>
      </c>
      <c r="R246" s="40" t="n">
        <f aca="false">$E$243*(CHOOSE($L$243,Timing!G$7,Timing!G$8)-CHOOSE($L$243,Timing!F$7,Timing!F$8))</f>
        <v>0.056</v>
      </c>
      <c r="S246" s="40" t="n">
        <f aca="false">$E$243*(CHOOSE($L$243,Timing!H$7,Timing!H$8)-CHOOSE($L$243,Timing!G$7,Timing!G$8))</f>
        <v>0.056</v>
      </c>
      <c r="T246" s="40" t="n">
        <f aca="false">$E$243*(CHOOSE($L$243,Timing!I$7,Timing!I$8)-CHOOSE($L$243,Timing!H$7,Timing!H$8))</f>
        <v>0.056</v>
      </c>
      <c r="U246" s="40" t="n">
        <f aca="false">$E$243*(CHOOSE($L$243,Timing!J$7,Timing!J$8)-CHOOSE($L$243,Timing!I$7,Timing!I$8))</f>
        <v>0.0346666666666667</v>
      </c>
      <c r="V246" s="40" t="n">
        <f aca="false">$E$243*(CHOOSE($L$243,Timing!K$7,Timing!K$8)-CHOOSE($L$243,Timing!J$7,Timing!J$8))</f>
        <v>0.0346666666666667</v>
      </c>
      <c r="W246" s="40" t="n">
        <f aca="false">$E$243*(CHOOSE($L$243,Timing!L$7,Timing!L$8)-CHOOSE($L$243,Timing!K$7,Timing!K$8))</f>
        <v>0.0346666666666667</v>
      </c>
      <c r="X246" s="40" t="n">
        <f aca="false">$E$243*(CHOOSE($L$243,Timing!M$7,Timing!M$8)-CHOOSE($L$243,Timing!L$7,Timing!L$8))</f>
        <v>0.0293333333333333</v>
      </c>
      <c r="Y246" s="40" t="n">
        <f aca="false">$E$243*(CHOOSE($L$243,Timing!N$7,Timing!N$8)-CHOOSE($L$243,Timing!M$7,Timing!M$8))</f>
        <v>0.0293333333333334</v>
      </c>
      <c r="Z246" s="40" t="n">
        <f aca="false">$E$243*(CHOOSE($L$243,Timing!O$7,Timing!O$8)-CHOOSE($L$243,Timing!N$7,Timing!N$8))</f>
        <v>0.0293333333333333</v>
      </c>
      <c r="AA246" s="40" t="n">
        <f aca="false">$E$243*(CHOOSE($L$243,Timing!P$7,Timing!P$8)-CHOOSE($L$243,Timing!O$7,Timing!O$8))</f>
        <v>0.0186666666666667</v>
      </c>
      <c r="AB246" s="40" t="n">
        <f aca="false">$E$243*(CHOOSE($L$243,Timing!Q$7,Timing!Q$8)-CHOOSE($L$243,Timing!P$7,Timing!P$8))</f>
        <v>0.0186666666666667</v>
      </c>
      <c r="AC246" s="40" t="n">
        <f aca="false">$E$243*(CHOOSE($L$243,Timing!R$7,Timing!R$8)-CHOOSE($L$243,Timing!Q$7,Timing!Q$8))</f>
        <v>0.0186666666666667</v>
      </c>
      <c r="AD246" s="40" t="n">
        <f aca="false">$E$243*(CHOOSE($L$243,Timing!S$7,Timing!S$8)-CHOOSE($L$243,Timing!R$7,Timing!R$8))</f>
        <v>0.0186666666666667</v>
      </c>
      <c r="AE246" s="40" t="n">
        <f aca="false">$E$243*(CHOOSE($L$243,Timing!T$7,Timing!T$8)-CHOOSE($L$243,Timing!S$7,Timing!S$8))</f>
        <v>0.0186666666666667</v>
      </c>
      <c r="AF246" s="40" t="n">
        <f aca="false">$E$243*(CHOOSE($L$243,Timing!U$7,Timing!U$8)-CHOOSE($L$243,Timing!T$7,Timing!T$8))</f>
        <v>0.0186666666666667</v>
      </c>
      <c r="AG246" s="40" t="n">
        <f aca="false">$E$243*(CHOOSE($L$243,Timing!V$7,Timing!V$8)-CHOOSE($L$243,Timing!U$7,Timing!U$8))</f>
        <v>0.0133333333333334</v>
      </c>
      <c r="AH246" s="40" t="n">
        <f aca="false">$E$243*(CHOOSE($L$243,Timing!W$7,Timing!W$8)-CHOOSE($L$243,Timing!V$7,Timing!V$8))</f>
        <v>0.0133333333333333</v>
      </c>
      <c r="AI246" s="40" t="n">
        <f aca="false">$E$243*(CHOOSE($L$243,Timing!X$7,Timing!X$8)-CHOOSE($L$243,Timing!W$7,Timing!W$8))</f>
        <v>0.0133333333333333</v>
      </c>
      <c r="AJ246" s="40" t="n">
        <f aca="false">$E$243*(CHOOSE($L$243,Timing!Y$7,Timing!Y$8)-CHOOSE($L$243,Timing!X$7,Timing!X$8))</f>
        <v>0.0133333333333334</v>
      </c>
      <c r="AK246" s="40" t="n">
        <f aca="false">$E$243*(CHOOSE($L$243,Timing!Z$7,Timing!Z$8)-CHOOSE($L$243,Timing!Y$7,Timing!Y$8))</f>
        <v>0.0133333333333334</v>
      </c>
      <c r="AL246" s="40" t="n">
        <f aca="false">$E$243*(CHOOSE($L$243,Timing!AA$7,Timing!AA$8)-CHOOSE($L$243,Timing!Z$7,Timing!Z$8))</f>
        <v>0.0133333333333333</v>
      </c>
    </row>
    <row r="247" customFormat="false" ht="15" hidden="false" customHeight="false" outlineLevel="0" collapsed="false">
      <c r="B247" s="9" t="s">
        <v>186</v>
      </c>
      <c r="N247" s="42" t="n">
        <f aca="false">0</f>
        <v>0</v>
      </c>
      <c r="O247" s="42" t="n">
        <f aca="false">$D$243*(1+IF($C$243&lt;=0,0,MAX($C$243*O$5/12,Inputs!$C$8)))+$I$243*(O$5&gt;Inputs!$C$12)*$D$243*(1+Inputs!$C$11*(O$5-Inputs!$C$12)/12)</f>
        <v>1680</v>
      </c>
      <c r="P247" s="42" t="n">
        <f aca="false">$D$243*(1+IF($C$243&lt;=0,0,MAX($C$243*P$5/12,Inputs!$C$8)))+$I$243*(P$5&gt;Inputs!$C$12)*$D$243*(1+Inputs!$C$11*(P$5-Inputs!$C$12)/12)</f>
        <v>1680</v>
      </c>
      <c r="Q247" s="42" t="n">
        <f aca="false">$D$243*(1+IF($C$243&lt;=0,0,MAX($C$243*Q$5/12,Inputs!$C$8)))+$I$243*(Q$5&gt;Inputs!$C$12)*$D$243*(1+Inputs!$C$11*(Q$5-Inputs!$C$12)/12)</f>
        <v>1680</v>
      </c>
      <c r="R247" s="42" t="n">
        <f aca="false">$D$243*(1+IF($C$243&lt;=0,0,MAX($C$243*R$5/12,Inputs!$C$8)))+$I$243*(R$5&gt;Inputs!$C$12)*$D$243*(1+Inputs!$C$11*(R$5-Inputs!$C$12)/12)</f>
        <v>1680</v>
      </c>
      <c r="S247" s="42" t="n">
        <f aca="false">$D$243*(1+IF($C$243&lt;=0,0,MAX($C$243*S$5/12,Inputs!$C$8)))+$I$243*(S$5&gt;Inputs!$C$12)*$D$243*(1+Inputs!$C$11*(S$5-Inputs!$C$12)/12)</f>
        <v>1680</v>
      </c>
      <c r="T247" s="42" t="n">
        <f aca="false">$D$243*(1+IF($C$243&lt;=0,0,MAX($C$243*T$5/12,Inputs!$C$8)))+$I$243*(T$5&gt;Inputs!$C$12)*$D$243*(1+Inputs!$C$11*(T$5-Inputs!$C$12)/12)</f>
        <v>1680</v>
      </c>
      <c r="U247" s="42" t="n">
        <f aca="false">$D$243*(1+IF($C$243&lt;=0,0,MAX($C$243*U$5/12,Inputs!$C$8)))+$I$243*(U$5&gt;Inputs!$C$12)*$D$243*(1+Inputs!$C$11*(U$5-Inputs!$C$12)/12)</f>
        <v>1680</v>
      </c>
      <c r="V247" s="42" t="n">
        <f aca="false">$D$243*(1+IF($C$243&lt;=0,0,MAX($C$243*V$5/12,Inputs!$C$8)))+$I$243*(V$5&gt;Inputs!$C$12)*$D$243*(1+Inputs!$C$11*(V$5-Inputs!$C$12)/12)</f>
        <v>1680</v>
      </c>
      <c r="W247" s="42" t="n">
        <f aca="false">$D$243*(1+IF($C$243&lt;=0,0,MAX($C$243*W$5/12,Inputs!$C$8)))+$I$243*(W$5&gt;Inputs!$C$12)*$D$243*(1+Inputs!$C$11*(W$5-Inputs!$C$12)/12)</f>
        <v>1680</v>
      </c>
      <c r="X247" s="42" t="n">
        <f aca="false">$D$243*(1+IF($C$243&lt;=0,0,MAX($C$243*X$5/12,Inputs!$C$8)))+$I$243*(X$5&gt;Inputs!$C$12)*$D$243*(1+Inputs!$C$11*(X$5-Inputs!$C$12)/12)</f>
        <v>1680</v>
      </c>
      <c r="Y247" s="42" t="n">
        <f aca="false">$D$243*(1+IF($C$243&lt;=0,0,MAX($C$243*Y$5/12,Inputs!$C$8)))+$I$243*(Y$5&gt;Inputs!$C$12)*$D$243*(1+Inputs!$C$11*(Y$5-Inputs!$C$12)/12)</f>
        <v>1680</v>
      </c>
      <c r="Z247" s="42" t="n">
        <f aca="false">$D$243*(1+IF($C$243&lt;=0,0,MAX($C$243*Z$5/12,Inputs!$C$8)))+$I$243*(Z$5&gt;Inputs!$C$12)*$D$243*(1+Inputs!$C$11*(Z$5-Inputs!$C$12)/12)</f>
        <v>1680</v>
      </c>
      <c r="AA247" s="42" t="n">
        <f aca="false">$D$243*(1+IF($C$243&lt;=0,0,MAX($C$243*AA$5/12,Inputs!$C$8)))+$I$243*(AA$5&gt;Inputs!$C$12)*$D$243*(1+Inputs!$C$11*(AA$5-Inputs!$C$12)/12)</f>
        <v>3304</v>
      </c>
      <c r="AB247" s="42" t="n">
        <f aca="false">$D$243*(1+IF($C$243&lt;=0,0,MAX($C$243*AB$5/12,Inputs!$C$8)))+$I$243*(AB$5&gt;Inputs!$C$12)*$D$243*(1+Inputs!$C$11*(AB$5-Inputs!$C$12)/12)</f>
        <v>3328</v>
      </c>
      <c r="AC247" s="42" t="n">
        <f aca="false">$D$243*(1+IF($C$243&lt;=0,0,MAX($C$243*AC$5/12,Inputs!$C$8)))+$I$243*(AC$5&gt;Inputs!$C$12)*$D$243*(1+Inputs!$C$11*(AC$5-Inputs!$C$12)/12)</f>
        <v>3352</v>
      </c>
      <c r="AD247" s="42" t="n">
        <f aca="false">$D$243*(1+IF($C$243&lt;=0,0,MAX($C$243*AD$5/12,Inputs!$C$8)))+$I$243*(AD$5&gt;Inputs!$C$12)*$D$243*(1+Inputs!$C$11*(AD$5-Inputs!$C$12)/12)</f>
        <v>3376</v>
      </c>
      <c r="AE247" s="42" t="n">
        <f aca="false">$D$243*(1+IF($C$243&lt;=0,0,MAX($C$243*AE$5/12,Inputs!$C$8)))+$I$243*(AE$5&gt;Inputs!$C$12)*$D$243*(1+Inputs!$C$11*(AE$5-Inputs!$C$12)/12)</f>
        <v>3400</v>
      </c>
      <c r="AF247" s="42" t="n">
        <f aca="false">$D$243*(1+IF($C$243&lt;=0,0,MAX($C$243*AF$5/12,Inputs!$C$8)))+$I$243*(AF$5&gt;Inputs!$C$12)*$D$243*(1+Inputs!$C$11*(AF$5-Inputs!$C$12)/12)</f>
        <v>3424</v>
      </c>
      <c r="AG247" s="42" t="n">
        <f aca="false">$D$243*(1+IF($C$243&lt;=0,0,MAX($C$243*AG$5/12,Inputs!$C$8)))+$I$243*(AG$5&gt;Inputs!$C$12)*$D$243*(1+Inputs!$C$11*(AG$5-Inputs!$C$12)/12)</f>
        <v>3448</v>
      </c>
      <c r="AH247" s="42" t="n">
        <f aca="false">$D$243*(1+IF($C$243&lt;=0,0,MAX($C$243*AH$5/12,Inputs!$C$8)))+$I$243*(AH$5&gt;Inputs!$C$12)*$D$243*(1+Inputs!$C$11*(AH$5-Inputs!$C$12)/12)</f>
        <v>3472</v>
      </c>
      <c r="AI247" s="42" t="n">
        <f aca="false">$D$243*(1+IF($C$243&lt;=0,0,MAX($C$243*AI$5/12,Inputs!$C$8)))+$I$243*(AI$5&gt;Inputs!$C$12)*$D$243*(1+Inputs!$C$11*(AI$5-Inputs!$C$12)/12)</f>
        <v>3500</v>
      </c>
      <c r="AJ247" s="42" t="n">
        <f aca="false">$D$243*(1+IF($C$243&lt;=0,0,MAX($C$243*AJ$5/12,Inputs!$C$8)))+$I$243*(AJ$5&gt;Inputs!$C$12)*$D$243*(1+Inputs!$C$11*(AJ$5-Inputs!$C$12)/12)</f>
        <v>3528</v>
      </c>
      <c r="AK247" s="42" t="n">
        <f aca="false">$D$243*(1+IF($C$243&lt;=0,0,MAX($C$243*AK$5/12,Inputs!$C$8)))+$I$243*(AK$5&gt;Inputs!$C$12)*$D$243*(1+Inputs!$C$11*(AK$5-Inputs!$C$12)/12)</f>
        <v>3556</v>
      </c>
      <c r="AL247" s="42" t="n">
        <f aca="false">$D$243*(1+IF($C$243&lt;=0,0,MAX($C$243*AL$5/12,Inputs!$C$8)))+$I$243*(AL$5&gt;Inputs!$C$12)*$D$243*(1+Inputs!$C$11*(AL$5-Inputs!$C$12)/12)</f>
        <v>3584</v>
      </c>
    </row>
    <row r="248" customFormat="false" ht="15" hidden="false" customHeight="false" outlineLevel="0" collapsed="false">
      <c r="B248" s="31" t="s">
        <v>187</v>
      </c>
      <c r="N248" s="42" t="n">
        <f aca="false">-($D$243+$J$243)*(N$5=0)+IF(AND(N$5-$K$243&gt;=1,N$5-$K$243&lt;=Inputs!$C$13),INDEX($N$246:$AL$246,1,N$5-$K$243+1)*INDEX($N$247:$AL$247,1,N$5-$K$243+1),0)-$I$243*((N$5=Inputs!$C$12)*$C$245*$D$243+(N$5=Inputs!$C$13)*$D$245*($D$243+Inputs!$C$14))+$I$243*((N$5=Inputs!$C$15+$K$243)*$E$245*$I$245+(N$5=Inputs!$C$16+$K$243)*$F$245*$J$245+(N$5=Inputs!$C$17)*$G$245*$H$243*$H$245)</f>
        <v>-1610</v>
      </c>
      <c r="O248" s="42" t="n">
        <f aca="false">-($D$243+$J$243)*(O$5=0)+IF(AND(O$5-$K$243&gt;=1,O$5-$K$243&lt;=Inputs!$C$13),INDEX($N$246:$AL$246,1,O$5-$K$243+1)*INDEX($N$247:$AL$247,1,O$5-$K$243+1),0)-$I$243*((O$5=Inputs!$C$12)*$C$245*$D$243+(O$5=Inputs!$C$13)*$D$245*($D$243+Inputs!$C$14))+$I$243*((O$5=Inputs!$C$15+$K$243)*$E$245*$I$245+(O$5=Inputs!$C$16+$K$243)*$F$245*$J$245+(O$5=Inputs!$C$17)*$G$245*$H$243*$H$245)</f>
        <v>0</v>
      </c>
      <c r="P248" s="42" t="n">
        <f aca="false">-($D$243+$J$243)*(P$5=0)+IF(AND(P$5-$K$243&gt;=1,P$5-$K$243&lt;=Inputs!$C$13),INDEX($N$246:$AL$246,1,P$5-$K$243+1)*INDEX($N$247:$AL$247,1,P$5-$K$243+1),0)-$I$243*((P$5=Inputs!$C$12)*$C$245*$D$243+(P$5=Inputs!$C$13)*$D$245*($D$243+Inputs!$C$14))+$I$243*((P$5=Inputs!$C$15+$K$243)*$E$245*$I$245+(P$5=Inputs!$C$16+$K$243)*$F$245*$J$245+(P$5=Inputs!$C$17)*$G$245*$H$243*$H$245)</f>
        <v>161.28</v>
      </c>
      <c r="Q248" s="42" t="n">
        <f aca="false">-($D$243+$J$243)*(Q$5=0)+IF(AND(Q$5-$K$243&gt;=1,Q$5-$K$243&lt;=Inputs!$C$13),INDEX($N$246:$AL$246,1,Q$5-$K$243+1)*INDEX($N$247:$AL$247,1,Q$5-$K$243+1),0)-$I$243*((Q$5=Inputs!$C$12)*$C$245*$D$243+(Q$5=Inputs!$C$13)*$D$245*($D$243+Inputs!$C$14))+$I$243*((Q$5=Inputs!$C$15+$K$243)*$E$245*$I$245+(Q$5=Inputs!$C$16+$K$243)*$F$245*$J$245+(Q$5=Inputs!$C$17)*$G$245*$H$243*$H$245)</f>
        <v>134.4</v>
      </c>
      <c r="R248" s="42" t="n">
        <f aca="false">-($D$243+$J$243)*(R$5=0)+IF(AND(R$5-$K$243&gt;=1,R$5-$K$243&lt;=Inputs!$C$13),INDEX($N$246:$AL$246,1,R$5-$K$243+1)*INDEX($N$247:$AL$247,1,R$5-$K$243+1),0)-$I$243*((R$5=Inputs!$C$12)*$C$245*$D$243+(R$5=Inputs!$C$13)*$D$245*($D$243+Inputs!$C$14))+$I$243*((R$5=Inputs!$C$15+$K$243)*$E$245*$I$245+(R$5=Inputs!$C$16+$K$243)*$F$245*$J$245+(R$5=Inputs!$C$17)*$G$245*$H$243*$H$245)</f>
        <v>120.96</v>
      </c>
      <c r="S248" s="42" t="n">
        <f aca="false">-($D$243+$J$243)*(S$5=0)+IF(AND(S$5-$K$243&gt;=1,S$5-$K$243&lt;=Inputs!$C$13),INDEX($N$246:$AL$246,1,S$5-$K$243+1)*INDEX($N$247:$AL$247,1,S$5-$K$243+1),0)-$I$243*((S$5=Inputs!$C$12)*$C$245*$D$243+(S$5=Inputs!$C$13)*$D$245*($D$243+Inputs!$C$14))+$I$243*((S$5=Inputs!$C$15+$K$243)*$E$245*$I$245+(S$5=Inputs!$C$16+$K$243)*$F$245*$J$245+(S$5=Inputs!$C$17)*$G$245*$H$243*$H$245)</f>
        <v>94.08</v>
      </c>
      <c r="T248" s="42" t="n">
        <f aca="false">-($D$243+$J$243)*(T$5=0)+IF(AND(T$5-$K$243&gt;=1,T$5-$K$243&lt;=Inputs!$C$13),INDEX($N$246:$AL$246,1,T$5-$K$243+1)*INDEX($N$247:$AL$247,1,T$5-$K$243+1),0)-$I$243*((T$5=Inputs!$C$12)*$C$245*$D$243+(T$5=Inputs!$C$13)*$D$245*($D$243+Inputs!$C$14))+$I$243*((T$5=Inputs!$C$15+$K$243)*$E$245*$I$245+(T$5=Inputs!$C$16+$K$243)*$F$245*$J$245+(T$5=Inputs!$C$17)*$G$245*$H$243*$H$245)</f>
        <v>94.08</v>
      </c>
      <c r="U248" s="42" t="n">
        <f aca="false">-($D$243+$J$243)*(U$5=0)+IF(AND(U$5-$K$243&gt;=1,U$5-$K$243&lt;=Inputs!$C$13),INDEX($N$246:$AL$246,1,U$5-$K$243+1)*INDEX($N$247:$AL$247,1,U$5-$K$243+1),0)-$I$243*((U$5=Inputs!$C$12)*$C$245*$D$243+(U$5=Inputs!$C$13)*$D$245*($D$243+Inputs!$C$14))+$I$243*((U$5=Inputs!$C$15+$K$243)*$E$245*$I$245+(U$5=Inputs!$C$16+$K$243)*$F$245*$J$245+(U$5=Inputs!$C$17)*$G$245*$H$243*$H$245)</f>
        <v>94.08</v>
      </c>
      <c r="V248" s="42" t="n">
        <f aca="false">-($D$243+$J$243)*(V$5=0)+IF(AND(V$5-$K$243&gt;=1,V$5-$K$243&lt;=Inputs!$C$13),INDEX($N$246:$AL$246,1,V$5-$K$243+1)*INDEX($N$247:$AL$247,1,V$5-$K$243+1),0)-$I$243*((V$5=Inputs!$C$12)*$C$245*$D$243+(V$5=Inputs!$C$13)*$D$245*($D$243+Inputs!$C$14))+$I$243*((V$5=Inputs!$C$15+$K$243)*$E$245*$I$245+(V$5=Inputs!$C$16+$K$243)*$F$245*$J$245+(V$5=Inputs!$C$17)*$G$245*$H$243*$H$245)</f>
        <v>58.24</v>
      </c>
      <c r="W248" s="42" t="n">
        <f aca="false">-($D$243+$J$243)*(W$5=0)+IF(AND(W$5-$K$243&gt;=1,W$5-$K$243&lt;=Inputs!$C$13),INDEX($N$246:$AL$246,1,W$5-$K$243+1)*INDEX($N$247:$AL$247,1,W$5-$K$243+1),0)-$I$243*((W$5=Inputs!$C$12)*$C$245*$D$243+(W$5=Inputs!$C$13)*$D$245*($D$243+Inputs!$C$14))+$I$243*((W$5=Inputs!$C$15+$K$243)*$E$245*$I$245+(W$5=Inputs!$C$16+$K$243)*$F$245*$J$245+(W$5=Inputs!$C$17)*$G$245*$H$243*$H$245)</f>
        <v>58.24</v>
      </c>
      <c r="X248" s="42" t="n">
        <f aca="false">-($D$243+$J$243)*(X$5=0)+IF(AND(X$5-$K$243&gt;=1,X$5-$K$243&lt;=Inputs!$C$13),INDEX($N$246:$AL$246,1,X$5-$K$243+1)*INDEX($N$247:$AL$247,1,X$5-$K$243+1),0)-$I$243*((X$5=Inputs!$C$12)*$C$245*$D$243+(X$5=Inputs!$C$13)*$D$245*($D$243+Inputs!$C$14))+$I$243*((X$5=Inputs!$C$15+$K$243)*$E$245*$I$245+(X$5=Inputs!$C$16+$K$243)*$F$245*$J$245+(X$5=Inputs!$C$17)*$G$245*$H$243*$H$245)</f>
        <v>58.24</v>
      </c>
      <c r="Y248" s="42" t="n">
        <f aca="false">-($D$243+$J$243)*(Y$5=0)+IF(AND(Y$5-$K$243&gt;=1,Y$5-$K$243&lt;=Inputs!$C$13),INDEX($N$246:$AL$246,1,Y$5-$K$243+1)*INDEX($N$247:$AL$247,1,Y$5-$K$243+1),0)-$I$243*((Y$5=Inputs!$C$12)*$C$245*$D$243+(Y$5=Inputs!$C$13)*$D$245*($D$243+Inputs!$C$14))+$I$243*((Y$5=Inputs!$C$15+$K$243)*$E$245*$I$245+(Y$5=Inputs!$C$16+$K$243)*$F$245*$J$245+(Y$5=Inputs!$C$17)*$G$245*$H$243*$H$245)</f>
        <v>49.2799999999999</v>
      </c>
      <c r="Z248" s="42" t="n">
        <f aca="false">-($D$243+$J$243)*(Z$5=0)+IF(AND(Z$5-$K$243&gt;=1,Z$5-$K$243&lt;=Inputs!$C$13),INDEX($N$246:$AL$246,1,Z$5-$K$243+1)*INDEX($N$247:$AL$247,1,Z$5-$K$243+1),0)-$I$243*((Z$5=Inputs!$C$12)*$C$245*$D$243+(Z$5=Inputs!$C$13)*$D$245*($D$243+Inputs!$C$14))+$I$243*((Z$5=Inputs!$C$15+$K$243)*$E$245*$I$245+(Z$5=Inputs!$C$16+$K$243)*$F$245*$J$245+(Z$5=Inputs!$C$17)*$G$245*$H$243*$H$245)</f>
        <v>-577.92</v>
      </c>
      <c r="AA248" s="42" t="n">
        <f aca="false">-($D$243+$J$243)*(AA$5=0)+IF(AND(AA$5-$K$243&gt;=1,AA$5-$K$243&lt;=Inputs!$C$13),INDEX($N$246:$AL$246,1,AA$5-$K$243+1)*INDEX($N$247:$AL$247,1,AA$5-$K$243+1),0)-$I$243*((AA$5=Inputs!$C$12)*$C$245*$D$243+(AA$5=Inputs!$C$13)*$D$245*($D$243+Inputs!$C$14))+$I$243*((AA$5=Inputs!$C$15+$K$243)*$E$245*$I$245+(AA$5=Inputs!$C$16+$K$243)*$F$245*$J$245+(AA$5=Inputs!$C$17)*$G$245*$H$243*$H$245)</f>
        <v>49.2799999999999</v>
      </c>
      <c r="AB248" s="42" t="n">
        <f aca="false">-($D$243+$J$243)*(AB$5=0)+IF(AND(AB$5-$K$243&gt;=1,AB$5-$K$243&lt;=Inputs!$C$13),INDEX($N$246:$AL$246,1,AB$5-$K$243+1)*INDEX($N$247:$AL$247,1,AB$5-$K$243+1),0)-$I$243*((AB$5=Inputs!$C$12)*$C$245*$D$243+(AB$5=Inputs!$C$13)*$D$245*($D$243+Inputs!$C$14))+$I$243*((AB$5=Inputs!$C$15+$K$243)*$E$245*$I$245+(AB$5=Inputs!$C$16+$K$243)*$F$245*$J$245+(AB$5=Inputs!$C$17)*$G$245*$H$243*$H$245)</f>
        <v>61.6746666666666</v>
      </c>
      <c r="AC248" s="42" t="n">
        <f aca="false">-($D$243+$J$243)*(AC$5=0)+IF(AND(AC$5-$K$243&gt;=1,AC$5-$K$243&lt;=Inputs!$C$13),INDEX($N$246:$AL$246,1,AC$5-$K$243+1)*INDEX($N$247:$AL$247,1,AC$5-$K$243+1),0)-$I$243*((AC$5=Inputs!$C$12)*$C$245*$D$243+(AC$5=Inputs!$C$13)*$D$245*($D$243+Inputs!$C$14))+$I$243*((AC$5=Inputs!$C$15+$K$243)*$E$245*$I$245+(AC$5=Inputs!$C$16+$K$243)*$F$245*$J$245+(AC$5=Inputs!$C$17)*$G$245*$H$243*$H$245)</f>
        <v>62.1226666666666</v>
      </c>
      <c r="AD248" s="42" t="n">
        <f aca="false">-($D$243+$J$243)*(AD$5=0)+IF(AND(AD$5-$K$243&gt;=1,AD$5-$K$243&lt;=Inputs!$C$13),INDEX($N$246:$AL$246,1,AD$5-$K$243+1)*INDEX($N$247:$AL$247,1,AD$5-$K$243+1),0)-$I$243*((AD$5=Inputs!$C$12)*$C$245*$D$243+(AD$5=Inputs!$C$13)*$D$245*($D$243+Inputs!$C$14))+$I$243*((AD$5=Inputs!$C$15+$K$243)*$E$245*$I$245+(AD$5=Inputs!$C$16+$K$243)*$F$245*$J$245+(AD$5=Inputs!$C$17)*$G$245*$H$243*$H$245)</f>
        <v>62.5706666666669</v>
      </c>
      <c r="AE248" s="42" t="n">
        <f aca="false">-($D$243+$J$243)*(AE$5=0)+IF(AND(AE$5-$K$243&gt;=1,AE$5-$K$243&lt;=Inputs!$C$13),INDEX($N$246:$AL$246,1,AE$5-$K$243+1)*INDEX($N$247:$AL$247,1,AE$5-$K$243+1),0)-$I$243*((AE$5=Inputs!$C$12)*$C$245*$D$243+(AE$5=Inputs!$C$13)*$D$245*($D$243+Inputs!$C$14))+$I$243*((AE$5=Inputs!$C$15+$K$243)*$E$245*$I$245+(AE$5=Inputs!$C$16+$K$243)*$F$245*$J$245+(AE$5=Inputs!$C$17)*$G$245*$H$243*$H$245)</f>
        <v>63.0186666666666</v>
      </c>
      <c r="AF248" s="42" t="n">
        <f aca="false">-($D$243+$J$243)*(AF$5=0)+IF(AND(AF$5-$K$243&gt;=1,AF$5-$K$243&lt;=Inputs!$C$13),INDEX($N$246:$AL$246,1,AF$5-$K$243+1)*INDEX($N$247:$AL$247,1,AF$5-$K$243+1),0)-$I$243*((AF$5=Inputs!$C$12)*$C$245*$D$243+(AF$5=Inputs!$C$13)*$D$245*($D$243+Inputs!$C$14))+$I$243*((AF$5=Inputs!$C$15+$K$243)*$E$245*$I$245+(AF$5=Inputs!$C$16+$K$243)*$F$245*$J$245+(AF$5=Inputs!$C$17)*$G$245*$H$243*$H$245)</f>
        <v>63.4666666666666</v>
      </c>
      <c r="AG248" s="42" t="n">
        <f aca="false">-($D$243+$J$243)*(AG$5=0)+IF(AND(AG$5-$K$243&gt;=1,AG$5-$K$243&lt;=Inputs!$C$13),INDEX($N$246:$AL$246,1,AG$5-$K$243+1)*INDEX($N$247:$AL$247,1,AG$5-$K$243+1),0)-$I$243*((AG$5=Inputs!$C$12)*$C$245*$D$243+(AG$5=Inputs!$C$13)*$D$245*($D$243+Inputs!$C$14))+$I$243*((AG$5=Inputs!$C$15+$K$243)*$E$245*$I$245+(AG$5=Inputs!$C$16+$K$243)*$F$245*$J$245+(AG$5=Inputs!$C$17)*$G$245*$H$243*$H$245)</f>
        <v>63.9146666666666</v>
      </c>
      <c r="AH248" s="42" t="n">
        <f aca="false">-($D$243+$J$243)*(AH$5=0)+IF(AND(AH$5-$K$243&gt;=1,AH$5-$K$243&lt;=Inputs!$C$13),INDEX($N$246:$AL$246,1,AH$5-$K$243+1)*INDEX($N$247:$AL$247,1,AH$5-$K$243+1),0)-$I$243*((AH$5=Inputs!$C$12)*$C$245*$D$243+(AH$5=Inputs!$C$13)*$D$245*($D$243+Inputs!$C$14))+$I$243*((AH$5=Inputs!$C$15+$K$243)*$E$245*$I$245+(AH$5=Inputs!$C$16+$K$243)*$F$245*$J$245+(AH$5=Inputs!$C$17)*$G$245*$H$243*$H$245)</f>
        <v>45.9733333333335</v>
      </c>
      <c r="AI248" s="42" t="n">
        <f aca="false">-($D$243+$J$243)*(AI$5=0)+IF(AND(AI$5-$K$243&gt;=1,AI$5-$K$243&lt;=Inputs!$C$13),INDEX($N$246:$AL$246,1,AI$5-$K$243+1)*INDEX($N$247:$AL$247,1,AI$5-$K$243+1),0)-$I$243*((AI$5=Inputs!$C$12)*$C$245*$D$243+(AI$5=Inputs!$C$13)*$D$245*($D$243+Inputs!$C$14))+$I$243*((AI$5=Inputs!$C$15+$K$243)*$E$245*$I$245+(AI$5=Inputs!$C$16+$K$243)*$F$245*$J$245+(AI$5=Inputs!$C$17)*$G$245*$H$243*$H$245)</f>
        <v>46.2933333333332</v>
      </c>
      <c r="AJ248" s="42" t="n">
        <f aca="false">-($D$243+$J$243)*(AJ$5=0)+IF(AND(AJ$5-$K$243&gt;=1,AJ$5-$K$243&lt;=Inputs!$C$13),INDEX($N$246:$AL$246,1,AJ$5-$K$243+1)*INDEX($N$247:$AL$247,1,AJ$5-$K$243+1),0)-$I$243*((AJ$5=Inputs!$C$12)*$C$245*$D$243+(AJ$5=Inputs!$C$13)*$D$245*($D$243+Inputs!$C$14))+$I$243*((AJ$5=Inputs!$C$15+$K$243)*$E$245*$I$245+(AJ$5=Inputs!$C$16+$K$243)*$F$245*$J$245+(AJ$5=Inputs!$C$17)*$G$245*$H$243*$H$245)</f>
        <v>46.6666666666665</v>
      </c>
      <c r="AK248" s="42" t="n">
        <f aca="false">-($D$243+$J$243)*(AK$5=0)+IF(AND(AK$5-$K$243&gt;=1,AK$5-$K$243&lt;=Inputs!$C$13),INDEX($N$246:$AL$246,1,AK$5-$K$243+1)*INDEX($N$247:$AL$247,1,AK$5-$K$243+1),0)-$I$243*((AK$5=Inputs!$C$12)*$C$245*$D$243+(AK$5=Inputs!$C$13)*$D$245*($D$243+Inputs!$C$14))+$I$243*((AK$5=Inputs!$C$15+$K$243)*$E$245*$I$245+(AK$5=Inputs!$C$16+$K$243)*$F$245*$J$245+(AK$5=Inputs!$C$17)*$G$245*$H$243*$H$245)</f>
        <v>47.0400000000002</v>
      </c>
      <c r="AL248" s="42" t="n">
        <f aca="false">-($D$243+$J$243)*(AL$5=0)+IF(AND(AL$5-$K$243&gt;=1,AL$5-$K$243&lt;=Inputs!$C$13),INDEX($N$246:$AL$246,1,AL$5-$K$243+1)*INDEX($N$247:$AL$247,1,AL$5-$K$243+1),0)-$I$243*((AL$5=Inputs!$C$12)*$C$245*$D$243+(AL$5=Inputs!$C$13)*$D$245*($D$243+Inputs!$C$14))+$I$243*((AL$5=Inputs!$C$15+$K$243)*$E$245*$I$245+(AL$5=Inputs!$C$16+$K$243)*$F$245*$J$245+(AL$5=Inputs!$C$17)*$G$245*$H$243*$H$245)</f>
        <v>-632.586666666666</v>
      </c>
      <c r="AM248" s="42" t="n">
        <f aca="false">-($D$243+$J$243)*(AM$5=0)+IF(AND(AM$5-$K$243&gt;=1,AM$5-$K$243&lt;=Inputs!$C$13),INDEX($N$246:$AL$246,1,AM$5-$K$243+1)*INDEX($N$247:$AL$247,1,AM$5-$K$243+1),0)-$I$243*((AM$5=Inputs!$C$12)*$C$245*$D$243+(AM$5=Inputs!$C$13)*$D$245*($D$243+Inputs!$C$14))+$I$243*((AM$5=Inputs!$C$15+$K$243)*$E$245*$I$245+(AM$5=Inputs!$C$16+$K$243)*$F$245*$J$245+(AM$5=Inputs!$C$17)*$G$245*$H$243*$H$245)</f>
        <v>47.7866666666665</v>
      </c>
      <c r="AN248" s="42" t="n">
        <f aca="false">-($D$243+$J$243)*(AN$5=0)+IF(AND(AN$5-$K$243&gt;=1,AN$5-$K$243&lt;=Inputs!$C$13),INDEX($N$246:$AL$246,1,AN$5-$K$243+1)*INDEX($N$247:$AL$247,1,AN$5-$K$243+1),0)-$I$243*((AN$5=Inputs!$C$12)*$C$245*$D$243+(AN$5=Inputs!$C$13)*$D$245*($D$243+Inputs!$C$14))+$I$243*((AN$5=Inputs!$C$15+$K$243)*$E$245*$I$245+(AN$5=Inputs!$C$16+$K$243)*$F$245*$J$245+(AN$5=Inputs!$C$17)*$G$245*$H$243*$H$245)</f>
        <v>0</v>
      </c>
      <c r="AO248" s="42" t="n">
        <f aca="false">-($D$243+$J$243)*(AO$5=0)+IF(AND(AO$5-$K$243&gt;=1,AO$5-$K$243&lt;=Inputs!$C$13),INDEX($N$246:$AL$246,1,AO$5-$K$243+1)*INDEX($N$247:$AL$247,1,AO$5-$K$243+1),0)-$I$243*((AO$5=Inputs!$C$12)*$C$245*$D$243+(AO$5=Inputs!$C$13)*$D$245*($D$243+Inputs!$C$14))+$I$243*((AO$5=Inputs!$C$15+$K$243)*$E$245*$I$245+(AO$5=Inputs!$C$16+$K$243)*$F$245*$J$245+(AO$5=Inputs!$C$17)*$G$245*$H$243*$H$245)</f>
        <v>0</v>
      </c>
      <c r="AP248" s="42" t="n">
        <f aca="false">-($D$243+$J$243)*(AP$5=0)+IF(AND(AP$5-$K$243&gt;=1,AP$5-$K$243&lt;=Inputs!$C$13),INDEX($N$246:$AL$246,1,AP$5-$K$243+1)*INDEX($N$247:$AL$247,1,AP$5-$K$243+1),0)-$I$243*((AP$5=Inputs!$C$12)*$C$245*$D$243+(AP$5=Inputs!$C$13)*$D$245*($D$243+Inputs!$C$14))+$I$243*((AP$5=Inputs!$C$15+$K$243)*$E$245*$I$245+(AP$5=Inputs!$C$16+$K$243)*$F$245*$J$245+(AP$5=Inputs!$C$17)*$G$245*$H$243*$H$245)</f>
        <v>571.2</v>
      </c>
      <c r="AQ248" s="42" t="n">
        <f aca="false">-($D$243+$J$243)*(AQ$5=0)+IF(AND(AQ$5-$K$243&gt;=1,AQ$5-$K$243&lt;=Inputs!$C$13),INDEX($N$246:$AL$246,1,AQ$5-$K$243+1)*INDEX($N$247:$AL$247,1,AQ$5-$K$243+1),0)-$I$243*((AQ$5=Inputs!$C$12)*$C$245*$D$243+(AQ$5=Inputs!$C$13)*$D$245*($D$243+Inputs!$C$14))+$I$243*((AQ$5=Inputs!$C$15+$K$243)*$E$245*$I$245+(AQ$5=Inputs!$C$16+$K$243)*$F$245*$J$245+(AQ$5=Inputs!$C$17)*$G$245*$H$243*$H$245)</f>
        <v>0</v>
      </c>
      <c r="AR248" s="42" t="n">
        <f aca="false">-($D$243+$J$243)*(AR$5=0)+IF(AND(AR$5-$K$243&gt;=1,AR$5-$K$243&lt;=Inputs!$C$13),INDEX($N$246:$AL$246,1,AR$5-$K$243+1)*INDEX($N$247:$AL$247,1,AR$5-$K$243+1),0)-$I$243*((AR$5=Inputs!$C$12)*$C$245*$D$243+(AR$5=Inputs!$C$13)*$D$245*($D$243+Inputs!$C$14))+$I$243*((AR$5=Inputs!$C$15+$K$243)*$E$245*$I$245+(AR$5=Inputs!$C$16+$K$243)*$F$245*$J$245+(AR$5=Inputs!$C$17)*$G$245*$H$243*$H$245)</f>
        <v>0</v>
      </c>
      <c r="AS248" s="42" t="n">
        <f aca="false">-($D$243+$J$243)*(AS$5=0)+IF(AND(AS$5-$K$243&gt;=1,AS$5-$K$243&lt;=Inputs!$C$13),INDEX($N$246:$AL$246,1,AS$5-$K$243+1)*INDEX($N$247:$AL$247,1,AS$5-$K$243+1),0)-$I$243*((AS$5=Inputs!$C$12)*$C$245*$D$243+(AS$5=Inputs!$C$13)*$D$245*($D$243+Inputs!$C$14))+$I$243*((AS$5=Inputs!$C$15+$K$243)*$E$245*$I$245+(AS$5=Inputs!$C$16+$K$243)*$F$245*$J$245+(AS$5=Inputs!$C$17)*$G$245*$H$243*$H$245)</f>
        <v>437.76</v>
      </c>
      <c r="AT248" s="42" t="n">
        <f aca="false">-($D$243+$J$243)*(AT$5=0)+IF(AND(AT$5-$K$243&gt;=1,AT$5-$K$243&lt;=Inputs!$C$13),INDEX($N$246:$AL$246,1,AT$5-$K$243+1)*INDEX($N$247:$AL$247,1,AT$5-$K$243+1),0)-$I$243*((AT$5=Inputs!$C$12)*$C$245*$D$243+(AT$5=Inputs!$C$13)*$D$245*($D$243+Inputs!$C$14))+$I$243*((AT$5=Inputs!$C$15+$K$243)*$E$245*$I$245+(AT$5=Inputs!$C$16+$K$243)*$F$245*$J$245+(AT$5=Inputs!$C$17)*$G$245*$H$243*$H$245)</f>
        <v>0</v>
      </c>
      <c r="AU248" s="42" t="n">
        <f aca="false">-($D$243+$J$243)*(AU$5=0)+IF(AND(AU$5-$K$243&gt;=1,AU$5-$K$243&lt;=Inputs!$C$13),INDEX($N$246:$AL$246,1,AU$5-$K$243+1)*INDEX($N$247:$AL$247,1,AU$5-$K$243+1),0)-$I$243*((AU$5=Inputs!$C$12)*$C$245*$D$243+(AU$5=Inputs!$C$13)*$D$245*($D$243+Inputs!$C$14))+$I$243*((AU$5=Inputs!$C$15+$K$243)*$E$245*$I$245+(AU$5=Inputs!$C$16+$K$243)*$F$245*$J$245+(AU$5=Inputs!$C$17)*$G$245*$H$243*$H$245)</f>
        <v>0</v>
      </c>
      <c r="AV248" s="42" t="n">
        <f aca="false">-($D$243+$J$243)*(AV$5=0)+IF(AND(AV$5-$K$243&gt;=1,AV$5-$K$243&lt;=Inputs!$C$13),INDEX($N$246:$AL$246,1,AV$5-$K$243+1)*INDEX($N$247:$AL$247,1,AV$5-$K$243+1),0)-$I$243*((AV$5=Inputs!$C$12)*$C$245*$D$243+(AV$5=Inputs!$C$13)*$D$245*($D$243+Inputs!$C$14))+$I$243*((AV$5=Inputs!$C$15+$K$243)*$E$245*$I$245+(AV$5=Inputs!$C$16+$K$243)*$F$245*$J$245+(AV$5=Inputs!$C$17)*$G$245*$H$243*$H$245)</f>
        <v>0</v>
      </c>
      <c r="AW248" s="42" t="n">
        <f aca="false">-($D$243+$J$243)*(AW$5=0)+IF(AND(AW$5-$K$243&gt;=1,AW$5-$K$243&lt;=Inputs!$C$13),INDEX($N$246:$AL$246,1,AW$5-$K$243+1)*INDEX($N$247:$AL$247,1,AW$5-$K$243+1),0)-$I$243*((AW$5=Inputs!$C$12)*$C$245*$D$243+(AW$5=Inputs!$C$13)*$D$245*($D$243+Inputs!$C$14))+$I$243*((AW$5=Inputs!$C$15+$K$243)*$E$245*$I$245+(AW$5=Inputs!$C$16+$K$243)*$F$245*$J$245+(AW$5=Inputs!$C$17)*$G$245*$H$243*$H$245)</f>
        <v>0</v>
      </c>
      <c r="AX248" s="42" t="n">
        <f aca="false">-($D$243+$J$243)*(AX$5=0)+IF(AND(AX$5-$K$243&gt;=1,AX$5-$K$243&lt;=Inputs!$C$13),INDEX($N$246:$AL$246,1,AX$5-$K$243+1)*INDEX($N$247:$AL$247,1,AX$5-$K$243+1),0)-$I$243*((AX$5=Inputs!$C$12)*$C$245*$D$243+(AX$5=Inputs!$C$13)*$D$245*($D$243+Inputs!$C$14))+$I$243*((AX$5=Inputs!$C$15+$K$243)*$E$245*$I$245+(AX$5=Inputs!$C$16+$K$243)*$F$245*$J$245+(AX$5=Inputs!$C$17)*$G$245*$H$243*$H$245)</f>
        <v>277.2</v>
      </c>
      <c r="AY248" s="42" t="n">
        <f aca="false">-($D$243+$J$243)*(AY$5=0)+IF(AND(AY$5-$K$243&gt;=1,AY$5-$K$243&lt;=Inputs!$C$13),INDEX($N$246:$AL$246,1,AY$5-$K$243+1)*INDEX($N$247:$AL$247,1,AY$5-$K$243+1),0)-$I$243*((AY$5=Inputs!$C$12)*$C$245*$D$243+(AY$5=Inputs!$C$13)*$D$245*($D$243+Inputs!$C$14))+$I$243*((AY$5=Inputs!$C$15+$K$243)*$E$245*$I$245+(AY$5=Inputs!$C$16+$K$243)*$F$245*$J$245+(AY$5=Inputs!$C$17)*$G$245*$H$243*$H$245)</f>
        <v>0</v>
      </c>
    </row>
    <row r="250" customFormat="false" ht="15" hidden="false" customHeight="false" outlineLevel="0" collapsed="false">
      <c r="B250" s="7" t="s">
        <v>214</v>
      </c>
      <c r="C250" s="8"/>
      <c r="D250" s="8"/>
      <c r="E250" s="8"/>
      <c r="F250" s="8"/>
      <c r="G250" s="8"/>
      <c r="H250" s="8"/>
      <c r="I250" s="8"/>
      <c r="J250" s="8"/>
      <c r="K250" s="8"/>
      <c r="L250" s="8"/>
    </row>
    <row r="251" customFormat="false" ht="30" hidden="false" customHeight="true" outlineLevel="0" collapsed="false">
      <c r="B251" s="37"/>
      <c r="C251" s="38" t="s">
        <v>169</v>
      </c>
      <c r="D251" s="38" t="s">
        <v>170</v>
      </c>
      <c r="E251" s="38" t="s">
        <v>171</v>
      </c>
      <c r="F251" s="38" t="s">
        <v>43</v>
      </c>
      <c r="G251" s="38" t="s">
        <v>44</v>
      </c>
      <c r="H251" s="38" t="s">
        <v>45</v>
      </c>
      <c r="I251" s="38" t="s">
        <v>172</v>
      </c>
      <c r="J251" s="38" t="s">
        <v>90</v>
      </c>
      <c r="K251" s="38" t="s">
        <v>89</v>
      </c>
      <c r="L251" s="38" t="s">
        <v>173</v>
      </c>
    </row>
    <row r="252" customFormat="false" ht="15" hidden="false" customHeight="false" outlineLevel="0" collapsed="false">
      <c r="B252" s="39" t="s">
        <v>174</v>
      </c>
      <c r="C252" s="26" t="n">
        <f aca="false">Class_IRR!$F$5</f>
        <v>0.05</v>
      </c>
      <c r="D252" s="30" t="n">
        <f aca="false">Inputs!$E$26</f>
        <v>1600</v>
      </c>
      <c r="E252" s="26" t="n">
        <f aca="false">Inputs!$F$26</f>
        <v>0.8</v>
      </c>
      <c r="F252" s="25" t="n">
        <f aca="false">Inputs!$G$26</f>
        <v>0.4</v>
      </c>
      <c r="G252" s="25" t="n">
        <f aca="false">Inputs!$H$26</f>
        <v>0.5</v>
      </c>
      <c r="H252" s="25" t="n">
        <f aca="false">Inputs!$I$26</f>
        <v>0.7</v>
      </c>
      <c r="I252" s="22" t="n">
        <f aca="false">Inputs!$J$26</f>
        <v>1</v>
      </c>
      <c r="J252" s="23" t="n">
        <f aca="false">Inputs!$C$9</f>
        <v>10</v>
      </c>
      <c r="K252" s="22" t="n">
        <f aca="false">Inputs!$C$10</f>
        <v>1</v>
      </c>
      <c r="L252" s="22" t="n">
        <f aca="false">1</f>
        <v>1</v>
      </c>
    </row>
    <row r="253" customFormat="false" ht="30" hidden="false" customHeight="true" outlineLevel="0" collapsed="false">
      <c r="B253" s="37"/>
      <c r="C253" s="38" t="s">
        <v>175</v>
      </c>
      <c r="D253" s="38" t="s">
        <v>176</v>
      </c>
      <c r="E253" s="38" t="s">
        <v>177</v>
      </c>
      <c r="F253" s="38" t="s">
        <v>178</v>
      </c>
      <c r="G253" s="38" t="s">
        <v>112</v>
      </c>
      <c r="H253" s="38" t="s">
        <v>179</v>
      </c>
      <c r="I253" s="38" t="s">
        <v>180</v>
      </c>
      <c r="J253" s="38" t="s">
        <v>181</v>
      </c>
      <c r="K253" s="38" t="s">
        <v>182</v>
      </c>
      <c r="L253" s="38" t="s">
        <v>183</v>
      </c>
    </row>
    <row r="254" customFormat="false" ht="15" hidden="false" customHeight="false" outlineLevel="0" collapsed="false">
      <c r="B254" s="39" t="s">
        <v>184</v>
      </c>
      <c r="C254" s="40" t="n">
        <f aca="false">1-$E$252*CHOOSE($L$252,INDEX(Timing!$C$7:$AA$7,1,Inputs!$C$12+1),INDEX(Timing!$C$8:$AA$8,1,Inputs!$C$12+1))</f>
        <v>0.392</v>
      </c>
      <c r="D254" s="40" t="n">
        <f aca="false">1-$E$252*CHOOSE($L$252,INDEX(Timing!$C$7:$AA$7,1,Inputs!$C$13+1),INDEX(Timing!$C$8:$AA$8,1,Inputs!$C$13+1))</f>
        <v>0.2</v>
      </c>
      <c r="E254" s="40" t="n">
        <f aca="false">$I$252*$D$254*$F$252</f>
        <v>0.08</v>
      </c>
      <c r="F254" s="40" t="n">
        <f aca="false">$I$252*($D$254-$E$254)*$G$252</f>
        <v>0.06</v>
      </c>
      <c r="G254" s="40" t="n">
        <f aca="false">$I$252*($D$254-$E$254-$F$254)</f>
        <v>0.06</v>
      </c>
      <c r="H254" s="23" t="n">
        <f aca="false">$I$252*(3*$D$252+Inputs!$C$14)</f>
        <v>6600</v>
      </c>
      <c r="I254" s="23" t="n">
        <f aca="false">$I$252*($D$252*(1+IF($C$252&lt;=0,0,MAX($C$252*Inputs!$C$15/12,Inputs!$C$8)))+$D$252*(1+Inputs!$C$11*(Inputs!$C$15-Inputs!$C$12)/12)+$D$252*(1+Inputs!$C$11*(Inputs!$C$15-Inputs!$C$13)/12)+Inputs!$C$14)</f>
        <v>7212</v>
      </c>
      <c r="J254" s="23" t="n">
        <f aca="false">$I$252*($D$252*(1+IF($C$252&lt;=0,0,MAX($C$252*Inputs!$C$16/12,Inputs!$C$8)))+$D$252*(1+Inputs!$C$11*(Inputs!$C$16-Inputs!$C$12)/12)+$D$252*(1+Inputs!$C$11*(Inputs!$C$16-Inputs!$C$13)/12)+Inputs!$C$14)</f>
        <v>7376</v>
      </c>
      <c r="K254" s="40" t="n">
        <f aca="false">IRR($N$257:$AY$257,0.005)</f>
        <v>0.00194695242729027</v>
      </c>
      <c r="L254" s="41" t="n">
        <f aca="false">(1+$K$254)^12-1</f>
        <v>0.0236152410661403</v>
      </c>
    </row>
    <row r="255" customFormat="false" ht="15" hidden="false" customHeight="false" outlineLevel="0" collapsed="false">
      <c r="B255" s="9" t="s">
        <v>185</v>
      </c>
      <c r="N255" s="40" t="n">
        <f aca="false">0</f>
        <v>0</v>
      </c>
      <c r="O255" s="40" t="n">
        <f aca="false">$E$252*(CHOOSE($L$252,Timing!D$7,Timing!D$8)-CHOOSE($L$252,Timing!C$7,Timing!C$8))</f>
        <v>0.096</v>
      </c>
      <c r="P255" s="40" t="n">
        <f aca="false">$E$252*(CHOOSE($L$252,Timing!E$7,Timing!E$8)-CHOOSE($L$252,Timing!D$7,Timing!D$8))</f>
        <v>0.08</v>
      </c>
      <c r="Q255" s="40" t="n">
        <f aca="false">$E$252*(CHOOSE($L$252,Timing!F$7,Timing!F$8)-CHOOSE($L$252,Timing!E$7,Timing!E$8))</f>
        <v>0.072</v>
      </c>
      <c r="R255" s="40" t="n">
        <f aca="false">$E$252*(CHOOSE($L$252,Timing!G$7,Timing!G$8)-CHOOSE($L$252,Timing!F$7,Timing!F$8))</f>
        <v>0.056</v>
      </c>
      <c r="S255" s="40" t="n">
        <f aca="false">$E$252*(CHOOSE($L$252,Timing!H$7,Timing!H$8)-CHOOSE($L$252,Timing!G$7,Timing!G$8))</f>
        <v>0.056</v>
      </c>
      <c r="T255" s="40" t="n">
        <f aca="false">$E$252*(CHOOSE($L$252,Timing!I$7,Timing!I$8)-CHOOSE($L$252,Timing!H$7,Timing!H$8))</f>
        <v>0.056</v>
      </c>
      <c r="U255" s="40" t="n">
        <f aca="false">$E$252*(CHOOSE($L$252,Timing!J$7,Timing!J$8)-CHOOSE($L$252,Timing!I$7,Timing!I$8))</f>
        <v>0.0346666666666667</v>
      </c>
      <c r="V255" s="40" t="n">
        <f aca="false">$E$252*(CHOOSE($L$252,Timing!K$7,Timing!K$8)-CHOOSE($L$252,Timing!J$7,Timing!J$8))</f>
        <v>0.0346666666666667</v>
      </c>
      <c r="W255" s="40" t="n">
        <f aca="false">$E$252*(CHOOSE($L$252,Timing!L$7,Timing!L$8)-CHOOSE($L$252,Timing!K$7,Timing!K$8))</f>
        <v>0.0346666666666667</v>
      </c>
      <c r="X255" s="40" t="n">
        <f aca="false">$E$252*(CHOOSE($L$252,Timing!M$7,Timing!M$8)-CHOOSE($L$252,Timing!L$7,Timing!L$8))</f>
        <v>0.0293333333333333</v>
      </c>
      <c r="Y255" s="40" t="n">
        <f aca="false">$E$252*(CHOOSE($L$252,Timing!N$7,Timing!N$8)-CHOOSE($L$252,Timing!M$7,Timing!M$8))</f>
        <v>0.0293333333333334</v>
      </c>
      <c r="Z255" s="40" t="n">
        <f aca="false">$E$252*(CHOOSE($L$252,Timing!O$7,Timing!O$8)-CHOOSE($L$252,Timing!N$7,Timing!N$8))</f>
        <v>0.0293333333333333</v>
      </c>
      <c r="AA255" s="40" t="n">
        <f aca="false">$E$252*(CHOOSE($L$252,Timing!P$7,Timing!P$8)-CHOOSE($L$252,Timing!O$7,Timing!O$8))</f>
        <v>0.0186666666666667</v>
      </c>
      <c r="AB255" s="40" t="n">
        <f aca="false">$E$252*(CHOOSE($L$252,Timing!Q$7,Timing!Q$8)-CHOOSE($L$252,Timing!P$7,Timing!P$8))</f>
        <v>0.0186666666666667</v>
      </c>
      <c r="AC255" s="40" t="n">
        <f aca="false">$E$252*(CHOOSE($L$252,Timing!R$7,Timing!R$8)-CHOOSE($L$252,Timing!Q$7,Timing!Q$8))</f>
        <v>0.0186666666666667</v>
      </c>
      <c r="AD255" s="40" t="n">
        <f aca="false">$E$252*(CHOOSE($L$252,Timing!S$7,Timing!S$8)-CHOOSE($L$252,Timing!R$7,Timing!R$8))</f>
        <v>0.0186666666666667</v>
      </c>
      <c r="AE255" s="40" t="n">
        <f aca="false">$E$252*(CHOOSE($L$252,Timing!T$7,Timing!T$8)-CHOOSE($L$252,Timing!S$7,Timing!S$8))</f>
        <v>0.0186666666666667</v>
      </c>
      <c r="AF255" s="40" t="n">
        <f aca="false">$E$252*(CHOOSE($L$252,Timing!U$7,Timing!U$8)-CHOOSE($L$252,Timing!T$7,Timing!T$8))</f>
        <v>0.0186666666666667</v>
      </c>
      <c r="AG255" s="40" t="n">
        <f aca="false">$E$252*(CHOOSE($L$252,Timing!V$7,Timing!V$8)-CHOOSE($L$252,Timing!U$7,Timing!U$8))</f>
        <v>0.0133333333333334</v>
      </c>
      <c r="AH255" s="40" t="n">
        <f aca="false">$E$252*(CHOOSE($L$252,Timing!W$7,Timing!W$8)-CHOOSE($L$252,Timing!V$7,Timing!V$8))</f>
        <v>0.0133333333333333</v>
      </c>
      <c r="AI255" s="40" t="n">
        <f aca="false">$E$252*(CHOOSE($L$252,Timing!X$7,Timing!X$8)-CHOOSE($L$252,Timing!W$7,Timing!W$8))</f>
        <v>0.0133333333333333</v>
      </c>
      <c r="AJ255" s="40" t="n">
        <f aca="false">$E$252*(CHOOSE($L$252,Timing!Y$7,Timing!Y$8)-CHOOSE($L$252,Timing!X$7,Timing!X$8))</f>
        <v>0.0133333333333334</v>
      </c>
      <c r="AK255" s="40" t="n">
        <f aca="false">$E$252*(CHOOSE($L$252,Timing!Z$7,Timing!Z$8)-CHOOSE($L$252,Timing!Y$7,Timing!Y$8))</f>
        <v>0.0133333333333334</v>
      </c>
      <c r="AL255" s="40" t="n">
        <f aca="false">$E$252*(CHOOSE($L$252,Timing!AA$7,Timing!AA$8)-CHOOSE($L$252,Timing!Z$7,Timing!Z$8))</f>
        <v>0.0133333333333333</v>
      </c>
    </row>
    <row r="256" customFormat="false" ht="15" hidden="false" customHeight="false" outlineLevel="0" collapsed="false">
      <c r="B256" s="9" t="s">
        <v>186</v>
      </c>
      <c r="N256" s="42" t="n">
        <f aca="false">0</f>
        <v>0</v>
      </c>
      <c r="O256" s="42" t="n">
        <f aca="false">$D$252*(1+IF($C$252&lt;=0,0,MAX($C$252*O$5/12,Inputs!$C$8)))+$I$252*(O$5&gt;Inputs!$C$12)*$D$252*(1+Inputs!$C$11*(O$5-Inputs!$C$12)/12)</f>
        <v>1680</v>
      </c>
      <c r="P256" s="42" t="n">
        <f aca="false">$D$252*(1+IF($C$252&lt;=0,0,MAX($C$252*P$5/12,Inputs!$C$8)))+$I$252*(P$5&gt;Inputs!$C$12)*$D$252*(1+Inputs!$C$11*(P$5-Inputs!$C$12)/12)</f>
        <v>1680</v>
      </c>
      <c r="Q256" s="42" t="n">
        <f aca="false">$D$252*(1+IF($C$252&lt;=0,0,MAX($C$252*Q$5/12,Inputs!$C$8)))+$I$252*(Q$5&gt;Inputs!$C$12)*$D$252*(1+Inputs!$C$11*(Q$5-Inputs!$C$12)/12)</f>
        <v>1680</v>
      </c>
      <c r="R256" s="42" t="n">
        <f aca="false">$D$252*(1+IF($C$252&lt;=0,0,MAX($C$252*R$5/12,Inputs!$C$8)))+$I$252*(R$5&gt;Inputs!$C$12)*$D$252*(1+Inputs!$C$11*(R$5-Inputs!$C$12)/12)</f>
        <v>1680</v>
      </c>
      <c r="S256" s="42" t="n">
        <f aca="false">$D$252*(1+IF($C$252&lt;=0,0,MAX($C$252*S$5/12,Inputs!$C$8)))+$I$252*(S$5&gt;Inputs!$C$12)*$D$252*(1+Inputs!$C$11*(S$5-Inputs!$C$12)/12)</f>
        <v>1680</v>
      </c>
      <c r="T256" s="42" t="n">
        <f aca="false">$D$252*(1+IF($C$252&lt;=0,0,MAX($C$252*T$5/12,Inputs!$C$8)))+$I$252*(T$5&gt;Inputs!$C$12)*$D$252*(1+Inputs!$C$11*(T$5-Inputs!$C$12)/12)</f>
        <v>1680</v>
      </c>
      <c r="U256" s="42" t="n">
        <f aca="false">$D$252*(1+IF($C$252&lt;=0,0,MAX($C$252*U$5/12,Inputs!$C$8)))+$I$252*(U$5&gt;Inputs!$C$12)*$D$252*(1+Inputs!$C$11*(U$5-Inputs!$C$12)/12)</f>
        <v>1680</v>
      </c>
      <c r="V256" s="42" t="n">
        <f aca="false">$D$252*(1+IF($C$252&lt;=0,0,MAX($C$252*V$5/12,Inputs!$C$8)))+$I$252*(V$5&gt;Inputs!$C$12)*$D$252*(1+Inputs!$C$11*(V$5-Inputs!$C$12)/12)</f>
        <v>1680</v>
      </c>
      <c r="W256" s="42" t="n">
        <f aca="false">$D$252*(1+IF($C$252&lt;=0,0,MAX($C$252*W$5/12,Inputs!$C$8)))+$I$252*(W$5&gt;Inputs!$C$12)*$D$252*(1+Inputs!$C$11*(W$5-Inputs!$C$12)/12)</f>
        <v>1680</v>
      </c>
      <c r="X256" s="42" t="n">
        <f aca="false">$D$252*(1+IF($C$252&lt;=0,0,MAX($C$252*X$5/12,Inputs!$C$8)))+$I$252*(X$5&gt;Inputs!$C$12)*$D$252*(1+Inputs!$C$11*(X$5-Inputs!$C$12)/12)</f>
        <v>1680</v>
      </c>
      <c r="Y256" s="42" t="n">
        <f aca="false">$D$252*(1+IF($C$252&lt;=0,0,MAX($C$252*Y$5/12,Inputs!$C$8)))+$I$252*(Y$5&gt;Inputs!$C$12)*$D$252*(1+Inputs!$C$11*(Y$5-Inputs!$C$12)/12)</f>
        <v>1680</v>
      </c>
      <c r="Z256" s="42" t="n">
        <f aca="false">$D$252*(1+IF($C$252&lt;=0,0,MAX($C$252*Z$5/12,Inputs!$C$8)))+$I$252*(Z$5&gt;Inputs!$C$12)*$D$252*(1+Inputs!$C$11*(Z$5-Inputs!$C$12)/12)</f>
        <v>1680</v>
      </c>
      <c r="AA256" s="42" t="n">
        <f aca="false">$D$252*(1+IF($C$252&lt;=0,0,MAX($C$252*AA$5/12,Inputs!$C$8)))+$I$252*(AA$5&gt;Inputs!$C$12)*$D$252*(1+Inputs!$C$11*(AA$5-Inputs!$C$12)/12)</f>
        <v>3310.66666666667</v>
      </c>
      <c r="AB256" s="42" t="n">
        <f aca="false">$D$252*(1+IF($C$252&lt;=0,0,MAX($C$252*AB$5/12,Inputs!$C$8)))+$I$252*(AB$5&gt;Inputs!$C$12)*$D$252*(1+Inputs!$C$11*(AB$5-Inputs!$C$12)/12)</f>
        <v>3341.33333333333</v>
      </c>
      <c r="AC256" s="42" t="n">
        <f aca="false">$D$252*(1+IF($C$252&lt;=0,0,MAX($C$252*AC$5/12,Inputs!$C$8)))+$I$252*(AC$5&gt;Inputs!$C$12)*$D$252*(1+Inputs!$C$11*(AC$5-Inputs!$C$12)/12)</f>
        <v>3372</v>
      </c>
      <c r="AD256" s="42" t="n">
        <f aca="false">$D$252*(1+IF($C$252&lt;=0,0,MAX($C$252*AD$5/12,Inputs!$C$8)))+$I$252*(AD$5&gt;Inputs!$C$12)*$D$252*(1+Inputs!$C$11*(AD$5-Inputs!$C$12)/12)</f>
        <v>3402.66666666667</v>
      </c>
      <c r="AE256" s="42" t="n">
        <f aca="false">$D$252*(1+IF($C$252&lt;=0,0,MAX($C$252*AE$5/12,Inputs!$C$8)))+$I$252*(AE$5&gt;Inputs!$C$12)*$D$252*(1+Inputs!$C$11*(AE$5-Inputs!$C$12)/12)</f>
        <v>3433.33333333333</v>
      </c>
      <c r="AF256" s="42" t="n">
        <f aca="false">$D$252*(1+IF($C$252&lt;=0,0,MAX($C$252*AF$5/12,Inputs!$C$8)))+$I$252*(AF$5&gt;Inputs!$C$12)*$D$252*(1+Inputs!$C$11*(AF$5-Inputs!$C$12)/12)</f>
        <v>3464</v>
      </c>
      <c r="AG256" s="42" t="n">
        <f aca="false">$D$252*(1+IF($C$252&lt;=0,0,MAX($C$252*AG$5/12,Inputs!$C$8)))+$I$252*(AG$5&gt;Inputs!$C$12)*$D$252*(1+Inputs!$C$11*(AG$5-Inputs!$C$12)/12)</f>
        <v>3494.66666666667</v>
      </c>
      <c r="AH256" s="42" t="n">
        <f aca="false">$D$252*(1+IF($C$252&lt;=0,0,MAX($C$252*AH$5/12,Inputs!$C$8)))+$I$252*(AH$5&gt;Inputs!$C$12)*$D$252*(1+Inputs!$C$11*(AH$5-Inputs!$C$12)/12)</f>
        <v>3525.33333333333</v>
      </c>
      <c r="AI256" s="42" t="n">
        <f aca="false">$D$252*(1+IF($C$252&lt;=0,0,MAX($C$252*AI$5/12,Inputs!$C$8)))+$I$252*(AI$5&gt;Inputs!$C$12)*$D$252*(1+Inputs!$C$11*(AI$5-Inputs!$C$12)/12)</f>
        <v>3556</v>
      </c>
      <c r="AJ256" s="42" t="n">
        <f aca="false">$D$252*(1+IF($C$252&lt;=0,0,MAX($C$252*AJ$5/12,Inputs!$C$8)))+$I$252*(AJ$5&gt;Inputs!$C$12)*$D$252*(1+Inputs!$C$11*(AJ$5-Inputs!$C$12)/12)</f>
        <v>3586.66666666667</v>
      </c>
      <c r="AK256" s="42" t="n">
        <f aca="false">$D$252*(1+IF($C$252&lt;=0,0,MAX($C$252*AK$5/12,Inputs!$C$8)))+$I$252*(AK$5&gt;Inputs!$C$12)*$D$252*(1+Inputs!$C$11*(AK$5-Inputs!$C$12)/12)</f>
        <v>3617.33333333333</v>
      </c>
      <c r="AL256" s="42" t="n">
        <f aca="false">$D$252*(1+IF($C$252&lt;=0,0,MAX($C$252*AL$5/12,Inputs!$C$8)))+$I$252*(AL$5&gt;Inputs!$C$12)*$D$252*(1+Inputs!$C$11*(AL$5-Inputs!$C$12)/12)</f>
        <v>3648</v>
      </c>
    </row>
    <row r="257" customFormat="false" ht="15" hidden="false" customHeight="false" outlineLevel="0" collapsed="false">
      <c r="B257" s="31" t="s">
        <v>187</v>
      </c>
      <c r="N257" s="42" t="n">
        <f aca="false">-($D$252+$J$252)*(N$5=0)+IF(AND(N$5-$K$252&gt;=1,N$5-$K$252&lt;=Inputs!$C$13),INDEX($N$255:$AL$255,1,N$5-$K$252+1)*INDEX($N$256:$AL$256,1,N$5-$K$252+1),0)-$I$252*((N$5=Inputs!$C$12)*$C$254*$D$252+(N$5=Inputs!$C$13)*$D$254*($D$252+Inputs!$C$14))+$I$252*((N$5=Inputs!$C$15+$K$252)*$E$254*$I$254+(N$5=Inputs!$C$16+$K$252)*$F$254*$J$254+(N$5=Inputs!$C$17)*$G$254*$H$252*$H$254)</f>
        <v>-1610</v>
      </c>
      <c r="O257" s="42" t="n">
        <f aca="false">-($D$252+$J$252)*(O$5=0)+IF(AND(O$5-$K$252&gt;=1,O$5-$K$252&lt;=Inputs!$C$13),INDEX($N$255:$AL$255,1,O$5-$K$252+1)*INDEX($N$256:$AL$256,1,O$5-$K$252+1),0)-$I$252*((O$5=Inputs!$C$12)*$C$254*$D$252+(O$5=Inputs!$C$13)*$D$254*($D$252+Inputs!$C$14))+$I$252*((O$5=Inputs!$C$15+$K$252)*$E$254*$I$254+(O$5=Inputs!$C$16+$K$252)*$F$254*$J$254+(O$5=Inputs!$C$17)*$G$254*$H$252*$H$254)</f>
        <v>0</v>
      </c>
      <c r="P257" s="42" t="n">
        <f aca="false">-($D$252+$J$252)*(P$5=0)+IF(AND(P$5-$K$252&gt;=1,P$5-$K$252&lt;=Inputs!$C$13),INDEX($N$255:$AL$255,1,P$5-$K$252+1)*INDEX($N$256:$AL$256,1,P$5-$K$252+1),0)-$I$252*((P$5=Inputs!$C$12)*$C$254*$D$252+(P$5=Inputs!$C$13)*$D$254*($D$252+Inputs!$C$14))+$I$252*((P$5=Inputs!$C$15+$K$252)*$E$254*$I$254+(P$5=Inputs!$C$16+$K$252)*$F$254*$J$254+(P$5=Inputs!$C$17)*$G$254*$H$252*$H$254)</f>
        <v>161.28</v>
      </c>
      <c r="Q257" s="42" t="n">
        <f aca="false">-($D$252+$J$252)*(Q$5=0)+IF(AND(Q$5-$K$252&gt;=1,Q$5-$K$252&lt;=Inputs!$C$13),INDEX($N$255:$AL$255,1,Q$5-$K$252+1)*INDEX($N$256:$AL$256,1,Q$5-$K$252+1),0)-$I$252*((Q$5=Inputs!$C$12)*$C$254*$D$252+(Q$5=Inputs!$C$13)*$D$254*($D$252+Inputs!$C$14))+$I$252*((Q$5=Inputs!$C$15+$K$252)*$E$254*$I$254+(Q$5=Inputs!$C$16+$K$252)*$F$254*$J$254+(Q$5=Inputs!$C$17)*$G$254*$H$252*$H$254)</f>
        <v>134.4</v>
      </c>
      <c r="R257" s="42" t="n">
        <f aca="false">-($D$252+$J$252)*(R$5=0)+IF(AND(R$5-$K$252&gt;=1,R$5-$K$252&lt;=Inputs!$C$13),INDEX($N$255:$AL$255,1,R$5-$K$252+1)*INDEX($N$256:$AL$256,1,R$5-$K$252+1),0)-$I$252*((R$5=Inputs!$C$12)*$C$254*$D$252+(R$5=Inputs!$C$13)*$D$254*($D$252+Inputs!$C$14))+$I$252*((R$5=Inputs!$C$15+$K$252)*$E$254*$I$254+(R$5=Inputs!$C$16+$K$252)*$F$254*$J$254+(R$5=Inputs!$C$17)*$G$254*$H$252*$H$254)</f>
        <v>120.96</v>
      </c>
      <c r="S257" s="42" t="n">
        <f aca="false">-($D$252+$J$252)*(S$5=0)+IF(AND(S$5-$K$252&gt;=1,S$5-$K$252&lt;=Inputs!$C$13),INDEX($N$255:$AL$255,1,S$5-$K$252+1)*INDEX($N$256:$AL$256,1,S$5-$K$252+1),0)-$I$252*((S$5=Inputs!$C$12)*$C$254*$D$252+(S$5=Inputs!$C$13)*$D$254*($D$252+Inputs!$C$14))+$I$252*((S$5=Inputs!$C$15+$K$252)*$E$254*$I$254+(S$5=Inputs!$C$16+$K$252)*$F$254*$J$254+(S$5=Inputs!$C$17)*$G$254*$H$252*$H$254)</f>
        <v>94.08</v>
      </c>
      <c r="T257" s="42" t="n">
        <f aca="false">-($D$252+$J$252)*(T$5=0)+IF(AND(T$5-$K$252&gt;=1,T$5-$K$252&lt;=Inputs!$C$13),INDEX($N$255:$AL$255,1,T$5-$K$252+1)*INDEX($N$256:$AL$256,1,T$5-$K$252+1),0)-$I$252*((T$5=Inputs!$C$12)*$C$254*$D$252+(T$5=Inputs!$C$13)*$D$254*($D$252+Inputs!$C$14))+$I$252*((T$5=Inputs!$C$15+$K$252)*$E$254*$I$254+(T$5=Inputs!$C$16+$K$252)*$F$254*$J$254+(T$5=Inputs!$C$17)*$G$254*$H$252*$H$254)</f>
        <v>94.08</v>
      </c>
      <c r="U257" s="42" t="n">
        <f aca="false">-($D$252+$J$252)*(U$5=0)+IF(AND(U$5-$K$252&gt;=1,U$5-$K$252&lt;=Inputs!$C$13),INDEX($N$255:$AL$255,1,U$5-$K$252+1)*INDEX($N$256:$AL$256,1,U$5-$K$252+1),0)-$I$252*((U$5=Inputs!$C$12)*$C$254*$D$252+(U$5=Inputs!$C$13)*$D$254*($D$252+Inputs!$C$14))+$I$252*((U$5=Inputs!$C$15+$K$252)*$E$254*$I$254+(U$5=Inputs!$C$16+$K$252)*$F$254*$J$254+(U$5=Inputs!$C$17)*$G$254*$H$252*$H$254)</f>
        <v>94.08</v>
      </c>
      <c r="V257" s="42" t="n">
        <f aca="false">-($D$252+$J$252)*(V$5=0)+IF(AND(V$5-$K$252&gt;=1,V$5-$K$252&lt;=Inputs!$C$13),INDEX($N$255:$AL$255,1,V$5-$K$252+1)*INDEX($N$256:$AL$256,1,V$5-$K$252+1),0)-$I$252*((V$5=Inputs!$C$12)*$C$254*$D$252+(V$5=Inputs!$C$13)*$D$254*($D$252+Inputs!$C$14))+$I$252*((V$5=Inputs!$C$15+$K$252)*$E$254*$I$254+(V$5=Inputs!$C$16+$K$252)*$F$254*$J$254+(V$5=Inputs!$C$17)*$G$254*$H$252*$H$254)</f>
        <v>58.24</v>
      </c>
      <c r="W257" s="42" t="n">
        <f aca="false">-($D$252+$J$252)*(W$5=0)+IF(AND(W$5-$K$252&gt;=1,W$5-$K$252&lt;=Inputs!$C$13),INDEX($N$255:$AL$255,1,W$5-$K$252+1)*INDEX($N$256:$AL$256,1,W$5-$K$252+1),0)-$I$252*((W$5=Inputs!$C$12)*$C$254*$D$252+(W$5=Inputs!$C$13)*$D$254*($D$252+Inputs!$C$14))+$I$252*((W$5=Inputs!$C$15+$K$252)*$E$254*$I$254+(W$5=Inputs!$C$16+$K$252)*$F$254*$J$254+(W$5=Inputs!$C$17)*$G$254*$H$252*$H$254)</f>
        <v>58.24</v>
      </c>
      <c r="X257" s="42" t="n">
        <f aca="false">-($D$252+$J$252)*(X$5=0)+IF(AND(X$5-$K$252&gt;=1,X$5-$K$252&lt;=Inputs!$C$13),INDEX($N$255:$AL$255,1,X$5-$K$252+1)*INDEX($N$256:$AL$256,1,X$5-$K$252+1),0)-$I$252*((X$5=Inputs!$C$12)*$C$254*$D$252+(X$5=Inputs!$C$13)*$D$254*($D$252+Inputs!$C$14))+$I$252*((X$5=Inputs!$C$15+$K$252)*$E$254*$I$254+(X$5=Inputs!$C$16+$K$252)*$F$254*$J$254+(X$5=Inputs!$C$17)*$G$254*$H$252*$H$254)</f>
        <v>58.24</v>
      </c>
      <c r="Y257" s="42" t="n">
        <f aca="false">-($D$252+$J$252)*(Y$5=0)+IF(AND(Y$5-$K$252&gt;=1,Y$5-$K$252&lt;=Inputs!$C$13),INDEX($N$255:$AL$255,1,Y$5-$K$252+1)*INDEX($N$256:$AL$256,1,Y$5-$K$252+1),0)-$I$252*((Y$5=Inputs!$C$12)*$C$254*$D$252+(Y$5=Inputs!$C$13)*$D$254*($D$252+Inputs!$C$14))+$I$252*((Y$5=Inputs!$C$15+$K$252)*$E$254*$I$254+(Y$5=Inputs!$C$16+$K$252)*$F$254*$J$254+(Y$5=Inputs!$C$17)*$G$254*$H$252*$H$254)</f>
        <v>49.2799999999999</v>
      </c>
      <c r="Z257" s="42" t="n">
        <f aca="false">-($D$252+$J$252)*(Z$5=0)+IF(AND(Z$5-$K$252&gt;=1,Z$5-$K$252&lt;=Inputs!$C$13),INDEX($N$255:$AL$255,1,Z$5-$K$252+1)*INDEX($N$256:$AL$256,1,Z$5-$K$252+1),0)-$I$252*((Z$5=Inputs!$C$12)*$C$254*$D$252+(Z$5=Inputs!$C$13)*$D$254*($D$252+Inputs!$C$14))+$I$252*((Z$5=Inputs!$C$15+$K$252)*$E$254*$I$254+(Z$5=Inputs!$C$16+$K$252)*$F$254*$J$254+(Z$5=Inputs!$C$17)*$G$254*$H$252*$H$254)</f>
        <v>-577.92</v>
      </c>
      <c r="AA257" s="42" t="n">
        <f aca="false">-($D$252+$J$252)*(AA$5=0)+IF(AND(AA$5-$K$252&gt;=1,AA$5-$K$252&lt;=Inputs!$C$13),INDEX($N$255:$AL$255,1,AA$5-$K$252+1)*INDEX($N$256:$AL$256,1,AA$5-$K$252+1),0)-$I$252*((AA$5=Inputs!$C$12)*$C$254*$D$252+(AA$5=Inputs!$C$13)*$D$254*($D$252+Inputs!$C$14))+$I$252*((AA$5=Inputs!$C$15+$K$252)*$E$254*$I$254+(AA$5=Inputs!$C$16+$K$252)*$F$254*$J$254+(AA$5=Inputs!$C$17)*$G$254*$H$252*$H$254)</f>
        <v>49.2799999999999</v>
      </c>
      <c r="AB257" s="42" t="n">
        <f aca="false">-($D$252+$J$252)*(AB$5=0)+IF(AND(AB$5-$K$252&gt;=1,AB$5-$K$252&lt;=Inputs!$C$13),INDEX($N$255:$AL$255,1,AB$5-$K$252+1)*INDEX($N$256:$AL$256,1,AB$5-$K$252+1),0)-$I$252*((AB$5=Inputs!$C$12)*$C$254*$D$252+(AB$5=Inputs!$C$13)*$D$254*($D$252+Inputs!$C$14))+$I$252*((AB$5=Inputs!$C$15+$K$252)*$E$254*$I$254+(AB$5=Inputs!$C$16+$K$252)*$F$254*$J$254+(AB$5=Inputs!$C$17)*$G$254*$H$252*$H$254)</f>
        <v>61.7991111111111</v>
      </c>
      <c r="AC257" s="42" t="n">
        <f aca="false">-($D$252+$J$252)*(AC$5=0)+IF(AND(AC$5-$K$252&gt;=1,AC$5-$K$252&lt;=Inputs!$C$13),INDEX($N$255:$AL$255,1,AC$5-$K$252+1)*INDEX($N$256:$AL$256,1,AC$5-$K$252+1),0)-$I$252*((AC$5=Inputs!$C$12)*$C$254*$D$252+(AC$5=Inputs!$C$13)*$D$254*($D$252+Inputs!$C$14))+$I$252*((AC$5=Inputs!$C$15+$K$252)*$E$254*$I$254+(AC$5=Inputs!$C$16+$K$252)*$F$254*$J$254+(AC$5=Inputs!$C$17)*$G$254*$H$252*$H$254)</f>
        <v>62.3715555555555</v>
      </c>
      <c r="AD257" s="42" t="n">
        <f aca="false">-($D$252+$J$252)*(AD$5=0)+IF(AND(AD$5-$K$252&gt;=1,AD$5-$K$252&lt;=Inputs!$C$13),INDEX($N$255:$AL$255,1,AD$5-$K$252+1)*INDEX($N$256:$AL$256,1,AD$5-$K$252+1),0)-$I$252*((AD$5=Inputs!$C$12)*$C$254*$D$252+(AD$5=Inputs!$C$13)*$D$254*($D$252+Inputs!$C$14))+$I$252*((AD$5=Inputs!$C$15+$K$252)*$E$254*$I$254+(AD$5=Inputs!$C$16+$K$252)*$F$254*$J$254+(AD$5=Inputs!$C$17)*$G$254*$H$252*$H$254)</f>
        <v>62.9440000000003</v>
      </c>
      <c r="AE257" s="42" t="n">
        <f aca="false">-($D$252+$J$252)*(AE$5=0)+IF(AND(AE$5-$K$252&gt;=1,AE$5-$K$252&lt;=Inputs!$C$13),INDEX($N$255:$AL$255,1,AE$5-$K$252+1)*INDEX($N$256:$AL$256,1,AE$5-$K$252+1),0)-$I$252*((AE$5=Inputs!$C$12)*$C$254*$D$252+(AE$5=Inputs!$C$13)*$D$254*($D$252+Inputs!$C$14))+$I$252*((AE$5=Inputs!$C$15+$K$252)*$E$254*$I$254+(AE$5=Inputs!$C$16+$K$252)*$F$254*$J$254+(AE$5=Inputs!$C$17)*$G$254*$H$252*$H$254)</f>
        <v>63.5164444444444</v>
      </c>
      <c r="AF257" s="42" t="n">
        <f aca="false">-($D$252+$J$252)*(AF$5=0)+IF(AND(AF$5-$K$252&gt;=1,AF$5-$K$252&lt;=Inputs!$C$13),INDEX($N$255:$AL$255,1,AF$5-$K$252+1)*INDEX($N$256:$AL$256,1,AF$5-$K$252+1),0)-$I$252*((AF$5=Inputs!$C$12)*$C$254*$D$252+(AF$5=Inputs!$C$13)*$D$254*($D$252+Inputs!$C$14))+$I$252*((AF$5=Inputs!$C$15+$K$252)*$E$254*$I$254+(AF$5=Inputs!$C$16+$K$252)*$F$254*$J$254+(AF$5=Inputs!$C$17)*$G$254*$H$252*$H$254)</f>
        <v>64.0888888888889</v>
      </c>
      <c r="AG257" s="42" t="n">
        <f aca="false">-($D$252+$J$252)*(AG$5=0)+IF(AND(AG$5-$K$252&gt;=1,AG$5-$K$252&lt;=Inputs!$C$13),INDEX($N$255:$AL$255,1,AG$5-$K$252+1)*INDEX($N$256:$AL$256,1,AG$5-$K$252+1),0)-$I$252*((AG$5=Inputs!$C$12)*$C$254*$D$252+(AG$5=Inputs!$C$13)*$D$254*($D$252+Inputs!$C$14))+$I$252*((AG$5=Inputs!$C$15+$K$252)*$E$254*$I$254+(AG$5=Inputs!$C$16+$K$252)*$F$254*$J$254+(AG$5=Inputs!$C$17)*$G$254*$H$252*$H$254)</f>
        <v>64.6613333333333</v>
      </c>
      <c r="AH257" s="42" t="n">
        <f aca="false">-($D$252+$J$252)*(AH$5=0)+IF(AND(AH$5-$K$252&gt;=1,AH$5-$K$252&lt;=Inputs!$C$13),INDEX($N$255:$AL$255,1,AH$5-$K$252+1)*INDEX($N$256:$AL$256,1,AH$5-$K$252+1),0)-$I$252*((AH$5=Inputs!$C$12)*$C$254*$D$252+(AH$5=Inputs!$C$13)*$D$254*($D$252+Inputs!$C$14))+$I$252*((AH$5=Inputs!$C$15+$K$252)*$E$254*$I$254+(AH$5=Inputs!$C$16+$K$252)*$F$254*$J$254+(AH$5=Inputs!$C$17)*$G$254*$H$252*$H$254)</f>
        <v>46.5955555555557</v>
      </c>
      <c r="AI257" s="42" t="n">
        <f aca="false">-($D$252+$J$252)*(AI$5=0)+IF(AND(AI$5-$K$252&gt;=1,AI$5-$K$252&lt;=Inputs!$C$13),INDEX($N$255:$AL$255,1,AI$5-$K$252+1)*INDEX($N$256:$AL$256,1,AI$5-$K$252+1),0)-$I$252*((AI$5=Inputs!$C$12)*$C$254*$D$252+(AI$5=Inputs!$C$13)*$D$254*($D$252+Inputs!$C$14))+$I$252*((AI$5=Inputs!$C$15+$K$252)*$E$254*$I$254+(AI$5=Inputs!$C$16+$K$252)*$F$254*$J$254+(AI$5=Inputs!$C$17)*$G$254*$H$252*$H$254)</f>
        <v>47.0044444444443</v>
      </c>
      <c r="AJ257" s="42" t="n">
        <f aca="false">-($D$252+$J$252)*(AJ$5=0)+IF(AND(AJ$5-$K$252&gt;=1,AJ$5-$K$252&lt;=Inputs!$C$13),INDEX($N$255:$AL$255,1,AJ$5-$K$252+1)*INDEX($N$256:$AL$256,1,AJ$5-$K$252+1),0)-$I$252*((AJ$5=Inputs!$C$12)*$C$254*$D$252+(AJ$5=Inputs!$C$13)*$D$254*($D$252+Inputs!$C$14))+$I$252*((AJ$5=Inputs!$C$15+$K$252)*$E$254*$I$254+(AJ$5=Inputs!$C$16+$K$252)*$F$254*$J$254+(AJ$5=Inputs!$C$17)*$G$254*$H$252*$H$254)</f>
        <v>47.4133333333332</v>
      </c>
      <c r="AK257" s="42" t="n">
        <f aca="false">-($D$252+$J$252)*(AK$5=0)+IF(AND(AK$5-$K$252&gt;=1,AK$5-$K$252&lt;=Inputs!$C$13),INDEX($N$255:$AL$255,1,AK$5-$K$252+1)*INDEX($N$256:$AL$256,1,AK$5-$K$252+1),0)-$I$252*((AK$5=Inputs!$C$12)*$C$254*$D$252+(AK$5=Inputs!$C$13)*$D$254*($D$252+Inputs!$C$14))+$I$252*((AK$5=Inputs!$C$15+$K$252)*$E$254*$I$254+(AK$5=Inputs!$C$16+$K$252)*$F$254*$J$254+(AK$5=Inputs!$C$17)*$G$254*$H$252*$H$254)</f>
        <v>47.8222222222224</v>
      </c>
      <c r="AL257" s="42" t="n">
        <f aca="false">-($D$252+$J$252)*(AL$5=0)+IF(AND(AL$5-$K$252&gt;=1,AL$5-$K$252&lt;=Inputs!$C$13),INDEX($N$255:$AL$255,1,AL$5-$K$252+1)*INDEX($N$256:$AL$256,1,AL$5-$K$252+1),0)-$I$252*((AL$5=Inputs!$C$12)*$C$254*$D$252+(AL$5=Inputs!$C$13)*$D$254*($D$252+Inputs!$C$14))+$I$252*((AL$5=Inputs!$C$15+$K$252)*$E$254*$I$254+(AL$5=Inputs!$C$16+$K$252)*$F$254*$J$254+(AL$5=Inputs!$C$17)*$G$254*$H$252*$H$254)</f>
        <v>-631.768888888889</v>
      </c>
      <c r="AM257" s="42" t="n">
        <f aca="false">-($D$252+$J$252)*(AM$5=0)+IF(AND(AM$5-$K$252&gt;=1,AM$5-$K$252&lt;=Inputs!$C$13),INDEX($N$255:$AL$255,1,AM$5-$K$252+1)*INDEX($N$256:$AL$256,1,AM$5-$K$252+1),0)-$I$252*((AM$5=Inputs!$C$12)*$C$254*$D$252+(AM$5=Inputs!$C$13)*$D$254*($D$252+Inputs!$C$14))+$I$252*((AM$5=Inputs!$C$15+$K$252)*$E$254*$I$254+(AM$5=Inputs!$C$16+$K$252)*$F$254*$J$254+(AM$5=Inputs!$C$17)*$G$254*$H$252*$H$254)</f>
        <v>48.6399999999998</v>
      </c>
      <c r="AN257" s="42" t="n">
        <f aca="false">-($D$252+$J$252)*(AN$5=0)+IF(AND(AN$5-$K$252&gt;=1,AN$5-$K$252&lt;=Inputs!$C$13),INDEX($N$255:$AL$255,1,AN$5-$K$252+1)*INDEX($N$256:$AL$256,1,AN$5-$K$252+1),0)-$I$252*((AN$5=Inputs!$C$12)*$C$254*$D$252+(AN$5=Inputs!$C$13)*$D$254*($D$252+Inputs!$C$14))+$I$252*((AN$5=Inputs!$C$15+$K$252)*$E$254*$I$254+(AN$5=Inputs!$C$16+$K$252)*$F$254*$J$254+(AN$5=Inputs!$C$17)*$G$254*$H$252*$H$254)</f>
        <v>0</v>
      </c>
      <c r="AO257" s="42" t="n">
        <f aca="false">-($D$252+$J$252)*(AO$5=0)+IF(AND(AO$5-$K$252&gt;=1,AO$5-$K$252&lt;=Inputs!$C$13),INDEX($N$255:$AL$255,1,AO$5-$K$252+1)*INDEX($N$256:$AL$256,1,AO$5-$K$252+1),0)-$I$252*((AO$5=Inputs!$C$12)*$C$254*$D$252+(AO$5=Inputs!$C$13)*$D$254*($D$252+Inputs!$C$14))+$I$252*((AO$5=Inputs!$C$15+$K$252)*$E$254*$I$254+(AO$5=Inputs!$C$16+$K$252)*$F$254*$J$254+(AO$5=Inputs!$C$17)*$G$254*$H$252*$H$254)</f>
        <v>0</v>
      </c>
      <c r="AP257" s="42" t="n">
        <f aca="false">-($D$252+$J$252)*(AP$5=0)+IF(AND(AP$5-$K$252&gt;=1,AP$5-$K$252&lt;=Inputs!$C$13),INDEX($N$255:$AL$255,1,AP$5-$K$252+1)*INDEX($N$256:$AL$256,1,AP$5-$K$252+1),0)-$I$252*((AP$5=Inputs!$C$12)*$C$254*$D$252+(AP$5=Inputs!$C$13)*$D$254*($D$252+Inputs!$C$14))+$I$252*((AP$5=Inputs!$C$15+$K$252)*$E$254*$I$254+(AP$5=Inputs!$C$16+$K$252)*$F$254*$J$254+(AP$5=Inputs!$C$17)*$G$254*$H$252*$H$254)</f>
        <v>576.96</v>
      </c>
      <c r="AQ257" s="42" t="n">
        <f aca="false">-($D$252+$J$252)*(AQ$5=0)+IF(AND(AQ$5-$K$252&gt;=1,AQ$5-$K$252&lt;=Inputs!$C$13),INDEX($N$255:$AL$255,1,AQ$5-$K$252+1)*INDEX($N$256:$AL$256,1,AQ$5-$K$252+1),0)-$I$252*((AQ$5=Inputs!$C$12)*$C$254*$D$252+(AQ$5=Inputs!$C$13)*$D$254*($D$252+Inputs!$C$14))+$I$252*((AQ$5=Inputs!$C$15+$K$252)*$E$254*$I$254+(AQ$5=Inputs!$C$16+$K$252)*$F$254*$J$254+(AQ$5=Inputs!$C$17)*$G$254*$H$252*$H$254)</f>
        <v>0</v>
      </c>
      <c r="AR257" s="42" t="n">
        <f aca="false">-($D$252+$J$252)*(AR$5=0)+IF(AND(AR$5-$K$252&gt;=1,AR$5-$K$252&lt;=Inputs!$C$13),INDEX($N$255:$AL$255,1,AR$5-$K$252+1)*INDEX($N$256:$AL$256,1,AR$5-$K$252+1),0)-$I$252*((AR$5=Inputs!$C$12)*$C$254*$D$252+(AR$5=Inputs!$C$13)*$D$254*($D$252+Inputs!$C$14))+$I$252*((AR$5=Inputs!$C$15+$K$252)*$E$254*$I$254+(AR$5=Inputs!$C$16+$K$252)*$F$254*$J$254+(AR$5=Inputs!$C$17)*$G$254*$H$252*$H$254)</f>
        <v>0</v>
      </c>
      <c r="AS257" s="42" t="n">
        <f aca="false">-($D$252+$J$252)*(AS$5=0)+IF(AND(AS$5-$K$252&gt;=1,AS$5-$K$252&lt;=Inputs!$C$13),INDEX($N$255:$AL$255,1,AS$5-$K$252+1)*INDEX($N$256:$AL$256,1,AS$5-$K$252+1),0)-$I$252*((AS$5=Inputs!$C$12)*$C$254*$D$252+(AS$5=Inputs!$C$13)*$D$254*($D$252+Inputs!$C$14))+$I$252*((AS$5=Inputs!$C$15+$K$252)*$E$254*$I$254+(AS$5=Inputs!$C$16+$K$252)*$F$254*$J$254+(AS$5=Inputs!$C$17)*$G$254*$H$252*$H$254)</f>
        <v>442.56</v>
      </c>
      <c r="AT257" s="42" t="n">
        <f aca="false">-($D$252+$J$252)*(AT$5=0)+IF(AND(AT$5-$K$252&gt;=1,AT$5-$K$252&lt;=Inputs!$C$13),INDEX($N$255:$AL$255,1,AT$5-$K$252+1)*INDEX($N$256:$AL$256,1,AT$5-$K$252+1),0)-$I$252*((AT$5=Inputs!$C$12)*$C$254*$D$252+(AT$5=Inputs!$C$13)*$D$254*($D$252+Inputs!$C$14))+$I$252*((AT$5=Inputs!$C$15+$K$252)*$E$254*$I$254+(AT$5=Inputs!$C$16+$K$252)*$F$254*$J$254+(AT$5=Inputs!$C$17)*$G$254*$H$252*$H$254)</f>
        <v>0</v>
      </c>
      <c r="AU257" s="42" t="n">
        <f aca="false">-($D$252+$J$252)*(AU$5=0)+IF(AND(AU$5-$K$252&gt;=1,AU$5-$K$252&lt;=Inputs!$C$13),INDEX($N$255:$AL$255,1,AU$5-$K$252+1)*INDEX($N$256:$AL$256,1,AU$5-$K$252+1),0)-$I$252*((AU$5=Inputs!$C$12)*$C$254*$D$252+(AU$5=Inputs!$C$13)*$D$254*($D$252+Inputs!$C$14))+$I$252*((AU$5=Inputs!$C$15+$K$252)*$E$254*$I$254+(AU$5=Inputs!$C$16+$K$252)*$F$254*$J$254+(AU$5=Inputs!$C$17)*$G$254*$H$252*$H$254)</f>
        <v>0</v>
      </c>
      <c r="AV257" s="42" t="n">
        <f aca="false">-($D$252+$J$252)*(AV$5=0)+IF(AND(AV$5-$K$252&gt;=1,AV$5-$K$252&lt;=Inputs!$C$13),INDEX($N$255:$AL$255,1,AV$5-$K$252+1)*INDEX($N$256:$AL$256,1,AV$5-$K$252+1),0)-$I$252*((AV$5=Inputs!$C$12)*$C$254*$D$252+(AV$5=Inputs!$C$13)*$D$254*($D$252+Inputs!$C$14))+$I$252*((AV$5=Inputs!$C$15+$K$252)*$E$254*$I$254+(AV$5=Inputs!$C$16+$K$252)*$F$254*$J$254+(AV$5=Inputs!$C$17)*$G$254*$H$252*$H$254)</f>
        <v>0</v>
      </c>
      <c r="AW257" s="42" t="n">
        <f aca="false">-($D$252+$J$252)*(AW$5=0)+IF(AND(AW$5-$K$252&gt;=1,AW$5-$K$252&lt;=Inputs!$C$13),INDEX($N$255:$AL$255,1,AW$5-$K$252+1)*INDEX($N$256:$AL$256,1,AW$5-$K$252+1),0)-$I$252*((AW$5=Inputs!$C$12)*$C$254*$D$252+(AW$5=Inputs!$C$13)*$D$254*($D$252+Inputs!$C$14))+$I$252*((AW$5=Inputs!$C$15+$K$252)*$E$254*$I$254+(AW$5=Inputs!$C$16+$K$252)*$F$254*$J$254+(AW$5=Inputs!$C$17)*$G$254*$H$252*$H$254)</f>
        <v>0</v>
      </c>
      <c r="AX257" s="42" t="n">
        <f aca="false">-($D$252+$J$252)*(AX$5=0)+IF(AND(AX$5-$K$252&gt;=1,AX$5-$K$252&lt;=Inputs!$C$13),INDEX($N$255:$AL$255,1,AX$5-$K$252+1)*INDEX($N$256:$AL$256,1,AX$5-$K$252+1),0)-$I$252*((AX$5=Inputs!$C$12)*$C$254*$D$252+(AX$5=Inputs!$C$13)*$D$254*($D$252+Inputs!$C$14))+$I$252*((AX$5=Inputs!$C$15+$K$252)*$E$254*$I$254+(AX$5=Inputs!$C$16+$K$252)*$F$254*$J$254+(AX$5=Inputs!$C$17)*$G$254*$H$252*$H$254)</f>
        <v>277.2</v>
      </c>
      <c r="AY257" s="42" t="n">
        <f aca="false">-($D$252+$J$252)*(AY$5=0)+IF(AND(AY$5-$K$252&gt;=1,AY$5-$K$252&lt;=Inputs!$C$13),INDEX($N$255:$AL$255,1,AY$5-$K$252+1)*INDEX($N$256:$AL$256,1,AY$5-$K$252+1),0)-$I$252*((AY$5=Inputs!$C$12)*$C$254*$D$252+(AY$5=Inputs!$C$13)*$D$254*($D$252+Inputs!$C$14))+$I$252*((AY$5=Inputs!$C$15+$K$252)*$E$254*$I$254+(AY$5=Inputs!$C$16+$K$252)*$F$254*$J$254+(AY$5=Inputs!$C$17)*$G$254*$H$252*$H$254)</f>
        <v>0</v>
      </c>
    </row>
    <row r="259" customFormat="false" ht="15" hidden="false" customHeight="false" outlineLevel="0" collapsed="false">
      <c r="B259" s="7" t="s">
        <v>215</v>
      </c>
      <c r="C259" s="8"/>
      <c r="D259" s="8"/>
      <c r="E259" s="8"/>
      <c r="F259" s="8"/>
      <c r="G259" s="8"/>
      <c r="H259" s="8"/>
      <c r="I259" s="8"/>
      <c r="J259" s="8"/>
      <c r="K259" s="8"/>
      <c r="L259" s="8"/>
    </row>
    <row r="260" customFormat="false" ht="30" hidden="false" customHeight="true" outlineLevel="0" collapsed="false">
      <c r="B260" s="37"/>
      <c r="C260" s="38" t="s">
        <v>169</v>
      </c>
      <c r="D260" s="38" t="s">
        <v>170</v>
      </c>
      <c r="E260" s="38" t="s">
        <v>171</v>
      </c>
      <c r="F260" s="38" t="s">
        <v>43</v>
      </c>
      <c r="G260" s="38" t="s">
        <v>44</v>
      </c>
      <c r="H260" s="38" t="s">
        <v>45</v>
      </c>
      <c r="I260" s="38" t="s">
        <v>172</v>
      </c>
      <c r="J260" s="38" t="s">
        <v>90</v>
      </c>
      <c r="K260" s="38" t="s">
        <v>89</v>
      </c>
      <c r="L260" s="38" t="s">
        <v>173</v>
      </c>
    </row>
    <row r="261" customFormat="false" ht="15" hidden="false" customHeight="false" outlineLevel="0" collapsed="false">
      <c r="B261" s="39" t="s">
        <v>174</v>
      </c>
      <c r="C261" s="26" t="n">
        <f aca="false">Class_IRR!$G$5</f>
        <v>0.07</v>
      </c>
      <c r="D261" s="30" t="n">
        <f aca="false">Inputs!$E$26</f>
        <v>1600</v>
      </c>
      <c r="E261" s="26" t="n">
        <f aca="false">Inputs!$F$26</f>
        <v>0.8</v>
      </c>
      <c r="F261" s="25" t="n">
        <f aca="false">Inputs!$G$26</f>
        <v>0.4</v>
      </c>
      <c r="G261" s="25" t="n">
        <f aca="false">Inputs!$H$26</f>
        <v>0.5</v>
      </c>
      <c r="H261" s="25" t="n">
        <f aca="false">Inputs!$I$26</f>
        <v>0.7</v>
      </c>
      <c r="I261" s="22" t="n">
        <f aca="false">Inputs!$J$26</f>
        <v>1</v>
      </c>
      <c r="J261" s="23" t="n">
        <f aca="false">Inputs!$C$9</f>
        <v>10</v>
      </c>
      <c r="K261" s="22" t="n">
        <f aca="false">Inputs!$C$10</f>
        <v>1</v>
      </c>
      <c r="L261" s="22" t="n">
        <f aca="false">1</f>
        <v>1</v>
      </c>
    </row>
    <row r="262" customFormat="false" ht="30" hidden="false" customHeight="true" outlineLevel="0" collapsed="false">
      <c r="B262" s="37"/>
      <c r="C262" s="38" t="s">
        <v>175</v>
      </c>
      <c r="D262" s="38" t="s">
        <v>176</v>
      </c>
      <c r="E262" s="38" t="s">
        <v>177</v>
      </c>
      <c r="F262" s="38" t="s">
        <v>178</v>
      </c>
      <c r="G262" s="38" t="s">
        <v>112</v>
      </c>
      <c r="H262" s="38" t="s">
        <v>179</v>
      </c>
      <c r="I262" s="38" t="s">
        <v>180</v>
      </c>
      <c r="J262" s="38" t="s">
        <v>181</v>
      </c>
      <c r="K262" s="38" t="s">
        <v>182</v>
      </c>
      <c r="L262" s="38" t="s">
        <v>183</v>
      </c>
    </row>
    <row r="263" customFormat="false" ht="15" hidden="false" customHeight="false" outlineLevel="0" collapsed="false">
      <c r="B263" s="39" t="s">
        <v>184</v>
      </c>
      <c r="C263" s="40" t="n">
        <f aca="false">1-$E$261*CHOOSE($L$261,INDEX(Timing!$C$7:$AA$7,1,Inputs!$C$12+1),INDEX(Timing!$C$8:$AA$8,1,Inputs!$C$12+1))</f>
        <v>0.392</v>
      </c>
      <c r="D263" s="40" t="n">
        <f aca="false">1-$E$261*CHOOSE($L$261,INDEX(Timing!$C$7:$AA$7,1,Inputs!$C$13+1),INDEX(Timing!$C$8:$AA$8,1,Inputs!$C$13+1))</f>
        <v>0.2</v>
      </c>
      <c r="E263" s="40" t="n">
        <f aca="false">$I$261*$D$263*$F$261</f>
        <v>0.08</v>
      </c>
      <c r="F263" s="40" t="n">
        <f aca="false">$I$261*($D$263-$E$263)*$G$261</f>
        <v>0.06</v>
      </c>
      <c r="G263" s="40" t="n">
        <f aca="false">$I$261*($D$263-$E$263-$F$263)</f>
        <v>0.06</v>
      </c>
      <c r="H263" s="23" t="n">
        <f aca="false">$I$261*(3*$D$261+Inputs!$C$14)</f>
        <v>6600</v>
      </c>
      <c r="I263" s="23" t="n">
        <f aca="false">$I$261*($D$261*(1+IF($C$261&lt;=0,0,MAX($C$261*Inputs!$C$15/12,Inputs!$C$8)))+$D$261*(1+Inputs!$C$11*(Inputs!$C$15-Inputs!$C$12)/12)+$D$261*(1+Inputs!$C$11*(Inputs!$C$15-Inputs!$C$13)/12)+Inputs!$C$14)</f>
        <v>7284</v>
      </c>
      <c r="J263" s="23" t="n">
        <f aca="false">$I$261*($D$261*(1+IF($C$261&lt;=0,0,MAX($C$261*Inputs!$C$16/12,Inputs!$C$8)))+$D$261*(1+Inputs!$C$11*(Inputs!$C$16-Inputs!$C$12)/12)+$D$261*(1+Inputs!$C$11*(Inputs!$C$16-Inputs!$C$13)/12)+Inputs!$C$14)</f>
        <v>7456</v>
      </c>
      <c r="K263" s="40" t="n">
        <f aca="false">IRR($N$266:$AY$266,0.005)</f>
        <v>0.00257970093871361</v>
      </c>
      <c r="L263" s="41" t="n">
        <f aca="false">(1+$K$263)^12-1</f>
        <v>0.0313994306939855</v>
      </c>
    </row>
    <row r="264" customFormat="false" ht="15" hidden="false" customHeight="false" outlineLevel="0" collapsed="false">
      <c r="B264" s="9" t="s">
        <v>185</v>
      </c>
      <c r="N264" s="40" t="n">
        <f aca="false">0</f>
        <v>0</v>
      </c>
      <c r="O264" s="40" t="n">
        <f aca="false">$E$261*(CHOOSE($L$261,Timing!D$7,Timing!D$8)-CHOOSE($L$261,Timing!C$7,Timing!C$8))</f>
        <v>0.096</v>
      </c>
      <c r="P264" s="40" t="n">
        <f aca="false">$E$261*(CHOOSE($L$261,Timing!E$7,Timing!E$8)-CHOOSE($L$261,Timing!D$7,Timing!D$8))</f>
        <v>0.08</v>
      </c>
      <c r="Q264" s="40" t="n">
        <f aca="false">$E$261*(CHOOSE($L$261,Timing!F$7,Timing!F$8)-CHOOSE($L$261,Timing!E$7,Timing!E$8))</f>
        <v>0.072</v>
      </c>
      <c r="R264" s="40" t="n">
        <f aca="false">$E$261*(CHOOSE($L$261,Timing!G$7,Timing!G$8)-CHOOSE($L$261,Timing!F$7,Timing!F$8))</f>
        <v>0.056</v>
      </c>
      <c r="S264" s="40" t="n">
        <f aca="false">$E$261*(CHOOSE($L$261,Timing!H$7,Timing!H$8)-CHOOSE($L$261,Timing!G$7,Timing!G$8))</f>
        <v>0.056</v>
      </c>
      <c r="T264" s="40" t="n">
        <f aca="false">$E$261*(CHOOSE($L$261,Timing!I$7,Timing!I$8)-CHOOSE($L$261,Timing!H$7,Timing!H$8))</f>
        <v>0.056</v>
      </c>
      <c r="U264" s="40" t="n">
        <f aca="false">$E$261*(CHOOSE($L$261,Timing!J$7,Timing!J$8)-CHOOSE($L$261,Timing!I$7,Timing!I$8))</f>
        <v>0.0346666666666667</v>
      </c>
      <c r="V264" s="40" t="n">
        <f aca="false">$E$261*(CHOOSE($L$261,Timing!K$7,Timing!K$8)-CHOOSE($L$261,Timing!J$7,Timing!J$8))</f>
        <v>0.0346666666666667</v>
      </c>
      <c r="W264" s="40" t="n">
        <f aca="false">$E$261*(CHOOSE($L$261,Timing!L$7,Timing!L$8)-CHOOSE($L$261,Timing!K$7,Timing!K$8))</f>
        <v>0.0346666666666667</v>
      </c>
      <c r="X264" s="40" t="n">
        <f aca="false">$E$261*(CHOOSE($L$261,Timing!M$7,Timing!M$8)-CHOOSE($L$261,Timing!L$7,Timing!L$8))</f>
        <v>0.0293333333333333</v>
      </c>
      <c r="Y264" s="40" t="n">
        <f aca="false">$E$261*(CHOOSE($L$261,Timing!N$7,Timing!N$8)-CHOOSE($L$261,Timing!M$7,Timing!M$8))</f>
        <v>0.0293333333333334</v>
      </c>
      <c r="Z264" s="40" t="n">
        <f aca="false">$E$261*(CHOOSE($L$261,Timing!O$7,Timing!O$8)-CHOOSE($L$261,Timing!N$7,Timing!N$8))</f>
        <v>0.0293333333333333</v>
      </c>
      <c r="AA264" s="40" t="n">
        <f aca="false">$E$261*(CHOOSE($L$261,Timing!P$7,Timing!P$8)-CHOOSE($L$261,Timing!O$7,Timing!O$8))</f>
        <v>0.0186666666666667</v>
      </c>
      <c r="AB264" s="40" t="n">
        <f aca="false">$E$261*(CHOOSE($L$261,Timing!Q$7,Timing!Q$8)-CHOOSE($L$261,Timing!P$7,Timing!P$8))</f>
        <v>0.0186666666666667</v>
      </c>
      <c r="AC264" s="40" t="n">
        <f aca="false">$E$261*(CHOOSE($L$261,Timing!R$7,Timing!R$8)-CHOOSE($L$261,Timing!Q$7,Timing!Q$8))</f>
        <v>0.0186666666666667</v>
      </c>
      <c r="AD264" s="40" t="n">
        <f aca="false">$E$261*(CHOOSE($L$261,Timing!S$7,Timing!S$8)-CHOOSE($L$261,Timing!R$7,Timing!R$8))</f>
        <v>0.0186666666666667</v>
      </c>
      <c r="AE264" s="40" t="n">
        <f aca="false">$E$261*(CHOOSE($L$261,Timing!T$7,Timing!T$8)-CHOOSE($L$261,Timing!S$7,Timing!S$8))</f>
        <v>0.0186666666666667</v>
      </c>
      <c r="AF264" s="40" t="n">
        <f aca="false">$E$261*(CHOOSE($L$261,Timing!U$7,Timing!U$8)-CHOOSE($L$261,Timing!T$7,Timing!T$8))</f>
        <v>0.0186666666666667</v>
      </c>
      <c r="AG264" s="40" t="n">
        <f aca="false">$E$261*(CHOOSE($L$261,Timing!V$7,Timing!V$8)-CHOOSE($L$261,Timing!U$7,Timing!U$8))</f>
        <v>0.0133333333333334</v>
      </c>
      <c r="AH264" s="40" t="n">
        <f aca="false">$E$261*(CHOOSE($L$261,Timing!W$7,Timing!W$8)-CHOOSE($L$261,Timing!V$7,Timing!V$8))</f>
        <v>0.0133333333333333</v>
      </c>
      <c r="AI264" s="40" t="n">
        <f aca="false">$E$261*(CHOOSE($L$261,Timing!X$7,Timing!X$8)-CHOOSE($L$261,Timing!W$7,Timing!W$8))</f>
        <v>0.0133333333333333</v>
      </c>
      <c r="AJ264" s="40" t="n">
        <f aca="false">$E$261*(CHOOSE($L$261,Timing!Y$7,Timing!Y$8)-CHOOSE($L$261,Timing!X$7,Timing!X$8))</f>
        <v>0.0133333333333334</v>
      </c>
      <c r="AK264" s="40" t="n">
        <f aca="false">$E$261*(CHOOSE($L$261,Timing!Z$7,Timing!Z$8)-CHOOSE($L$261,Timing!Y$7,Timing!Y$8))</f>
        <v>0.0133333333333334</v>
      </c>
      <c r="AL264" s="40" t="n">
        <f aca="false">$E$261*(CHOOSE($L$261,Timing!AA$7,Timing!AA$8)-CHOOSE($L$261,Timing!Z$7,Timing!Z$8))</f>
        <v>0.0133333333333333</v>
      </c>
    </row>
    <row r="265" customFormat="false" ht="15" hidden="false" customHeight="false" outlineLevel="0" collapsed="false">
      <c r="B265" s="9" t="s">
        <v>186</v>
      </c>
      <c r="N265" s="42" t="n">
        <f aca="false">0</f>
        <v>0</v>
      </c>
      <c r="O265" s="42" t="n">
        <f aca="false">$D$261*(1+IF($C$261&lt;=0,0,MAX($C$261*O$5/12,Inputs!$C$8)))+$I$261*(O$5&gt;Inputs!$C$12)*$D$261*(1+Inputs!$C$11*(O$5-Inputs!$C$12)/12)</f>
        <v>1680</v>
      </c>
      <c r="P265" s="42" t="n">
        <f aca="false">$D$261*(1+IF($C$261&lt;=0,0,MAX($C$261*P$5/12,Inputs!$C$8)))+$I$261*(P$5&gt;Inputs!$C$12)*$D$261*(1+Inputs!$C$11*(P$5-Inputs!$C$12)/12)</f>
        <v>1680</v>
      </c>
      <c r="Q265" s="42" t="n">
        <f aca="false">$D$261*(1+IF($C$261&lt;=0,0,MAX($C$261*Q$5/12,Inputs!$C$8)))+$I$261*(Q$5&gt;Inputs!$C$12)*$D$261*(1+Inputs!$C$11*(Q$5-Inputs!$C$12)/12)</f>
        <v>1680</v>
      </c>
      <c r="R265" s="42" t="n">
        <f aca="false">$D$261*(1+IF($C$261&lt;=0,0,MAX($C$261*R$5/12,Inputs!$C$8)))+$I$261*(R$5&gt;Inputs!$C$12)*$D$261*(1+Inputs!$C$11*(R$5-Inputs!$C$12)/12)</f>
        <v>1680</v>
      </c>
      <c r="S265" s="42" t="n">
        <f aca="false">$D$261*(1+IF($C$261&lt;=0,0,MAX($C$261*S$5/12,Inputs!$C$8)))+$I$261*(S$5&gt;Inputs!$C$12)*$D$261*(1+Inputs!$C$11*(S$5-Inputs!$C$12)/12)</f>
        <v>1680</v>
      </c>
      <c r="T265" s="42" t="n">
        <f aca="false">$D$261*(1+IF($C$261&lt;=0,0,MAX($C$261*T$5/12,Inputs!$C$8)))+$I$261*(T$5&gt;Inputs!$C$12)*$D$261*(1+Inputs!$C$11*(T$5-Inputs!$C$12)/12)</f>
        <v>1680</v>
      </c>
      <c r="U265" s="42" t="n">
        <f aca="false">$D$261*(1+IF($C$261&lt;=0,0,MAX($C$261*U$5/12,Inputs!$C$8)))+$I$261*(U$5&gt;Inputs!$C$12)*$D$261*(1+Inputs!$C$11*(U$5-Inputs!$C$12)/12)</f>
        <v>1680</v>
      </c>
      <c r="V265" s="42" t="n">
        <f aca="false">$D$261*(1+IF($C$261&lt;=0,0,MAX($C$261*V$5/12,Inputs!$C$8)))+$I$261*(V$5&gt;Inputs!$C$12)*$D$261*(1+Inputs!$C$11*(V$5-Inputs!$C$12)/12)</f>
        <v>1680</v>
      </c>
      <c r="W265" s="42" t="n">
        <f aca="false">$D$261*(1+IF($C$261&lt;=0,0,MAX($C$261*W$5/12,Inputs!$C$8)))+$I$261*(W$5&gt;Inputs!$C$12)*$D$261*(1+Inputs!$C$11*(W$5-Inputs!$C$12)/12)</f>
        <v>1684</v>
      </c>
      <c r="X265" s="42" t="n">
        <f aca="false">$D$261*(1+IF($C$261&lt;=0,0,MAX($C$261*X$5/12,Inputs!$C$8)))+$I$261*(X$5&gt;Inputs!$C$12)*$D$261*(1+Inputs!$C$11*(X$5-Inputs!$C$12)/12)</f>
        <v>1693.33333333333</v>
      </c>
      <c r="Y265" s="42" t="n">
        <f aca="false">$D$261*(1+IF($C$261&lt;=0,0,MAX($C$261*Y$5/12,Inputs!$C$8)))+$I$261*(Y$5&gt;Inputs!$C$12)*$D$261*(1+Inputs!$C$11*(Y$5-Inputs!$C$12)/12)</f>
        <v>1702.66666666667</v>
      </c>
      <c r="Z265" s="42" t="n">
        <f aca="false">$D$261*(1+IF($C$261&lt;=0,0,MAX($C$261*Z$5/12,Inputs!$C$8)))+$I$261*(Z$5&gt;Inputs!$C$12)*$D$261*(1+Inputs!$C$11*(Z$5-Inputs!$C$12)/12)</f>
        <v>1712</v>
      </c>
      <c r="AA265" s="42" t="n">
        <f aca="false">$D$261*(1+IF($C$261&lt;=0,0,MAX($C$261*AA$5/12,Inputs!$C$8)))+$I$261*(AA$5&gt;Inputs!$C$12)*$D$261*(1+Inputs!$C$11*(AA$5-Inputs!$C$12)/12)</f>
        <v>3345.33333333333</v>
      </c>
      <c r="AB265" s="42" t="n">
        <f aca="false">$D$261*(1+IF($C$261&lt;=0,0,MAX($C$261*AB$5/12,Inputs!$C$8)))+$I$261*(AB$5&gt;Inputs!$C$12)*$D$261*(1+Inputs!$C$11*(AB$5-Inputs!$C$12)/12)</f>
        <v>3378.66666666667</v>
      </c>
      <c r="AC265" s="42" t="n">
        <f aca="false">$D$261*(1+IF($C$261&lt;=0,0,MAX($C$261*AC$5/12,Inputs!$C$8)))+$I$261*(AC$5&gt;Inputs!$C$12)*$D$261*(1+Inputs!$C$11*(AC$5-Inputs!$C$12)/12)</f>
        <v>3412</v>
      </c>
      <c r="AD265" s="42" t="n">
        <f aca="false">$D$261*(1+IF($C$261&lt;=0,0,MAX($C$261*AD$5/12,Inputs!$C$8)))+$I$261*(AD$5&gt;Inputs!$C$12)*$D$261*(1+Inputs!$C$11*(AD$5-Inputs!$C$12)/12)</f>
        <v>3445.33333333333</v>
      </c>
      <c r="AE265" s="42" t="n">
        <f aca="false">$D$261*(1+IF($C$261&lt;=0,0,MAX($C$261*AE$5/12,Inputs!$C$8)))+$I$261*(AE$5&gt;Inputs!$C$12)*$D$261*(1+Inputs!$C$11*(AE$5-Inputs!$C$12)/12)</f>
        <v>3478.66666666667</v>
      </c>
      <c r="AF265" s="42" t="n">
        <f aca="false">$D$261*(1+IF($C$261&lt;=0,0,MAX($C$261*AF$5/12,Inputs!$C$8)))+$I$261*(AF$5&gt;Inputs!$C$12)*$D$261*(1+Inputs!$C$11*(AF$5-Inputs!$C$12)/12)</f>
        <v>3512</v>
      </c>
      <c r="AG265" s="42" t="n">
        <f aca="false">$D$261*(1+IF($C$261&lt;=0,0,MAX($C$261*AG$5/12,Inputs!$C$8)))+$I$261*(AG$5&gt;Inputs!$C$12)*$D$261*(1+Inputs!$C$11*(AG$5-Inputs!$C$12)/12)</f>
        <v>3545.33333333333</v>
      </c>
      <c r="AH265" s="42" t="n">
        <f aca="false">$D$261*(1+IF($C$261&lt;=0,0,MAX($C$261*AH$5/12,Inputs!$C$8)))+$I$261*(AH$5&gt;Inputs!$C$12)*$D$261*(1+Inputs!$C$11*(AH$5-Inputs!$C$12)/12)</f>
        <v>3578.66666666667</v>
      </c>
      <c r="AI265" s="42" t="n">
        <f aca="false">$D$261*(1+IF($C$261&lt;=0,0,MAX($C$261*AI$5/12,Inputs!$C$8)))+$I$261*(AI$5&gt;Inputs!$C$12)*$D$261*(1+Inputs!$C$11*(AI$5-Inputs!$C$12)/12)</f>
        <v>3612</v>
      </c>
      <c r="AJ265" s="42" t="n">
        <f aca="false">$D$261*(1+IF($C$261&lt;=0,0,MAX($C$261*AJ$5/12,Inputs!$C$8)))+$I$261*(AJ$5&gt;Inputs!$C$12)*$D$261*(1+Inputs!$C$11*(AJ$5-Inputs!$C$12)/12)</f>
        <v>3645.33333333333</v>
      </c>
      <c r="AK265" s="42" t="n">
        <f aca="false">$D$261*(1+IF($C$261&lt;=0,0,MAX($C$261*AK$5/12,Inputs!$C$8)))+$I$261*(AK$5&gt;Inputs!$C$12)*$D$261*(1+Inputs!$C$11*(AK$5-Inputs!$C$12)/12)</f>
        <v>3678.66666666667</v>
      </c>
      <c r="AL265" s="42" t="n">
        <f aca="false">$D$261*(1+IF($C$261&lt;=0,0,MAX($C$261*AL$5/12,Inputs!$C$8)))+$I$261*(AL$5&gt;Inputs!$C$12)*$D$261*(1+Inputs!$C$11*(AL$5-Inputs!$C$12)/12)</f>
        <v>3712</v>
      </c>
    </row>
    <row r="266" customFormat="false" ht="15" hidden="false" customHeight="false" outlineLevel="0" collapsed="false">
      <c r="B266" s="31" t="s">
        <v>187</v>
      </c>
      <c r="N266" s="42" t="n">
        <f aca="false">-($D$261+$J$261)*(N$5=0)+IF(AND(N$5-$K$261&gt;=1,N$5-$K$261&lt;=Inputs!$C$13),INDEX($N$264:$AL$264,1,N$5-$K$261+1)*INDEX($N$265:$AL$265,1,N$5-$K$261+1),0)-$I$261*((N$5=Inputs!$C$12)*$C$263*$D$261+(N$5=Inputs!$C$13)*$D$263*($D$261+Inputs!$C$14))+$I$261*((N$5=Inputs!$C$15+$K$261)*$E$263*$I$263+(N$5=Inputs!$C$16+$K$261)*$F$263*$J$263+(N$5=Inputs!$C$17)*$G$263*$H$261*$H$263)</f>
        <v>-1610</v>
      </c>
      <c r="O266" s="42" t="n">
        <f aca="false">-($D$261+$J$261)*(O$5=0)+IF(AND(O$5-$K$261&gt;=1,O$5-$K$261&lt;=Inputs!$C$13),INDEX($N$264:$AL$264,1,O$5-$K$261+1)*INDEX($N$265:$AL$265,1,O$5-$K$261+1),0)-$I$261*((O$5=Inputs!$C$12)*$C$263*$D$261+(O$5=Inputs!$C$13)*$D$263*($D$261+Inputs!$C$14))+$I$261*((O$5=Inputs!$C$15+$K$261)*$E$263*$I$263+(O$5=Inputs!$C$16+$K$261)*$F$263*$J$263+(O$5=Inputs!$C$17)*$G$263*$H$261*$H$263)</f>
        <v>0</v>
      </c>
      <c r="P266" s="42" t="n">
        <f aca="false">-($D$261+$J$261)*(P$5=0)+IF(AND(P$5-$K$261&gt;=1,P$5-$K$261&lt;=Inputs!$C$13),INDEX($N$264:$AL$264,1,P$5-$K$261+1)*INDEX($N$265:$AL$265,1,P$5-$K$261+1),0)-$I$261*((P$5=Inputs!$C$12)*$C$263*$D$261+(P$5=Inputs!$C$13)*$D$263*($D$261+Inputs!$C$14))+$I$261*((P$5=Inputs!$C$15+$K$261)*$E$263*$I$263+(P$5=Inputs!$C$16+$K$261)*$F$263*$J$263+(P$5=Inputs!$C$17)*$G$263*$H$261*$H$263)</f>
        <v>161.28</v>
      </c>
      <c r="Q266" s="42" t="n">
        <f aca="false">-($D$261+$J$261)*(Q$5=0)+IF(AND(Q$5-$K$261&gt;=1,Q$5-$K$261&lt;=Inputs!$C$13),INDEX($N$264:$AL$264,1,Q$5-$K$261+1)*INDEX($N$265:$AL$265,1,Q$5-$K$261+1),0)-$I$261*((Q$5=Inputs!$C$12)*$C$263*$D$261+(Q$5=Inputs!$C$13)*$D$263*($D$261+Inputs!$C$14))+$I$261*((Q$5=Inputs!$C$15+$K$261)*$E$263*$I$263+(Q$5=Inputs!$C$16+$K$261)*$F$263*$J$263+(Q$5=Inputs!$C$17)*$G$263*$H$261*$H$263)</f>
        <v>134.4</v>
      </c>
      <c r="R266" s="42" t="n">
        <f aca="false">-($D$261+$J$261)*(R$5=0)+IF(AND(R$5-$K$261&gt;=1,R$5-$K$261&lt;=Inputs!$C$13),INDEX($N$264:$AL$264,1,R$5-$K$261+1)*INDEX($N$265:$AL$265,1,R$5-$K$261+1),0)-$I$261*((R$5=Inputs!$C$12)*$C$263*$D$261+(R$5=Inputs!$C$13)*$D$263*($D$261+Inputs!$C$14))+$I$261*((R$5=Inputs!$C$15+$K$261)*$E$263*$I$263+(R$5=Inputs!$C$16+$K$261)*$F$263*$J$263+(R$5=Inputs!$C$17)*$G$263*$H$261*$H$263)</f>
        <v>120.96</v>
      </c>
      <c r="S266" s="42" t="n">
        <f aca="false">-($D$261+$J$261)*(S$5=0)+IF(AND(S$5-$K$261&gt;=1,S$5-$K$261&lt;=Inputs!$C$13),INDEX($N$264:$AL$264,1,S$5-$K$261+1)*INDEX($N$265:$AL$265,1,S$5-$K$261+1),0)-$I$261*((S$5=Inputs!$C$12)*$C$263*$D$261+(S$5=Inputs!$C$13)*$D$263*($D$261+Inputs!$C$14))+$I$261*((S$5=Inputs!$C$15+$K$261)*$E$263*$I$263+(S$5=Inputs!$C$16+$K$261)*$F$263*$J$263+(S$5=Inputs!$C$17)*$G$263*$H$261*$H$263)</f>
        <v>94.08</v>
      </c>
      <c r="T266" s="42" t="n">
        <f aca="false">-($D$261+$J$261)*(T$5=0)+IF(AND(T$5-$K$261&gt;=1,T$5-$K$261&lt;=Inputs!$C$13),INDEX($N$264:$AL$264,1,T$5-$K$261+1)*INDEX($N$265:$AL$265,1,T$5-$K$261+1),0)-$I$261*((T$5=Inputs!$C$12)*$C$263*$D$261+(T$5=Inputs!$C$13)*$D$263*($D$261+Inputs!$C$14))+$I$261*((T$5=Inputs!$C$15+$K$261)*$E$263*$I$263+(T$5=Inputs!$C$16+$K$261)*$F$263*$J$263+(T$5=Inputs!$C$17)*$G$263*$H$261*$H$263)</f>
        <v>94.08</v>
      </c>
      <c r="U266" s="42" t="n">
        <f aca="false">-($D$261+$J$261)*(U$5=0)+IF(AND(U$5-$K$261&gt;=1,U$5-$K$261&lt;=Inputs!$C$13),INDEX($N$264:$AL$264,1,U$5-$K$261+1)*INDEX($N$265:$AL$265,1,U$5-$K$261+1),0)-$I$261*((U$5=Inputs!$C$12)*$C$263*$D$261+(U$5=Inputs!$C$13)*$D$263*($D$261+Inputs!$C$14))+$I$261*((U$5=Inputs!$C$15+$K$261)*$E$263*$I$263+(U$5=Inputs!$C$16+$K$261)*$F$263*$J$263+(U$5=Inputs!$C$17)*$G$263*$H$261*$H$263)</f>
        <v>94.08</v>
      </c>
      <c r="V266" s="42" t="n">
        <f aca="false">-($D$261+$J$261)*(V$5=0)+IF(AND(V$5-$K$261&gt;=1,V$5-$K$261&lt;=Inputs!$C$13),INDEX($N$264:$AL$264,1,V$5-$K$261+1)*INDEX($N$265:$AL$265,1,V$5-$K$261+1),0)-$I$261*((V$5=Inputs!$C$12)*$C$263*$D$261+(V$5=Inputs!$C$13)*$D$263*($D$261+Inputs!$C$14))+$I$261*((V$5=Inputs!$C$15+$K$261)*$E$263*$I$263+(V$5=Inputs!$C$16+$K$261)*$F$263*$J$263+(V$5=Inputs!$C$17)*$G$263*$H$261*$H$263)</f>
        <v>58.24</v>
      </c>
      <c r="W266" s="42" t="n">
        <f aca="false">-($D$261+$J$261)*(W$5=0)+IF(AND(W$5-$K$261&gt;=1,W$5-$K$261&lt;=Inputs!$C$13),INDEX($N$264:$AL$264,1,W$5-$K$261+1)*INDEX($N$265:$AL$265,1,W$5-$K$261+1),0)-$I$261*((W$5=Inputs!$C$12)*$C$263*$D$261+(W$5=Inputs!$C$13)*$D$263*($D$261+Inputs!$C$14))+$I$261*((W$5=Inputs!$C$15+$K$261)*$E$263*$I$263+(W$5=Inputs!$C$16+$K$261)*$F$263*$J$263+(W$5=Inputs!$C$17)*$G$263*$H$261*$H$263)</f>
        <v>58.24</v>
      </c>
      <c r="X266" s="42" t="n">
        <f aca="false">-($D$261+$J$261)*(X$5=0)+IF(AND(X$5-$K$261&gt;=1,X$5-$K$261&lt;=Inputs!$C$13),INDEX($N$264:$AL$264,1,X$5-$K$261+1)*INDEX($N$265:$AL$265,1,X$5-$K$261+1),0)-$I$261*((X$5=Inputs!$C$12)*$C$263*$D$261+(X$5=Inputs!$C$13)*$D$263*($D$261+Inputs!$C$14))+$I$261*((X$5=Inputs!$C$15+$K$261)*$E$263*$I$263+(X$5=Inputs!$C$16+$K$261)*$F$263*$J$263+(X$5=Inputs!$C$17)*$G$263*$H$261*$H$263)</f>
        <v>58.3786666666667</v>
      </c>
      <c r="Y266" s="42" t="n">
        <f aca="false">-($D$261+$J$261)*(Y$5=0)+IF(AND(Y$5-$K$261&gt;=1,Y$5-$K$261&lt;=Inputs!$C$13),INDEX($N$264:$AL$264,1,Y$5-$K$261+1)*INDEX($N$265:$AL$265,1,Y$5-$K$261+1),0)-$I$261*((Y$5=Inputs!$C$12)*$C$263*$D$261+(Y$5=Inputs!$C$13)*$D$263*($D$261+Inputs!$C$14))+$I$261*((Y$5=Inputs!$C$15+$K$261)*$E$263*$I$263+(Y$5=Inputs!$C$16+$K$261)*$F$263*$J$263+(Y$5=Inputs!$C$17)*$G$263*$H$261*$H$263)</f>
        <v>49.6711111111111</v>
      </c>
      <c r="Z266" s="42" t="n">
        <f aca="false">-($D$261+$J$261)*(Z$5=0)+IF(AND(Z$5-$K$261&gt;=1,Z$5-$K$261&lt;=Inputs!$C$13),INDEX($N$264:$AL$264,1,Z$5-$K$261+1)*INDEX($N$265:$AL$265,1,Z$5-$K$261+1),0)-$I$261*((Z$5=Inputs!$C$12)*$C$263*$D$261+(Z$5=Inputs!$C$13)*$D$263*($D$261+Inputs!$C$14))+$I$261*((Z$5=Inputs!$C$15+$K$261)*$E$263*$I$263+(Z$5=Inputs!$C$16+$K$261)*$F$263*$J$263+(Z$5=Inputs!$C$17)*$G$263*$H$261*$H$263)</f>
        <v>-577.255111111111</v>
      </c>
      <c r="AA266" s="42" t="n">
        <f aca="false">-($D$261+$J$261)*(AA$5=0)+IF(AND(AA$5-$K$261&gt;=1,AA$5-$K$261&lt;=Inputs!$C$13),INDEX($N$264:$AL$264,1,AA$5-$K$261+1)*INDEX($N$265:$AL$265,1,AA$5-$K$261+1),0)-$I$261*((AA$5=Inputs!$C$12)*$C$263*$D$261+(AA$5=Inputs!$C$13)*$D$263*($D$261+Inputs!$C$14))+$I$261*((AA$5=Inputs!$C$15+$K$261)*$E$263*$I$263+(AA$5=Inputs!$C$16+$K$261)*$F$263*$J$263+(AA$5=Inputs!$C$17)*$G$263*$H$261*$H$263)</f>
        <v>50.2186666666666</v>
      </c>
      <c r="AB266" s="42" t="n">
        <f aca="false">-($D$261+$J$261)*(AB$5=0)+IF(AND(AB$5-$K$261&gt;=1,AB$5-$K$261&lt;=Inputs!$C$13),INDEX($N$264:$AL$264,1,AB$5-$K$261+1)*INDEX($N$265:$AL$265,1,AB$5-$K$261+1),0)-$I$261*((AB$5=Inputs!$C$12)*$C$263*$D$261+(AB$5=Inputs!$C$13)*$D$263*($D$261+Inputs!$C$14))+$I$261*((AB$5=Inputs!$C$15+$K$261)*$E$263*$I$263+(AB$5=Inputs!$C$16+$K$261)*$F$263*$J$263+(AB$5=Inputs!$C$17)*$G$263*$H$261*$H$263)</f>
        <v>62.4462222222222</v>
      </c>
      <c r="AC266" s="42" t="n">
        <f aca="false">-($D$261+$J$261)*(AC$5=0)+IF(AND(AC$5-$K$261&gt;=1,AC$5-$K$261&lt;=Inputs!$C$13),INDEX($N$264:$AL$264,1,AC$5-$K$261+1)*INDEX($N$265:$AL$265,1,AC$5-$K$261+1),0)-$I$261*((AC$5=Inputs!$C$12)*$C$263*$D$261+(AC$5=Inputs!$C$13)*$D$263*($D$261+Inputs!$C$14))+$I$261*((AC$5=Inputs!$C$15+$K$261)*$E$263*$I$263+(AC$5=Inputs!$C$16+$K$261)*$F$263*$J$263+(AC$5=Inputs!$C$17)*$G$263*$H$261*$H$263)</f>
        <v>63.0684444444444</v>
      </c>
      <c r="AD266" s="42" t="n">
        <f aca="false">-($D$261+$J$261)*(AD$5=0)+IF(AND(AD$5-$K$261&gt;=1,AD$5-$K$261&lt;=Inputs!$C$13),INDEX($N$264:$AL$264,1,AD$5-$K$261+1)*INDEX($N$265:$AL$265,1,AD$5-$K$261+1),0)-$I$261*((AD$5=Inputs!$C$12)*$C$263*$D$261+(AD$5=Inputs!$C$13)*$D$263*($D$261+Inputs!$C$14))+$I$261*((AD$5=Inputs!$C$15+$K$261)*$E$263*$I$263+(AD$5=Inputs!$C$16+$K$261)*$F$263*$J$263+(AD$5=Inputs!$C$17)*$G$263*$H$261*$H$263)</f>
        <v>63.6906666666669</v>
      </c>
      <c r="AE266" s="42" t="n">
        <f aca="false">-($D$261+$J$261)*(AE$5=0)+IF(AND(AE$5-$K$261&gt;=1,AE$5-$K$261&lt;=Inputs!$C$13),INDEX($N$264:$AL$264,1,AE$5-$K$261+1)*INDEX($N$265:$AL$265,1,AE$5-$K$261+1),0)-$I$261*((AE$5=Inputs!$C$12)*$C$263*$D$261+(AE$5=Inputs!$C$13)*$D$263*($D$261+Inputs!$C$14))+$I$261*((AE$5=Inputs!$C$15+$K$261)*$E$263*$I$263+(AE$5=Inputs!$C$16+$K$261)*$F$263*$J$263+(AE$5=Inputs!$C$17)*$G$263*$H$261*$H$263)</f>
        <v>64.3128888888888</v>
      </c>
      <c r="AF266" s="42" t="n">
        <f aca="false">-($D$261+$J$261)*(AF$5=0)+IF(AND(AF$5-$K$261&gt;=1,AF$5-$K$261&lt;=Inputs!$C$13),INDEX($N$264:$AL$264,1,AF$5-$K$261+1)*INDEX($N$265:$AL$265,1,AF$5-$K$261+1),0)-$I$261*((AF$5=Inputs!$C$12)*$C$263*$D$261+(AF$5=Inputs!$C$13)*$D$263*($D$261+Inputs!$C$14))+$I$261*((AF$5=Inputs!$C$15+$K$261)*$E$263*$I$263+(AF$5=Inputs!$C$16+$K$261)*$F$263*$J$263+(AF$5=Inputs!$C$17)*$G$263*$H$261*$H$263)</f>
        <v>64.9351111111111</v>
      </c>
      <c r="AG266" s="42" t="n">
        <f aca="false">-($D$261+$J$261)*(AG$5=0)+IF(AND(AG$5-$K$261&gt;=1,AG$5-$K$261&lt;=Inputs!$C$13),INDEX($N$264:$AL$264,1,AG$5-$K$261+1)*INDEX($N$265:$AL$265,1,AG$5-$K$261+1),0)-$I$261*((AG$5=Inputs!$C$12)*$C$263*$D$261+(AG$5=Inputs!$C$13)*$D$263*($D$261+Inputs!$C$14))+$I$261*((AG$5=Inputs!$C$15+$K$261)*$E$263*$I$263+(AG$5=Inputs!$C$16+$K$261)*$F$263*$J$263+(AG$5=Inputs!$C$17)*$G$263*$H$261*$H$263)</f>
        <v>65.5573333333333</v>
      </c>
      <c r="AH266" s="42" t="n">
        <f aca="false">-($D$261+$J$261)*(AH$5=0)+IF(AND(AH$5-$K$261&gt;=1,AH$5-$K$261&lt;=Inputs!$C$13),INDEX($N$264:$AL$264,1,AH$5-$K$261+1)*INDEX($N$265:$AL$265,1,AH$5-$K$261+1),0)-$I$261*((AH$5=Inputs!$C$12)*$C$263*$D$261+(AH$5=Inputs!$C$13)*$D$263*($D$261+Inputs!$C$14))+$I$261*((AH$5=Inputs!$C$15+$K$261)*$E$263*$I$263+(AH$5=Inputs!$C$16+$K$261)*$F$263*$J$263+(AH$5=Inputs!$C$17)*$G$263*$H$261*$H$263)</f>
        <v>47.2711111111113</v>
      </c>
      <c r="AI266" s="42" t="n">
        <f aca="false">-($D$261+$J$261)*(AI$5=0)+IF(AND(AI$5-$K$261&gt;=1,AI$5-$K$261&lt;=Inputs!$C$13),INDEX($N$264:$AL$264,1,AI$5-$K$261+1)*INDEX($N$265:$AL$265,1,AI$5-$K$261+1),0)-$I$261*((AI$5=Inputs!$C$12)*$C$263*$D$261+(AI$5=Inputs!$C$13)*$D$263*($D$261+Inputs!$C$14))+$I$261*((AI$5=Inputs!$C$15+$K$261)*$E$263*$I$263+(AI$5=Inputs!$C$16+$K$261)*$F$263*$J$263+(AI$5=Inputs!$C$17)*$G$263*$H$261*$H$263)</f>
        <v>47.7155555555554</v>
      </c>
      <c r="AJ266" s="42" t="n">
        <f aca="false">-($D$261+$J$261)*(AJ$5=0)+IF(AND(AJ$5-$K$261&gt;=1,AJ$5-$K$261&lt;=Inputs!$C$13),INDEX($N$264:$AL$264,1,AJ$5-$K$261+1)*INDEX($N$265:$AL$265,1,AJ$5-$K$261+1),0)-$I$261*((AJ$5=Inputs!$C$12)*$C$263*$D$261+(AJ$5=Inputs!$C$13)*$D$263*($D$261+Inputs!$C$14))+$I$261*((AJ$5=Inputs!$C$15+$K$261)*$E$263*$I$263+(AJ$5=Inputs!$C$16+$K$261)*$F$263*$J$263+(AJ$5=Inputs!$C$17)*$G$263*$H$261*$H$263)</f>
        <v>48.1599999999998</v>
      </c>
      <c r="AK266" s="42" t="n">
        <f aca="false">-($D$261+$J$261)*(AK$5=0)+IF(AND(AK$5-$K$261&gt;=1,AK$5-$K$261&lt;=Inputs!$C$13),INDEX($N$264:$AL$264,1,AK$5-$K$261+1)*INDEX($N$265:$AL$265,1,AK$5-$K$261+1),0)-$I$261*((AK$5=Inputs!$C$12)*$C$263*$D$261+(AK$5=Inputs!$C$13)*$D$263*($D$261+Inputs!$C$14))+$I$261*((AK$5=Inputs!$C$15+$K$261)*$E$263*$I$263+(AK$5=Inputs!$C$16+$K$261)*$F$263*$J$263+(AK$5=Inputs!$C$17)*$G$263*$H$261*$H$263)</f>
        <v>48.6044444444446</v>
      </c>
      <c r="AL266" s="42" t="n">
        <f aca="false">-($D$261+$J$261)*(AL$5=0)+IF(AND(AL$5-$K$261&gt;=1,AL$5-$K$261&lt;=Inputs!$C$13),INDEX($N$264:$AL$264,1,AL$5-$K$261+1)*INDEX($N$265:$AL$265,1,AL$5-$K$261+1),0)-$I$261*((AL$5=Inputs!$C$12)*$C$263*$D$261+(AL$5=Inputs!$C$13)*$D$263*($D$261+Inputs!$C$14))+$I$261*((AL$5=Inputs!$C$15+$K$261)*$E$263*$I$263+(AL$5=Inputs!$C$16+$K$261)*$F$263*$J$263+(AL$5=Inputs!$C$17)*$G$263*$H$261*$H$263)</f>
        <v>-630.951111111111</v>
      </c>
      <c r="AM266" s="42" t="n">
        <f aca="false">-($D$261+$J$261)*(AM$5=0)+IF(AND(AM$5-$K$261&gt;=1,AM$5-$K$261&lt;=Inputs!$C$13),INDEX($N$264:$AL$264,1,AM$5-$K$261+1)*INDEX($N$265:$AL$265,1,AM$5-$K$261+1),0)-$I$261*((AM$5=Inputs!$C$12)*$C$263*$D$261+(AM$5=Inputs!$C$13)*$D$263*($D$261+Inputs!$C$14))+$I$261*((AM$5=Inputs!$C$15+$K$261)*$E$263*$I$263+(AM$5=Inputs!$C$16+$K$261)*$F$263*$J$263+(AM$5=Inputs!$C$17)*$G$263*$H$261*$H$263)</f>
        <v>49.4933333333332</v>
      </c>
      <c r="AN266" s="42" t="n">
        <f aca="false">-($D$261+$J$261)*(AN$5=0)+IF(AND(AN$5-$K$261&gt;=1,AN$5-$K$261&lt;=Inputs!$C$13),INDEX($N$264:$AL$264,1,AN$5-$K$261+1)*INDEX($N$265:$AL$265,1,AN$5-$K$261+1),0)-$I$261*((AN$5=Inputs!$C$12)*$C$263*$D$261+(AN$5=Inputs!$C$13)*$D$263*($D$261+Inputs!$C$14))+$I$261*((AN$5=Inputs!$C$15+$K$261)*$E$263*$I$263+(AN$5=Inputs!$C$16+$K$261)*$F$263*$J$263+(AN$5=Inputs!$C$17)*$G$263*$H$261*$H$263)</f>
        <v>0</v>
      </c>
      <c r="AO266" s="42" t="n">
        <f aca="false">-($D$261+$J$261)*(AO$5=0)+IF(AND(AO$5-$K$261&gt;=1,AO$5-$K$261&lt;=Inputs!$C$13),INDEX($N$264:$AL$264,1,AO$5-$K$261+1)*INDEX($N$265:$AL$265,1,AO$5-$K$261+1),0)-$I$261*((AO$5=Inputs!$C$12)*$C$263*$D$261+(AO$5=Inputs!$C$13)*$D$263*($D$261+Inputs!$C$14))+$I$261*((AO$5=Inputs!$C$15+$K$261)*$E$263*$I$263+(AO$5=Inputs!$C$16+$K$261)*$F$263*$J$263+(AO$5=Inputs!$C$17)*$G$263*$H$261*$H$263)</f>
        <v>0</v>
      </c>
      <c r="AP266" s="42" t="n">
        <f aca="false">-($D$261+$J$261)*(AP$5=0)+IF(AND(AP$5-$K$261&gt;=1,AP$5-$K$261&lt;=Inputs!$C$13),INDEX($N$264:$AL$264,1,AP$5-$K$261+1)*INDEX($N$265:$AL$265,1,AP$5-$K$261+1),0)-$I$261*((AP$5=Inputs!$C$12)*$C$263*$D$261+(AP$5=Inputs!$C$13)*$D$263*($D$261+Inputs!$C$14))+$I$261*((AP$5=Inputs!$C$15+$K$261)*$E$263*$I$263+(AP$5=Inputs!$C$16+$K$261)*$F$263*$J$263+(AP$5=Inputs!$C$17)*$G$263*$H$261*$H$263)</f>
        <v>582.72</v>
      </c>
      <c r="AQ266" s="42" t="n">
        <f aca="false">-($D$261+$J$261)*(AQ$5=0)+IF(AND(AQ$5-$K$261&gt;=1,AQ$5-$K$261&lt;=Inputs!$C$13),INDEX($N$264:$AL$264,1,AQ$5-$K$261+1)*INDEX($N$265:$AL$265,1,AQ$5-$K$261+1),0)-$I$261*((AQ$5=Inputs!$C$12)*$C$263*$D$261+(AQ$5=Inputs!$C$13)*$D$263*($D$261+Inputs!$C$14))+$I$261*((AQ$5=Inputs!$C$15+$K$261)*$E$263*$I$263+(AQ$5=Inputs!$C$16+$K$261)*$F$263*$J$263+(AQ$5=Inputs!$C$17)*$G$263*$H$261*$H$263)</f>
        <v>0</v>
      </c>
      <c r="AR266" s="42" t="n">
        <f aca="false">-($D$261+$J$261)*(AR$5=0)+IF(AND(AR$5-$K$261&gt;=1,AR$5-$K$261&lt;=Inputs!$C$13),INDEX($N$264:$AL$264,1,AR$5-$K$261+1)*INDEX($N$265:$AL$265,1,AR$5-$K$261+1),0)-$I$261*((AR$5=Inputs!$C$12)*$C$263*$D$261+(AR$5=Inputs!$C$13)*$D$263*($D$261+Inputs!$C$14))+$I$261*((AR$5=Inputs!$C$15+$K$261)*$E$263*$I$263+(AR$5=Inputs!$C$16+$K$261)*$F$263*$J$263+(AR$5=Inputs!$C$17)*$G$263*$H$261*$H$263)</f>
        <v>0</v>
      </c>
      <c r="AS266" s="42" t="n">
        <f aca="false">-($D$261+$J$261)*(AS$5=0)+IF(AND(AS$5-$K$261&gt;=1,AS$5-$K$261&lt;=Inputs!$C$13),INDEX($N$264:$AL$264,1,AS$5-$K$261+1)*INDEX($N$265:$AL$265,1,AS$5-$K$261+1),0)-$I$261*((AS$5=Inputs!$C$12)*$C$263*$D$261+(AS$5=Inputs!$C$13)*$D$263*($D$261+Inputs!$C$14))+$I$261*((AS$5=Inputs!$C$15+$K$261)*$E$263*$I$263+(AS$5=Inputs!$C$16+$K$261)*$F$263*$J$263+(AS$5=Inputs!$C$17)*$G$263*$H$261*$H$263)</f>
        <v>447.36</v>
      </c>
      <c r="AT266" s="42" t="n">
        <f aca="false">-($D$261+$J$261)*(AT$5=0)+IF(AND(AT$5-$K$261&gt;=1,AT$5-$K$261&lt;=Inputs!$C$13),INDEX($N$264:$AL$264,1,AT$5-$K$261+1)*INDEX($N$265:$AL$265,1,AT$5-$K$261+1),0)-$I$261*((AT$5=Inputs!$C$12)*$C$263*$D$261+(AT$5=Inputs!$C$13)*$D$263*($D$261+Inputs!$C$14))+$I$261*((AT$5=Inputs!$C$15+$K$261)*$E$263*$I$263+(AT$5=Inputs!$C$16+$K$261)*$F$263*$J$263+(AT$5=Inputs!$C$17)*$G$263*$H$261*$H$263)</f>
        <v>0</v>
      </c>
      <c r="AU266" s="42" t="n">
        <f aca="false">-($D$261+$J$261)*(AU$5=0)+IF(AND(AU$5-$K$261&gt;=1,AU$5-$K$261&lt;=Inputs!$C$13),INDEX($N$264:$AL$264,1,AU$5-$K$261+1)*INDEX($N$265:$AL$265,1,AU$5-$K$261+1),0)-$I$261*((AU$5=Inputs!$C$12)*$C$263*$D$261+(AU$5=Inputs!$C$13)*$D$263*($D$261+Inputs!$C$14))+$I$261*((AU$5=Inputs!$C$15+$K$261)*$E$263*$I$263+(AU$5=Inputs!$C$16+$K$261)*$F$263*$J$263+(AU$5=Inputs!$C$17)*$G$263*$H$261*$H$263)</f>
        <v>0</v>
      </c>
      <c r="AV266" s="42" t="n">
        <f aca="false">-($D$261+$J$261)*(AV$5=0)+IF(AND(AV$5-$K$261&gt;=1,AV$5-$K$261&lt;=Inputs!$C$13),INDEX($N$264:$AL$264,1,AV$5-$K$261+1)*INDEX($N$265:$AL$265,1,AV$5-$K$261+1),0)-$I$261*((AV$5=Inputs!$C$12)*$C$263*$D$261+(AV$5=Inputs!$C$13)*$D$263*($D$261+Inputs!$C$14))+$I$261*((AV$5=Inputs!$C$15+$K$261)*$E$263*$I$263+(AV$5=Inputs!$C$16+$K$261)*$F$263*$J$263+(AV$5=Inputs!$C$17)*$G$263*$H$261*$H$263)</f>
        <v>0</v>
      </c>
      <c r="AW266" s="42" t="n">
        <f aca="false">-($D$261+$J$261)*(AW$5=0)+IF(AND(AW$5-$K$261&gt;=1,AW$5-$K$261&lt;=Inputs!$C$13),INDEX($N$264:$AL$264,1,AW$5-$K$261+1)*INDEX($N$265:$AL$265,1,AW$5-$K$261+1),0)-$I$261*((AW$5=Inputs!$C$12)*$C$263*$D$261+(AW$5=Inputs!$C$13)*$D$263*($D$261+Inputs!$C$14))+$I$261*((AW$5=Inputs!$C$15+$K$261)*$E$263*$I$263+(AW$5=Inputs!$C$16+$K$261)*$F$263*$J$263+(AW$5=Inputs!$C$17)*$G$263*$H$261*$H$263)</f>
        <v>0</v>
      </c>
      <c r="AX266" s="42" t="n">
        <f aca="false">-($D$261+$J$261)*(AX$5=0)+IF(AND(AX$5-$K$261&gt;=1,AX$5-$K$261&lt;=Inputs!$C$13),INDEX($N$264:$AL$264,1,AX$5-$K$261+1)*INDEX($N$265:$AL$265,1,AX$5-$K$261+1),0)-$I$261*((AX$5=Inputs!$C$12)*$C$263*$D$261+(AX$5=Inputs!$C$13)*$D$263*($D$261+Inputs!$C$14))+$I$261*((AX$5=Inputs!$C$15+$K$261)*$E$263*$I$263+(AX$5=Inputs!$C$16+$K$261)*$F$263*$J$263+(AX$5=Inputs!$C$17)*$G$263*$H$261*$H$263)</f>
        <v>277.2</v>
      </c>
      <c r="AY266" s="42" t="n">
        <f aca="false">-($D$261+$J$261)*(AY$5=0)+IF(AND(AY$5-$K$261&gt;=1,AY$5-$K$261&lt;=Inputs!$C$13),INDEX($N$264:$AL$264,1,AY$5-$K$261+1)*INDEX($N$265:$AL$265,1,AY$5-$K$261+1),0)-$I$261*((AY$5=Inputs!$C$12)*$C$263*$D$261+(AY$5=Inputs!$C$13)*$D$263*($D$261+Inputs!$C$14))+$I$261*((AY$5=Inputs!$C$15+$K$261)*$E$263*$I$263+(AY$5=Inputs!$C$16+$K$261)*$F$263*$J$263+(AY$5=Inputs!$C$17)*$G$263*$H$261*$H$263)</f>
        <v>0</v>
      </c>
    </row>
    <row r="268" customFormat="false" ht="15" hidden="false" customHeight="false" outlineLevel="0" collapsed="false">
      <c r="B268" s="7" t="s">
        <v>216</v>
      </c>
      <c r="C268" s="8"/>
      <c r="D268" s="8"/>
      <c r="E268" s="8"/>
      <c r="F268" s="8"/>
      <c r="G268" s="8"/>
      <c r="H268" s="8"/>
      <c r="I268" s="8"/>
      <c r="J268" s="8"/>
      <c r="K268" s="8"/>
      <c r="L268" s="8"/>
    </row>
    <row r="269" customFormat="false" ht="30" hidden="false" customHeight="true" outlineLevel="0" collapsed="false">
      <c r="B269" s="37"/>
      <c r="C269" s="38" t="s">
        <v>169</v>
      </c>
      <c r="D269" s="38" t="s">
        <v>170</v>
      </c>
      <c r="E269" s="38" t="s">
        <v>171</v>
      </c>
      <c r="F269" s="38" t="s">
        <v>43</v>
      </c>
      <c r="G269" s="38" t="s">
        <v>44</v>
      </c>
      <c r="H269" s="38" t="s">
        <v>45</v>
      </c>
      <c r="I269" s="38" t="s">
        <v>172</v>
      </c>
      <c r="J269" s="38" t="s">
        <v>90</v>
      </c>
      <c r="K269" s="38" t="s">
        <v>89</v>
      </c>
      <c r="L269" s="38" t="s">
        <v>173</v>
      </c>
    </row>
    <row r="270" customFormat="false" ht="15" hidden="false" customHeight="false" outlineLevel="0" collapsed="false">
      <c r="B270" s="39" t="s">
        <v>174</v>
      </c>
      <c r="C270" s="26" t="n">
        <f aca="false">Class_IRR!$H$5</f>
        <v>0.09</v>
      </c>
      <c r="D270" s="30" t="n">
        <f aca="false">Inputs!$E$26</f>
        <v>1600</v>
      </c>
      <c r="E270" s="26" t="n">
        <f aca="false">Inputs!$F$26</f>
        <v>0.8</v>
      </c>
      <c r="F270" s="25" t="n">
        <f aca="false">Inputs!$G$26</f>
        <v>0.4</v>
      </c>
      <c r="G270" s="25" t="n">
        <f aca="false">Inputs!$H$26</f>
        <v>0.5</v>
      </c>
      <c r="H270" s="25" t="n">
        <f aca="false">Inputs!$I$26</f>
        <v>0.7</v>
      </c>
      <c r="I270" s="22" t="n">
        <f aca="false">Inputs!$J$26</f>
        <v>1</v>
      </c>
      <c r="J270" s="23" t="n">
        <f aca="false">Inputs!$C$9</f>
        <v>10</v>
      </c>
      <c r="K270" s="22" t="n">
        <f aca="false">Inputs!$C$10</f>
        <v>1</v>
      </c>
      <c r="L270" s="22" t="n">
        <f aca="false">1</f>
        <v>1</v>
      </c>
    </row>
    <row r="271" customFormat="false" ht="30" hidden="false" customHeight="true" outlineLevel="0" collapsed="false">
      <c r="B271" s="37"/>
      <c r="C271" s="38" t="s">
        <v>175</v>
      </c>
      <c r="D271" s="38" t="s">
        <v>176</v>
      </c>
      <c r="E271" s="38" t="s">
        <v>177</v>
      </c>
      <c r="F271" s="38" t="s">
        <v>178</v>
      </c>
      <c r="G271" s="38" t="s">
        <v>112</v>
      </c>
      <c r="H271" s="38" t="s">
        <v>179</v>
      </c>
      <c r="I271" s="38" t="s">
        <v>180</v>
      </c>
      <c r="J271" s="38" t="s">
        <v>181</v>
      </c>
      <c r="K271" s="38" t="s">
        <v>182</v>
      </c>
      <c r="L271" s="38" t="s">
        <v>183</v>
      </c>
    </row>
    <row r="272" customFormat="false" ht="15" hidden="false" customHeight="false" outlineLevel="0" collapsed="false">
      <c r="B272" s="39" t="s">
        <v>184</v>
      </c>
      <c r="C272" s="40" t="n">
        <f aca="false">1-$E$270*CHOOSE($L$270,INDEX(Timing!$C$7:$AA$7,1,Inputs!$C$12+1),INDEX(Timing!$C$8:$AA$8,1,Inputs!$C$12+1))</f>
        <v>0.392</v>
      </c>
      <c r="D272" s="40" t="n">
        <f aca="false">1-$E$270*CHOOSE($L$270,INDEX(Timing!$C$7:$AA$7,1,Inputs!$C$13+1),INDEX(Timing!$C$8:$AA$8,1,Inputs!$C$13+1))</f>
        <v>0.2</v>
      </c>
      <c r="E272" s="40" t="n">
        <f aca="false">$I$270*$D$272*$F$270</f>
        <v>0.08</v>
      </c>
      <c r="F272" s="40" t="n">
        <f aca="false">$I$270*($D$272-$E$272)*$G$270</f>
        <v>0.06</v>
      </c>
      <c r="G272" s="40" t="n">
        <f aca="false">$I$270*($D$272-$E$272-$F$272)</f>
        <v>0.06</v>
      </c>
      <c r="H272" s="23" t="n">
        <f aca="false">$I$270*(3*$D$270+Inputs!$C$14)</f>
        <v>6600</v>
      </c>
      <c r="I272" s="23" t="n">
        <f aca="false">$I$270*($D$270*(1+IF($C$270&lt;=0,0,MAX($C$270*Inputs!$C$15/12,Inputs!$C$8)))+$D$270*(1+Inputs!$C$11*(Inputs!$C$15-Inputs!$C$12)/12)+$D$270*(1+Inputs!$C$11*(Inputs!$C$15-Inputs!$C$13)/12)+Inputs!$C$14)</f>
        <v>7356</v>
      </c>
      <c r="J272" s="23" t="n">
        <f aca="false">$I$270*($D$270*(1+IF($C$270&lt;=0,0,MAX($C$270*Inputs!$C$16/12,Inputs!$C$8)))+$D$270*(1+Inputs!$C$11*(Inputs!$C$16-Inputs!$C$12)/12)+$D$270*(1+Inputs!$C$11*(Inputs!$C$16-Inputs!$C$13)/12)+Inputs!$C$14)</f>
        <v>7536</v>
      </c>
      <c r="K272" s="40" t="n">
        <f aca="false">IRR($N$275:$AY$275,0.005)</f>
        <v>0.00326476170945619</v>
      </c>
      <c r="L272" s="41" t="n">
        <f aca="false">(1+$K$272)^12-1</f>
        <v>0.0398883247624016</v>
      </c>
    </row>
    <row r="273" customFormat="false" ht="15" hidden="false" customHeight="false" outlineLevel="0" collapsed="false">
      <c r="B273" s="9" t="s">
        <v>185</v>
      </c>
      <c r="N273" s="40" t="n">
        <f aca="false">0</f>
        <v>0</v>
      </c>
      <c r="O273" s="40" t="n">
        <f aca="false">$E$270*(CHOOSE($L$270,Timing!D$7,Timing!D$8)-CHOOSE($L$270,Timing!C$7,Timing!C$8))</f>
        <v>0.096</v>
      </c>
      <c r="P273" s="40" t="n">
        <f aca="false">$E$270*(CHOOSE($L$270,Timing!E$7,Timing!E$8)-CHOOSE($L$270,Timing!D$7,Timing!D$8))</f>
        <v>0.08</v>
      </c>
      <c r="Q273" s="40" t="n">
        <f aca="false">$E$270*(CHOOSE($L$270,Timing!F$7,Timing!F$8)-CHOOSE($L$270,Timing!E$7,Timing!E$8))</f>
        <v>0.072</v>
      </c>
      <c r="R273" s="40" t="n">
        <f aca="false">$E$270*(CHOOSE($L$270,Timing!G$7,Timing!G$8)-CHOOSE($L$270,Timing!F$7,Timing!F$8))</f>
        <v>0.056</v>
      </c>
      <c r="S273" s="40" t="n">
        <f aca="false">$E$270*(CHOOSE($L$270,Timing!H$7,Timing!H$8)-CHOOSE($L$270,Timing!G$7,Timing!G$8))</f>
        <v>0.056</v>
      </c>
      <c r="T273" s="40" t="n">
        <f aca="false">$E$270*(CHOOSE($L$270,Timing!I$7,Timing!I$8)-CHOOSE($L$270,Timing!H$7,Timing!H$8))</f>
        <v>0.056</v>
      </c>
      <c r="U273" s="40" t="n">
        <f aca="false">$E$270*(CHOOSE($L$270,Timing!J$7,Timing!J$8)-CHOOSE($L$270,Timing!I$7,Timing!I$8))</f>
        <v>0.0346666666666667</v>
      </c>
      <c r="V273" s="40" t="n">
        <f aca="false">$E$270*(CHOOSE($L$270,Timing!K$7,Timing!K$8)-CHOOSE($L$270,Timing!J$7,Timing!J$8))</f>
        <v>0.0346666666666667</v>
      </c>
      <c r="W273" s="40" t="n">
        <f aca="false">$E$270*(CHOOSE($L$270,Timing!L$7,Timing!L$8)-CHOOSE($L$270,Timing!K$7,Timing!K$8))</f>
        <v>0.0346666666666667</v>
      </c>
      <c r="X273" s="40" t="n">
        <f aca="false">$E$270*(CHOOSE($L$270,Timing!M$7,Timing!M$8)-CHOOSE($L$270,Timing!L$7,Timing!L$8))</f>
        <v>0.0293333333333333</v>
      </c>
      <c r="Y273" s="40" t="n">
        <f aca="false">$E$270*(CHOOSE($L$270,Timing!N$7,Timing!N$8)-CHOOSE($L$270,Timing!M$7,Timing!M$8))</f>
        <v>0.0293333333333334</v>
      </c>
      <c r="Z273" s="40" t="n">
        <f aca="false">$E$270*(CHOOSE($L$270,Timing!O$7,Timing!O$8)-CHOOSE($L$270,Timing!N$7,Timing!N$8))</f>
        <v>0.0293333333333333</v>
      </c>
      <c r="AA273" s="40" t="n">
        <f aca="false">$E$270*(CHOOSE($L$270,Timing!P$7,Timing!P$8)-CHOOSE($L$270,Timing!O$7,Timing!O$8))</f>
        <v>0.0186666666666667</v>
      </c>
      <c r="AB273" s="40" t="n">
        <f aca="false">$E$270*(CHOOSE($L$270,Timing!Q$7,Timing!Q$8)-CHOOSE($L$270,Timing!P$7,Timing!P$8))</f>
        <v>0.0186666666666667</v>
      </c>
      <c r="AC273" s="40" t="n">
        <f aca="false">$E$270*(CHOOSE($L$270,Timing!R$7,Timing!R$8)-CHOOSE($L$270,Timing!Q$7,Timing!Q$8))</f>
        <v>0.0186666666666667</v>
      </c>
      <c r="AD273" s="40" t="n">
        <f aca="false">$E$270*(CHOOSE($L$270,Timing!S$7,Timing!S$8)-CHOOSE($L$270,Timing!R$7,Timing!R$8))</f>
        <v>0.0186666666666667</v>
      </c>
      <c r="AE273" s="40" t="n">
        <f aca="false">$E$270*(CHOOSE($L$270,Timing!T$7,Timing!T$8)-CHOOSE($L$270,Timing!S$7,Timing!S$8))</f>
        <v>0.0186666666666667</v>
      </c>
      <c r="AF273" s="40" t="n">
        <f aca="false">$E$270*(CHOOSE($L$270,Timing!U$7,Timing!U$8)-CHOOSE($L$270,Timing!T$7,Timing!T$8))</f>
        <v>0.0186666666666667</v>
      </c>
      <c r="AG273" s="40" t="n">
        <f aca="false">$E$270*(CHOOSE($L$270,Timing!V$7,Timing!V$8)-CHOOSE($L$270,Timing!U$7,Timing!U$8))</f>
        <v>0.0133333333333334</v>
      </c>
      <c r="AH273" s="40" t="n">
        <f aca="false">$E$270*(CHOOSE($L$270,Timing!W$7,Timing!W$8)-CHOOSE($L$270,Timing!V$7,Timing!V$8))</f>
        <v>0.0133333333333333</v>
      </c>
      <c r="AI273" s="40" t="n">
        <f aca="false">$E$270*(CHOOSE($L$270,Timing!X$7,Timing!X$8)-CHOOSE($L$270,Timing!W$7,Timing!W$8))</f>
        <v>0.0133333333333333</v>
      </c>
      <c r="AJ273" s="40" t="n">
        <f aca="false">$E$270*(CHOOSE($L$270,Timing!Y$7,Timing!Y$8)-CHOOSE($L$270,Timing!X$7,Timing!X$8))</f>
        <v>0.0133333333333334</v>
      </c>
      <c r="AK273" s="40" t="n">
        <f aca="false">$E$270*(CHOOSE($L$270,Timing!Z$7,Timing!Z$8)-CHOOSE($L$270,Timing!Y$7,Timing!Y$8))</f>
        <v>0.0133333333333334</v>
      </c>
      <c r="AL273" s="40" t="n">
        <f aca="false">$E$270*(CHOOSE($L$270,Timing!AA$7,Timing!AA$8)-CHOOSE($L$270,Timing!Z$7,Timing!Z$8))</f>
        <v>0.0133333333333333</v>
      </c>
    </row>
    <row r="274" customFormat="false" ht="15" hidden="false" customHeight="false" outlineLevel="0" collapsed="false">
      <c r="B274" s="9" t="s">
        <v>186</v>
      </c>
      <c r="N274" s="42" t="n">
        <f aca="false">0</f>
        <v>0</v>
      </c>
      <c r="O274" s="42" t="n">
        <f aca="false">$D$270*(1+IF($C$270&lt;=0,0,MAX($C$270*O$5/12,Inputs!$C$8)))+$I$270*(O$5&gt;Inputs!$C$12)*$D$270*(1+Inputs!$C$11*(O$5-Inputs!$C$12)/12)</f>
        <v>1680</v>
      </c>
      <c r="P274" s="42" t="n">
        <f aca="false">$D$270*(1+IF($C$270&lt;=0,0,MAX($C$270*P$5/12,Inputs!$C$8)))+$I$270*(P$5&gt;Inputs!$C$12)*$D$270*(1+Inputs!$C$11*(P$5-Inputs!$C$12)/12)</f>
        <v>1680</v>
      </c>
      <c r="Q274" s="42" t="n">
        <f aca="false">$D$270*(1+IF($C$270&lt;=0,0,MAX($C$270*Q$5/12,Inputs!$C$8)))+$I$270*(Q$5&gt;Inputs!$C$12)*$D$270*(1+Inputs!$C$11*(Q$5-Inputs!$C$12)/12)</f>
        <v>1680</v>
      </c>
      <c r="R274" s="42" t="n">
        <f aca="false">$D$270*(1+IF($C$270&lt;=0,0,MAX($C$270*R$5/12,Inputs!$C$8)))+$I$270*(R$5&gt;Inputs!$C$12)*$D$270*(1+Inputs!$C$11*(R$5-Inputs!$C$12)/12)</f>
        <v>1680</v>
      </c>
      <c r="S274" s="42" t="n">
        <f aca="false">$D$270*(1+IF($C$270&lt;=0,0,MAX($C$270*S$5/12,Inputs!$C$8)))+$I$270*(S$5&gt;Inputs!$C$12)*$D$270*(1+Inputs!$C$11*(S$5-Inputs!$C$12)/12)</f>
        <v>1680</v>
      </c>
      <c r="T274" s="42" t="n">
        <f aca="false">$D$270*(1+IF($C$270&lt;=0,0,MAX($C$270*T$5/12,Inputs!$C$8)))+$I$270*(T$5&gt;Inputs!$C$12)*$D$270*(1+Inputs!$C$11*(T$5-Inputs!$C$12)/12)</f>
        <v>1680</v>
      </c>
      <c r="U274" s="42" t="n">
        <f aca="false">$D$270*(1+IF($C$270&lt;=0,0,MAX($C$270*U$5/12,Inputs!$C$8)))+$I$270*(U$5&gt;Inputs!$C$12)*$D$270*(1+Inputs!$C$11*(U$5-Inputs!$C$12)/12)</f>
        <v>1684</v>
      </c>
      <c r="V274" s="42" t="n">
        <f aca="false">$D$270*(1+IF($C$270&lt;=0,0,MAX($C$270*V$5/12,Inputs!$C$8)))+$I$270*(V$5&gt;Inputs!$C$12)*$D$270*(1+Inputs!$C$11*(V$5-Inputs!$C$12)/12)</f>
        <v>1696</v>
      </c>
      <c r="W274" s="42" t="n">
        <f aca="false">$D$270*(1+IF($C$270&lt;=0,0,MAX($C$270*W$5/12,Inputs!$C$8)))+$I$270*(W$5&gt;Inputs!$C$12)*$D$270*(1+Inputs!$C$11*(W$5-Inputs!$C$12)/12)</f>
        <v>1708</v>
      </c>
      <c r="X274" s="42" t="n">
        <f aca="false">$D$270*(1+IF($C$270&lt;=0,0,MAX($C$270*X$5/12,Inputs!$C$8)))+$I$270*(X$5&gt;Inputs!$C$12)*$D$270*(1+Inputs!$C$11*(X$5-Inputs!$C$12)/12)</f>
        <v>1720</v>
      </c>
      <c r="Y274" s="42" t="n">
        <f aca="false">$D$270*(1+IF($C$270&lt;=0,0,MAX($C$270*Y$5/12,Inputs!$C$8)))+$I$270*(Y$5&gt;Inputs!$C$12)*$D$270*(1+Inputs!$C$11*(Y$5-Inputs!$C$12)/12)</f>
        <v>1732</v>
      </c>
      <c r="Z274" s="42" t="n">
        <f aca="false">$D$270*(1+IF($C$270&lt;=0,0,MAX($C$270*Z$5/12,Inputs!$C$8)))+$I$270*(Z$5&gt;Inputs!$C$12)*$D$270*(1+Inputs!$C$11*(Z$5-Inputs!$C$12)/12)</f>
        <v>1744</v>
      </c>
      <c r="AA274" s="42" t="n">
        <f aca="false">$D$270*(1+IF($C$270&lt;=0,0,MAX($C$270*AA$5/12,Inputs!$C$8)))+$I$270*(AA$5&gt;Inputs!$C$12)*$D$270*(1+Inputs!$C$11*(AA$5-Inputs!$C$12)/12)</f>
        <v>3380</v>
      </c>
      <c r="AB274" s="42" t="n">
        <f aca="false">$D$270*(1+IF($C$270&lt;=0,0,MAX($C$270*AB$5/12,Inputs!$C$8)))+$I$270*(AB$5&gt;Inputs!$C$12)*$D$270*(1+Inputs!$C$11*(AB$5-Inputs!$C$12)/12)</f>
        <v>3416</v>
      </c>
      <c r="AC274" s="42" t="n">
        <f aca="false">$D$270*(1+IF($C$270&lt;=0,0,MAX($C$270*AC$5/12,Inputs!$C$8)))+$I$270*(AC$5&gt;Inputs!$C$12)*$D$270*(1+Inputs!$C$11*(AC$5-Inputs!$C$12)/12)</f>
        <v>3452</v>
      </c>
      <c r="AD274" s="42" t="n">
        <f aca="false">$D$270*(1+IF($C$270&lt;=0,0,MAX($C$270*AD$5/12,Inputs!$C$8)))+$I$270*(AD$5&gt;Inputs!$C$12)*$D$270*(1+Inputs!$C$11*(AD$5-Inputs!$C$12)/12)</f>
        <v>3488</v>
      </c>
      <c r="AE274" s="42" t="n">
        <f aca="false">$D$270*(1+IF($C$270&lt;=0,0,MAX($C$270*AE$5/12,Inputs!$C$8)))+$I$270*(AE$5&gt;Inputs!$C$12)*$D$270*(1+Inputs!$C$11*(AE$5-Inputs!$C$12)/12)</f>
        <v>3524</v>
      </c>
      <c r="AF274" s="42" t="n">
        <f aca="false">$D$270*(1+IF($C$270&lt;=0,0,MAX($C$270*AF$5/12,Inputs!$C$8)))+$I$270*(AF$5&gt;Inputs!$C$12)*$D$270*(1+Inputs!$C$11*(AF$5-Inputs!$C$12)/12)</f>
        <v>3560</v>
      </c>
      <c r="AG274" s="42" t="n">
        <f aca="false">$D$270*(1+IF($C$270&lt;=0,0,MAX($C$270*AG$5/12,Inputs!$C$8)))+$I$270*(AG$5&gt;Inputs!$C$12)*$D$270*(1+Inputs!$C$11*(AG$5-Inputs!$C$12)/12)</f>
        <v>3596</v>
      </c>
      <c r="AH274" s="42" t="n">
        <f aca="false">$D$270*(1+IF($C$270&lt;=0,0,MAX($C$270*AH$5/12,Inputs!$C$8)))+$I$270*(AH$5&gt;Inputs!$C$12)*$D$270*(1+Inputs!$C$11*(AH$5-Inputs!$C$12)/12)</f>
        <v>3632</v>
      </c>
      <c r="AI274" s="42" t="n">
        <f aca="false">$D$270*(1+IF($C$270&lt;=0,0,MAX($C$270*AI$5/12,Inputs!$C$8)))+$I$270*(AI$5&gt;Inputs!$C$12)*$D$270*(1+Inputs!$C$11*(AI$5-Inputs!$C$12)/12)</f>
        <v>3668</v>
      </c>
      <c r="AJ274" s="42" t="n">
        <f aca="false">$D$270*(1+IF($C$270&lt;=0,0,MAX($C$270*AJ$5/12,Inputs!$C$8)))+$I$270*(AJ$5&gt;Inputs!$C$12)*$D$270*(1+Inputs!$C$11*(AJ$5-Inputs!$C$12)/12)</f>
        <v>3704</v>
      </c>
      <c r="AK274" s="42" t="n">
        <f aca="false">$D$270*(1+IF($C$270&lt;=0,0,MAX($C$270*AK$5/12,Inputs!$C$8)))+$I$270*(AK$5&gt;Inputs!$C$12)*$D$270*(1+Inputs!$C$11*(AK$5-Inputs!$C$12)/12)</f>
        <v>3740</v>
      </c>
      <c r="AL274" s="42" t="n">
        <f aca="false">$D$270*(1+IF($C$270&lt;=0,0,MAX($C$270*AL$5/12,Inputs!$C$8)))+$I$270*(AL$5&gt;Inputs!$C$12)*$D$270*(1+Inputs!$C$11*(AL$5-Inputs!$C$12)/12)</f>
        <v>3776</v>
      </c>
    </row>
    <row r="275" customFormat="false" ht="15" hidden="false" customHeight="false" outlineLevel="0" collapsed="false">
      <c r="B275" s="31" t="s">
        <v>187</v>
      </c>
      <c r="N275" s="42" t="n">
        <f aca="false">-($D$270+$J$270)*(N$5=0)+IF(AND(N$5-$K$270&gt;=1,N$5-$K$270&lt;=Inputs!$C$13),INDEX($N$273:$AL$273,1,N$5-$K$270+1)*INDEX($N$274:$AL$274,1,N$5-$K$270+1),0)-$I$270*((N$5=Inputs!$C$12)*$C$272*$D$270+(N$5=Inputs!$C$13)*$D$272*($D$270+Inputs!$C$14))+$I$270*((N$5=Inputs!$C$15+$K$270)*$E$272*$I$272+(N$5=Inputs!$C$16+$K$270)*$F$272*$J$272+(N$5=Inputs!$C$17)*$G$272*$H$270*$H$272)</f>
        <v>-1610</v>
      </c>
      <c r="O275" s="42" t="n">
        <f aca="false">-($D$270+$J$270)*(O$5=0)+IF(AND(O$5-$K$270&gt;=1,O$5-$K$270&lt;=Inputs!$C$13),INDEX($N$273:$AL$273,1,O$5-$K$270+1)*INDEX($N$274:$AL$274,1,O$5-$K$270+1),0)-$I$270*((O$5=Inputs!$C$12)*$C$272*$D$270+(O$5=Inputs!$C$13)*$D$272*($D$270+Inputs!$C$14))+$I$270*((O$5=Inputs!$C$15+$K$270)*$E$272*$I$272+(O$5=Inputs!$C$16+$K$270)*$F$272*$J$272+(O$5=Inputs!$C$17)*$G$272*$H$270*$H$272)</f>
        <v>0</v>
      </c>
      <c r="P275" s="42" t="n">
        <f aca="false">-($D$270+$J$270)*(P$5=0)+IF(AND(P$5-$K$270&gt;=1,P$5-$K$270&lt;=Inputs!$C$13),INDEX($N$273:$AL$273,1,P$5-$K$270+1)*INDEX($N$274:$AL$274,1,P$5-$K$270+1),0)-$I$270*((P$5=Inputs!$C$12)*$C$272*$D$270+(P$5=Inputs!$C$13)*$D$272*($D$270+Inputs!$C$14))+$I$270*((P$5=Inputs!$C$15+$K$270)*$E$272*$I$272+(P$5=Inputs!$C$16+$K$270)*$F$272*$J$272+(P$5=Inputs!$C$17)*$G$272*$H$270*$H$272)</f>
        <v>161.28</v>
      </c>
      <c r="Q275" s="42" t="n">
        <f aca="false">-($D$270+$J$270)*(Q$5=0)+IF(AND(Q$5-$K$270&gt;=1,Q$5-$K$270&lt;=Inputs!$C$13),INDEX($N$273:$AL$273,1,Q$5-$K$270+1)*INDEX($N$274:$AL$274,1,Q$5-$K$270+1),0)-$I$270*((Q$5=Inputs!$C$12)*$C$272*$D$270+(Q$5=Inputs!$C$13)*$D$272*($D$270+Inputs!$C$14))+$I$270*((Q$5=Inputs!$C$15+$K$270)*$E$272*$I$272+(Q$5=Inputs!$C$16+$K$270)*$F$272*$J$272+(Q$5=Inputs!$C$17)*$G$272*$H$270*$H$272)</f>
        <v>134.4</v>
      </c>
      <c r="R275" s="42" t="n">
        <f aca="false">-($D$270+$J$270)*(R$5=0)+IF(AND(R$5-$K$270&gt;=1,R$5-$K$270&lt;=Inputs!$C$13),INDEX($N$273:$AL$273,1,R$5-$K$270+1)*INDEX($N$274:$AL$274,1,R$5-$K$270+1),0)-$I$270*((R$5=Inputs!$C$12)*$C$272*$D$270+(R$5=Inputs!$C$13)*$D$272*($D$270+Inputs!$C$14))+$I$270*((R$5=Inputs!$C$15+$K$270)*$E$272*$I$272+(R$5=Inputs!$C$16+$K$270)*$F$272*$J$272+(R$5=Inputs!$C$17)*$G$272*$H$270*$H$272)</f>
        <v>120.96</v>
      </c>
      <c r="S275" s="42" t="n">
        <f aca="false">-($D$270+$J$270)*(S$5=0)+IF(AND(S$5-$K$270&gt;=1,S$5-$K$270&lt;=Inputs!$C$13),INDEX($N$273:$AL$273,1,S$5-$K$270+1)*INDEX($N$274:$AL$274,1,S$5-$K$270+1),0)-$I$270*((S$5=Inputs!$C$12)*$C$272*$D$270+(S$5=Inputs!$C$13)*$D$272*($D$270+Inputs!$C$14))+$I$270*((S$5=Inputs!$C$15+$K$270)*$E$272*$I$272+(S$5=Inputs!$C$16+$K$270)*$F$272*$J$272+(S$5=Inputs!$C$17)*$G$272*$H$270*$H$272)</f>
        <v>94.08</v>
      </c>
      <c r="T275" s="42" t="n">
        <f aca="false">-($D$270+$J$270)*(T$5=0)+IF(AND(T$5-$K$270&gt;=1,T$5-$K$270&lt;=Inputs!$C$13),INDEX($N$273:$AL$273,1,T$5-$K$270+1)*INDEX($N$274:$AL$274,1,T$5-$K$270+1),0)-$I$270*((T$5=Inputs!$C$12)*$C$272*$D$270+(T$5=Inputs!$C$13)*$D$272*($D$270+Inputs!$C$14))+$I$270*((T$5=Inputs!$C$15+$K$270)*$E$272*$I$272+(T$5=Inputs!$C$16+$K$270)*$F$272*$J$272+(T$5=Inputs!$C$17)*$G$272*$H$270*$H$272)</f>
        <v>94.08</v>
      </c>
      <c r="U275" s="42" t="n">
        <f aca="false">-($D$270+$J$270)*(U$5=0)+IF(AND(U$5-$K$270&gt;=1,U$5-$K$270&lt;=Inputs!$C$13),INDEX($N$273:$AL$273,1,U$5-$K$270+1)*INDEX($N$274:$AL$274,1,U$5-$K$270+1),0)-$I$270*((U$5=Inputs!$C$12)*$C$272*$D$270+(U$5=Inputs!$C$13)*$D$272*($D$270+Inputs!$C$14))+$I$270*((U$5=Inputs!$C$15+$K$270)*$E$272*$I$272+(U$5=Inputs!$C$16+$K$270)*$F$272*$J$272+(U$5=Inputs!$C$17)*$G$272*$H$270*$H$272)</f>
        <v>94.08</v>
      </c>
      <c r="V275" s="42" t="n">
        <f aca="false">-($D$270+$J$270)*(V$5=0)+IF(AND(V$5-$K$270&gt;=1,V$5-$K$270&lt;=Inputs!$C$13),INDEX($N$273:$AL$273,1,V$5-$K$270+1)*INDEX($N$274:$AL$274,1,V$5-$K$270+1),0)-$I$270*((V$5=Inputs!$C$12)*$C$272*$D$270+(V$5=Inputs!$C$13)*$D$272*($D$270+Inputs!$C$14))+$I$270*((V$5=Inputs!$C$15+$K$270)*$E$272*$I$272+(V$5=Inputs!$C$16+$K$270)*$F$272*$J$272+(V$5=Inputs!$C$17)*$G$272*$H$270*$H$272)</f>
        <v>58.3786666666667</v>
      </c>
      <c r="W275" s="42" t="n">
        <f aca="false">-($D$270+$J$270)*(W$5=0)+IF(AND(W$5-$K$270&gt;=1,W$5-$K$270&lt;=Inputs!$C$13),INDEX($N$273:$AL$273,1,W$5-$K$270+1)*INDEX($N$274:$AL$274,1,W$5-$K$270+1),0)-$I$270*((W$5=Inputs!$C$12)*$C$272*$D$270+(W$5=Inputs!$C$13)*$D$272*($D$270+Inputs!$C$14))+$I$270*((W$5=Inputs!$C$15+$K$270)*$E$272*$I$272+(W$5=Inputs!$C$16+$K$270)*$F$272*$J$272+(W$5=Inputs!$C$17)*$G$272*$H$270*$H$272)</f>
        <v>58.7946666666667</v>
      </c>
      <c r="X275" s="42" t="n">
        <f aca="false">-($D$270+$J$270)*(X$5=0)+IF(AND(X$5-$K$270&gt;=1,X$5-$K$270&lt;=Inputs!$C$13),INDEX($N$273:$AL$273,1,X$5-$K$270+1)*INDEX($N$274:$AL$274,1,X$5-$K$270+1),0)-$I$270*((X$5=Inputs!$C$12)*$C$272*$D$270+(X$5=Inputs!$C$13)*$D$272*($D$270+Inputs!$C$14))+$I$270*((X$5=Inputs!$C$15+$K$270)*$E$272*$I$272+(X$5=Inputs!$C$16+$K$270)*$F$272*$J$272+(X$5=Inputs!$C$17)*$G$272*$H$270*$H$272)</f>
        <v>59.2106666666667</v>
      </c>
      <c r="Y275" s="42" t="n">
        <f aca="false">-($D$270+$J$270)*(Y$5=0)+IF(AND(Y$5-$K$270&gt;=1,Y$5-$K$270&lt;=Inputs!$C$13),INDEX($N$273:$AL$273,1,Y$5-$K$270+1)*INDEX($N$274:$AL$274,1,Y$5-$K$270+1),0)-$I$270*((Y$5=Inputs!$C$12)*$C$272*$D$270+(Y$5=Inputs!$C$13)*$D$272*($D$270+Inputs!$C$14))+$I$270*((Y$5=Inputs!$C$15+$K$270)*$E$272*$I$272+(Y$5=Inputs!$C$16+$K$270)*$F$272*$J$272+(Y$5=Inputs!$C$17)*$G$272*$H$270*$H$272)</f>
        <v>50.4533333333333</v>
      </c>
      <c r="Z275" s="42" t="n">
        <f aca="false">-($D$270+$J$270)*(Z$5=0)+IF(AND(Z$5-$K$270&gt;=1,Z$5-$K$270&lt;=Inputs!$C$13),INDEX($N$273:$AL$273,1,Z$5-$K$270+1)*INDEX($N$274:$AL$274,1,Z$5-$K$270+1),0)-$I$270*((Z$5=Inputs!$C$12)*$C$272*$D$270+(Z$5=Inputs!$C$13)*$D$272*($D$270+Inputs!$C$14))+$I$270*((Z$5=Inputs!$C$15+$K$270)*$E$272*$I$272+(Z$5=Inputs!$C$16+$K$270)*$F$272*$J$272+(Z$5=Inputs!$C$17)*$G$272*$H$270*$H$272)</f>
        <v>-576.394666666666</v>
      </c>
      <c r="AA275" s="42" t="n">
        <f aca="false">-($D$270+$J$270)*(AA$5=0)+IF(AND(AA$5-$K$270&gt;=1,AA$5-$K$270&lt;=Inputs!$C$13),INDEX($N$273:$AL$273,1,AA$5-$K$270+1)*INDEX($N$274:$AL$274,1,AA$5-$K$270+1),0)-$I$270*((AA$5=Inputs!$C$12)*$C$272*$D$270+(AA$5=Inputs!$C$13)*$D$272*($D$270+Inputs!$C$14))+$I$270*((AA$5=Inputs!$C$15+$K$270)*$E$272*$I$272+(AA$5=Inputs!$C$16+$K$270)*$F$272*$J$272+(AA$5=Inputs!$C$17)*$G$272*$H$270*$H$272)</f>
        <v>51.1573333333333</v>
      </c>
      <c r="AB275" s="42" t="n">
        <f aca="false">-($D$270+$J$270)*(AB$5=0)+IF(AND(AB$5-$K$270&gt;=1,AB$5-$K$270&lt;=Inputs!$C$13),INDEX($N$273:$AL$273,1,AB$5-$K$270+1)*INDEX($N$274:$AL$274,1,AB$5-$K$270+1),0)-$I$270*((AB$5=Inputs!$C$12)*$C$272*$D$270+(AB$5=Inputs!$C$13)*$D$272*($D$270+Inputs!$C$14))+$I$270*((AB$5=Inputs!$C$15+$K$270)*$E$272*$I$272+(AB$5=Inputs!$C$16+$K$270)*$F$272*$J$272+(AB$5=Inputs!$C$17)*$G$272*$H$270*$H$272)</f>
        <v>63.0933333333333</v>
      </c>
      <c r="AC275" s="42" t="n">
        <f aca="false">-($D$270+$J$270)*(AC$5=0)+IF(AND(AC$5-$K$270&gt;=1,AC$5-$K$270&lt;=Inputs!$C$13),INDEX($N$273:$AL$273,1,AC$5-$K$270+1)*INDEX($N$274:$AL$274,1,AC$5-$K$270+1),0)-$I$270*((AC$5=Inputs!$C$12)*$C$272*$D$270+(AC$5=Inputs!$C$13)*$D$272*($D$270+Inputs!$C$14))+$I$270*((AC$5=Inputs!$C$15+$K$270)*$E$272*$I$272+(AC$5=Inputs!$C$16+$K$270)*$F$272*$J$272+(AC$5=Inputs!$C$17)*$G$272*$H$270*$H$272)</f>
        <v>63.7653333333333</v>
      </c>
      <c r="AD275" s="42" t="n">
        <f aca="false">-($D$270+$J$270)*(AD$5=0)+IF(AND(AD$5-$K$270&gt;=1,AD$5-$K$270&lt;=Inputs!$C$13),INDEX($N$273:$AL$273,1,AD$5-$K$270+1)*INDEX($N$274:$AL$274,1,AD$5-$K$270+1),0)-$I$270*((AD$5=Inputs!$C$12)*$C$272*$D$270+(AD$5=Inputs!$C$13)*$D$272*($D$270+Inputs!$C$14))+$I$270*((AD$5=Inputs!$C$15+$K$270)*$E$272*$I$272+(AD$5=Inputs!$C$16+$K$270)*$F$272*$J$272+(AD$5=Inputs!$C$17)*$G$272*$H$270*$H$272)</f>
        <v>64.4373333333336</v>
      </c>
      <c r="AE275" s="42" t="n">
        <f aca="false">-($D$270+$J$270)*(AE$5=0)+IF(AND(AE$5-$K$270&gt;=1,AE$5-$K$270&lt;=Inputs!$C$13),INDEX($N$273:$AL$273,1,AE$5-$K$270+1)*INDEX($N$274:$AL$274,1,AE$5-$K$270+1),0)-$I$270*((AE$5=Inputs!$C$12)*$C$272*$D$270+(AE$5=Inputs!$C$13)*$D$272*($D$270+Inputs!$C$14))+$I$270*((AE$5=Inputs!$C$15+$K$270)*$E$272*$I$272+(AE$5=Inputs!$C$16+$K$270)*$F$272*$J$272+(AE$5=Inputs!$C$17)*$G$272*$H$270*$H$272)</f>
        <v>65.1093333333333</v>
      </c>
      <c r="AF275" s="42" t="n">
        <f aca="false">-($D$270+$J$270)*(AF$5=0)+IF(AND(AF$5-$K$270&gt;=1,AF$5-$K$270&lt;=Inputs!$C$13),INDEX($N$273:$AL$273,1,AF$5-$K$270+1)*INDEX($N$274:$AL$274,1,AF$5-$K$270+1),0)-$I$270*((AF$5=Inputs!$C$12)*$C$272*$D$270+(AF$5=Inputs!$C$13)*$D$272*($D$270+Inputs!$C$14))+$I$270*((AF$5=Inputs!$C$15+$K$270)*$E$272*$I$272+(AF$5=Inputs!$C$16+$K$270)*$F$272*$J$272+(AF$5=Inputs!$C$17)*$G$272*$H$270*$H$272)</f>
        <v>65.7813333333333</v>
      </c>
      <c r="AG275" s="42" t="n">
        <f aca="false">-($D$270+$J$270)*(AG$5=0)+IF(AND(AG$5-$K$270&gt;=1,AG$5-$K$270&lt;=Inputs!$C$13),INDEX($N$273:$AL$273,1,AG$5-$K$270+1)*INDEX($N$274:$AL$274,1,AG$5-$K$270+1),0)-$I$270*((AG$5=Inputs!$C$12)*$C$272*$D$270+(AG$5=Inputs!$C$13)*$D$272*($D$270+Inputs!$C$14))+$I$270*((AG$5=Inputs!$C$15+$K$270)*$E$272*$I$272+(AG$5=Inputs!$C$16+$K$270)*$F$272*$J$272+(AG$5=Inputs!$C$17)*$G$272*$H$270*$H$272)</f>
        <v>66.4533333333333</v>
      </c>
      <c r="AH275" s="42" t="n">
        <f aca="false">-($D$270+$J$270)*(AH$5=0)+IF(AND(AH$5-$K$270&gt;=1,AH$5-$K$270&lt;=Inputs!$C$13),INDEX($N$273:$AL$273,1,AH$5-$K$270+1)*INDEX($N$274:$AL$274,1,AH$5-$K$270+1),0)-$I$270*((AH$5=Inputs!$C$12)*$C$272*$D$270+(AH$5=Inputs!$C$13)*$D$272*($D$270+Inputs!$C$14))+$I$270*((AH$5=Inputs!$C$15+$K$270)*$E$272*$I$272+(AH$5=Inputs!$C$16+$K$270)*$F$272*$J$272+(AH$5=Inputs!$C$17)*$G$272*$H$270*$H$272)</f>
        <v>47.9466666666668</v>
      </c>
      <c r="AI275" s="42" t="n">
        <f aca="false">-($D$270+$J$270)*(AI$5=0)+IF(AND(AI$5-$K$270&gt;=1,AI$5-$K$270&lt;=Inputs!$C$13),INDEX($N$273:$AL$273,1,AI$5-$K$270+1)*INDEX($N$274:$AL$274,1,AI$5-$K$270+1),0)-$I$270*((AI$5=Inputs!$C$12)*$C$272*$D$270+(AI$5=Inputs!$C$13)*$D$272*($D$270+Inputs!$C$14))+$I$270*((AI$5=Inputs!$C$15+$K$270)*$E$272*$I$272+(AI$5=Inputs!$C$16+$K$270)*$F$272*$J$272+(AI$5=Inputs!$C$17)*$G$272*$H$270*$H$272)</f>
        <v>48.4266666666665</v>
      </c>
      <c r="AJ275" s="42" t="n">
        <f aca="false">-($D$270+$J$270)*(AJ$5=0)+IF(AND(AJ$5-$K$270&gt;=1,AJ$5-$K$270&lt;=Inputs!$C$13),INDEX($N$273:$AL$273,1,AJ$5-$K$270+1)*INDEX($N$274:$AL$274,1,AJ$5-$K$270+1),0)-$I$270*((AJ$5=Inputs!$C$12)*$C$272*$D$270+(AJ$5=Inputs!$C$13)*$D$272*($D$270+Inputs!$C$14))+$I$270*((AJ$5=Inputs!$C$15+$K$270)*$E$272*$I$272+(AJ$5=Inputs!$C$16+$K$270)*$F$272*$J$272+(AJ$5=Inputs!$C$17)*$G$272*$H$270*$H$272)</f>
        <v>48.9066666666665</v>
      </c>
      <c r="AK275" s="42" t="n">
        <f aca="false">-($D$270+$J$270)*(AK$5=0)+IF(AND(AK$5-$K$270&gt;=1,AK$5-$K$270&lt;=Inputs!$C$13),INDEX($N$273:$AL$273,1,AK$5-$K$270+1)*INDEX($N$274:$AL$274,1,AK$5-$K$270+1),0)-$I$270*((AK$5=Inputs!$C$12)*$C$272*$D$270+(AK$5=Inputs!$C$13)*$D$272*($D$270+Inputs!$C$14))+$I$270*((AK$5=Inputs!$C$15+$K$270)*$E$272*$I$272+(AK$5=Inputs!$C$16+$K$270)*$F$272*$J$272+(AK$5=Inputs!$C$17)*$G$272*$H$270*$H$272)</f>
        <v>49.3866666666668</v>
      </c>
      <c r="AL275" s="42" t="n">
        <f aca="false">-($D$270+$J$270)*(AL$5=0)+IF(AND(AL$5-$K$270&gt;=1,AL$5-$K$270&lt;=Inputs!$C$13),INDEX($N$273:$AL$273,1,AL$5-$K$270+1)*INDEX($N$274:$AL$274,1,AL$5-$K$270+1),0)-$I$270*((AL$5=Inputs!$C$12)*$C$272*$D$270+(AL$5=Inputs!$C$13)*$D$272*($D$270+Inputs!$C$14))+$I$270*((AL$5=Inputs!$C$15+$K$270)*$E$272*$I$272+(AL$5=Inputs!$C$16+$K$270)*$F$272*$J$272+(AL$5=Inputs!$C$17)*$G$272*$H$270*$H$272)</f>
        <v>-630.133333333333</v>
      </c>
      <c r="AM275" s="42" t="n">
        <f aca="false">-($D$270+$J$270)*(AM$5=0)+IF(AND(AM$5-$K$270&gt;=1,AM$5-$K$270&lt;=Inputs!$C$13),INDEX($N$273:$AL$273,1,AM$5-$K$270+1)*INDEX($N$274:$AL$274,1,AM$5-$K$270+1),0)-$I$270*((AM$5=Inputs!$C$12)*$C$272*$D$270+(AM$5=Inputs!$C$13)*$D$272*($D$270+Inputs!$C$14))+$I$270*((AM$5=Inputs!$C$15+$K$270)*$E$272*$I$272+(AM$5=Inputs!$C$16+$K$270)*$F$272*$J$272+(AM$5=Inputs!$C$17)*$G$272*$H$270*$H$272)</f>
        <v>50.3466666666665</v>
      </c>
      <c r="AN275" s="42" t="n">
        <f aca="false">-($D$270+$J$270)*(AN$5=0)+IF(AND(AN$5-$K$270&gt;=1,AN$5-$K$270&lt;=Inputs!$C$13),INDEX($N$273:$AL$273,1,AN$5-$K$270+1)*INDEX($N$274:$AL$274,1,AN$5-$K$270+1),0)-$I$270*((AN$5=Inputs!$C$12)*$C$272*$D$270+(AN$5=Inputs!$C$13)*$D$272*($D$270+Inputs!$C$14))+$I$270*((AN$5=Inputs!$C$15+$K$270)*$E$272*$I$272+(AN$5=Inputs!$C$16+$K$270)*$F$272*$J$272+(AN$5=Inputs!$C$17)*$G$272*$H$270*$H$272)</f>
        <v>0</v>
      </c>
      <c r="AO275" s="42" t="n">
        <f aca="false">-($D$270+$J$270)*(AO$5=0)+IF(AND(AO$5-$K$270&gt;=1,AO$5-$K$270&lt;=Inputs!$C$13),INDEX($N$273:$AL$273,1,AO$5-$K$270+1)*INDEX($N$274:$AL$274,1,AO$5-$K$270+1),0)-$I$270*((AO$5=Inputs!$C$12)*$C$272*$D$270+(AO$5=Inputs!$C$13)*$D$272*($D$270+Inputs!$C$14))+$I$270*((AO$5=Inputs!$C$15+$K$270)*$E$272*$I$272+(AO$5=Inputs!$C$16+$K$270)*$F$272*$J$272+(AO$5=Inputs!$C$17)*$G$272*$H$270*$H$272)</f>
        <v>0</v>
      </c>
      <c r="AP275" s="42" t="n">
        <f aca="false">-($D$270+$J$270)*(AP$5=0)+IF(AND(AP$5-$K$270&gt;=1,AP$5-$K$270&lt;=Inputs!$C$13),INDEX($N$273:$AL$273,1,AP$5-$K$270+1)*INDEX($N$274:$AL$274,1,AP$5-$K$270+1),0)-$I$270*((AP$5=Inputs!$C$12)*$C$272*$D$270+(AP$5=Inputs!$C$13)*$D$272*($D$270+Inputs!$C$14))+$I$270*((AP$5=Inputs!$C$15+$K$270)*$E$272*$I$272+(AP$5=Inputs!$C$16+$K$270)*$F$272*$J$272+(AP$5=Inputs!$C$17)*$G$272*$H$270*$H$272)</f>
        <v>588.48</v>
      </c>
      <c r="AQ275" s="42" t="n">
        <f aca="false">-($D$270+$J$270)*(AQ$5=0)+IF(AND(AQ$5-$K$270&gt;=1,AQ$5-$K$270&lt;=Inputs!$C$13),INDEX($N$273:$AL$273,1,AQ$5-$K$270+1)*INDEX($N$274:$AL$274,1,AQ$5-$K$270+1),0)-$I$270*((AQ$5=Inputs!$C$12)*$C$272*$D$270+(AQ$5=Inputs!$C$13)*$D$272*($D$270+Inputs!$C$14))+$I$270*((AQ$5=Inputs!$C$15+$K$270)*$E$272*$I$272+(AQ$5=Inputs!$C$16+$K$270)*$F$272*$J$272+(AQ$5=Inputs!$C$17)*$G$272*$H$270*$H$272)</f>
        <v>0</v>
      </c>
      <c r="AR275" s="42" t="n">
        <f aca="false">-($D$270+$J$270)*(AR$5=0)+IF(AND(AR$5-$K$270&gt;=1,AR$5-$K$270&lt;=Inputs!$C$13),INDEX($N$273:$AL$273,1,AR$5-$K$270+1)*INDEX($N$274:$AL$274,1,AR$5-$K$270+1),0)-$I$270*((AR$5=Inputs!$C$12)*$C$272*$D$270+(AR$5=Inputs!$C$13)*$D$272*($D$270+Inputs!$C$14))+$I$270*((AR$5=Inputs!$C$15+$K$270)*$E$272*$I$272+(AR$5=Inputs!$C$16+$K$270)*$F$272*$J$272+(AR$5=Inputs!$C$17)*$G$272*$H$270*$H$272)</f>
        <v>0</v>
      </c>
      <c r="AS275" s="42" t="n">
        <f aca="false">-($D$270+$J$270)*(AS$5=0)+IF(AND(AS$5-$K$270&gt;=1,AS$5-$K$270&lt;=Inputs!$C$13),INDEX($N$273:$AL$273,1,AS$5-$K$270+1)*INDEX($N$274:$AL$274,1,AS$5-$K$270+1),0)-$I$270*((AS$5=Inputs!$C$12)*$C$272*$D$270+(AS$5=Inputs!$C$13)*$D$272*($D$270+Inputs!$C$14))+$I$270*((AS$5=Inputs!$C$15+$K$270)*$E$272*$I$272+(AS$5=Inputs!$C$16+$K$270)*$F$272*$J$272+(AS$5=Inputs!$C$17)*$G$272*$H$270*$H$272)</f>
        <v>452.16</v>
      </c>
      <c r="AT275" s="42" t="n">
        <f aca="false">-($D$270+$J$270)*(AT$5=0)+IF(AND(AT$5-$K$270&gt;=1,AT$5-$K$270&lt;=Inputs!$C$13),INDEX($N$273:$AL$273,1,AT$5-$K$270+1)*INDEX($N$274:$AL$274,1,AT$5-$K$270+1),0)-$I$270*((AT$5=Inputs!$C$12)*$C$272*$D$270+(AT$5=Inputs!$C$13)*$D$272*($D$270+Inputs!$C$14))+$I$270*((AT$5=Inputs!$C$15+$K$270)*$E$272*$I$272+(AT$5=Inputs!$C$16+$K$270)*$F$272*$J$272+(AT$5=Inputs!$C$17)*$G$272*$H$270*$H$272)</f>
        <v>0</v>
      </c>
      <c r="AU275" s="42" t="n">
        <f aca="false">-($D$270+$J$270)*(AU$5=0)+IF(AND(AU$5-$K$270&gt;=1,AU$5-$K$270&lt;=Inputs!$C$13),INDEX($N$273:$AL$273,1,AU$5-$K$270+1)*INDEX($N$274:$AL$274,1,AU$5-$K$270+1),0)-$I$270*((AU$5=Inputs!$C$12)*$C$272*$D$270+(AU$5=Inputs!$C$13)*$D$272*($D$270+Inputs!$C$14))+$I$270*((AU$5=Inputs!$C$15+$K$270)*$E$272*$I$272+(AU$5=Inputs!$C$16+$K$270)*$F$272*$J$272+(AU$5=Inputs!$C$17)*$G$272*$H$270*$H$272)</f>
        <v>0</v>
      </c>
      <c r="AV275" s="42" t="n">
        <f aca="false">-($D$270+$J$270)*(AV$5=0)+IF(AND(AV$5-$K$270&gt;=1,AV$5-$K$270&lt;=Inputs!$C$13),INDEX($N$273:$AL$273,1,AV$5-$K$270+1)*INDEX($N$274:$AL$274,1,AV$5-$K$270+1),0)-$I$270*((AV$5=Inputs!$C$12)*$C$272*$D$270+(AV$5=Inputs!$C$13)*$D$272*($D$270+Inputs!$C$14))+$I$270*((AV$5=Inputs!$C$15+$K$270)*$E$272*$I$272+(AV$5=Inputs!$C$16+$K$270)*$F$272*$J$272+(AV$5=Inputs!$C$17)*$G$272*$H$270*$H$272)</f>
        <v>0</v>
      </c>
      <c r="AW275" s="42" t="n">
        <f aca="false">-($D$270+$J$270)*(AW$5=0)+IF(AND(AW$5-$K$270&gt;=1,AW$5-$K$270&lt;=Inputs!$C$13),INDEX($N$273:$AL$273,1,AW$5-$K$270+1)*INDEX($N$274:$AL$274,1,AW$5-$K$270+1),0)-$I$270*((AW$5=Inputs!$C$12)*$C$272*$D$270+(AW$5=Inputs!$C$13)*$D$272*($D$270+Inputs!$C$14))+$I$270*((AW$5=Inputs!$C$15+$K$270)*$E$272*$I$272+(AW$5=Inputs!$C$16+$K$270)*$F$272*$J$272+(AW$5=Inputs!$C$17)*$G$272*$H$270*$H$272)</f>
        <v>0</v>
      </c>
      <c r="AX275" s="42" t="n">
        <f aca="false">-($D$270+$J$270)*(AX$5=0)+IF(AND(AX$5-$K$270&gt;=1,AX$5-$K$270&lt;=Inputs!$C$13),INDEX($N$273:$AL$273,1,AX$5-$K$270+1)*INDEX($N$274:$AL$274,1,AX$5-$K$270+1),0)-$I$270*((AX$5=Inputs!$C$12)*$C$272*$D$270+(AX$5=Inputs!$C$13)*$D$272*($D$270+Inputs!$C$14))+$I$270*((AX$5=Inputs!$C$15+$K$270)*$E$272*$I$272+(AX$5=Inputs!$C$16+$K$270)*$F$272*$J$272+(AX$5=Inputs!$C$17)*$G$272*$H$270*$H$272)</f>
        <v>277.2</v>
      </c>
      <c r="AY275" s="42" t="n">
        <f aca="false">-($D$270+$J$270)*(AY$5=0)+IF(AND(AY$5-$K$270&gt;=1,AY$5-$K$270&lt;=Inputs!$C$13),INDEX($N$273:$AL$273,1,AY$5-$K$270+1)*INDEX($N$274:$AL$274,1,AY$5-$K$270+1),0)-$I$270*((AY$5=Inputs!$C$12)*$C$272*$D$270+(AY$5=Inputs!$C$13)*$D$272*($D$270+Inputs!$C$14))+$I$270*((AY$5=Inputs!$C$15+$K$270)*$E$272*$I$272+(AY$5=Inputs!$C$16+$K$270)*$F$272*$J$272+(AY$5=Inputs!$C$17)*$G$272*$H$270*$H$272)</f>
        <v>0</v>
      </c>
    </row>
    <row r="277" customFormat="false" ht="15" hidden="false" customHeight="false" outlineLevel="0" collapsed="false">
      <c r="B277" s="7" t="s">
        <v>217</v>
      </c>
      <c r="C277" s="8"/>
      <c r="D277" s="8"/>
      <c r="E277" s="8"/>
      <c r="F277" s="8"/>
      <c r="G277" s="8"/>
      <c r="H277" s="8"/>
      <c r="I277" s="8"/>
      <c r="J277" s="8"/>
      <c r="K277" s="8"/>
      <c r="L277" s="8"/>
    </row>
    <row r="278" customFormat="false" ht="30" hidden="false" customHeight="true" outlineLevel="0" collapsed="false">
      <c r="B278" s="37"/>
      <c r="C278" s="38" t="s">
        <v>169</v>
      </c>
      <c r="D278" s="38" t="s">
        <v>170</v>
      </c>
      <c r="E278" s="38" t="s">
        <v>171</v>
      </c>
      <c r="F278" s="38" t="s">
        <v>43</v>
      </c>
      <c r="G278" s="38" t="s">
        <v>44</v>
      </c>
      <c r="H278" s="38" t="s">
        <v>45</v>
      </c>
      <c r="I278" s="38" t="s">
        <v>172</v>
      </c>
      <c r="J278" s="38" t="s">
        <v>90</v>
      </c>
      <c r="K278" s="38" t="s">
        <v>89</v>
      </c>
      <c r="L278" s="38" t="s">
        <v>173</v>
      </c>
    </row>
    <row r="279" customFormat="false" ht="15" hidden="false" customHeight="false" outlineLevel="0" collapsed="false">
      <c r="B279" s="39" t="s">
        <v>174</v>
      </c>
      <c r="C279" s="26" t="n">
        <f aca="false">Class_IRR!$I$5</f>
        <v>0.13</v>
      </c>
      <c r="D279" s="30" t="n">
        <f aca="false">Inputs!$E$26</f>
        <v>1600</v>
      </c>
      <c r="E279" s="26" t="n">
        <f aca="false">Inputs!$F$26</f>
        <v>0.8</v>
      </c>
      <c r="F279" s="25" t="n">
        <f aca="false">Inputs!$G$26</f>
        <v>0.4</v>
      </c>
      <c r="G279" s="25" t="n">
        <f aca="false">Inputs!$H$26</f>
        <v>0.5</v>
      </c>
      <c r="H279" s="25" t="n">
        <f aca="false">Inputs!$I$26</f>
        <v>0.7</v>
      </c>
      <c r="I279" s="22" t="n">
        <f aca="false">Inputs!$J$26</f>
        <v>1</v>
      </c>
      <c r="J279" s="23" t="n">
        <f aca="false">Inputs!$C$9</f>
        <v>10</v>
      </c>
      <c r="K279" s="22" t="n">
        <f aca="false">Inputs!$C$10</f>
        <v>1</v>
      </c>
      <c r="L279" s="22" t="n">
        <f aca="false">1</f>
        <v>1</v>
      </c>
    </row>
    <row r="280" customFormat="false" ht="30" hidden="false" customHeight="true" outlineLevel="0" collapsed="false">
      <c r="B280" s="37"/>
      <c r="C280" s="38" t="s">
        <v>175</v>
      </c>
      <c r="D280" s="38" t="s">
        <v>176</v>
      </c>
      <c r="E280" s="38" t="s">
        <v>177</v>
      </c>
      <c r="F280" s="38" t="s">
        <v>178</v>
      </c>
      <c r="G280" s="38" t="s">
        <v>112</v>
      </c>
      <c r="H280" s="38" t="s">
        <v>179</v>
      </c>
      <c r="I280" s="38" t="s">
        <v>180</v>
      </c>
      <c r="J280" s="38" t="s">
        <v>181</v>
      </c>
      <c r="K280" s="38" t="s">
        <v>182</v>
      </c>
      <c r="L280" s="38" t="s">
        <v>183</v>
      </c>
    </row>
    <row r="281" customFormat="false" ht="15" hidden="false" customHeight="false" outlineLevel="0" collapsed="false">
      <c r="B281" s="39" t="s">
        <v>184</v>
      </c>
      <c r="C281" s="40" t="n">
        <f aca="false">1-$E$279*CHOOSE($L$279,INDEX(Timing!$C$7:$AA$7,1,Inputs!$C$12+1),INDEX(Timing!$C$8:$AA$8,1,Inputs!$C$12+1))</f>
        <v>0.392</v>
      </c>
      <c r="D281" s="40" t="n">
        <f aca="false">1-$E$279*CHOOSE($L$279,INDEX(Timing!$C$7:$AA$7,1,Inputs!$C$13+1),INDEX(Timing!$C$8:$AA$8,1,Inputs!$C$13+1))</f>
        <v>0.2</v>
      </c>
      <c r="E281" s="40" t="n">
        <f aca="false">$I$279*$D$281*$F$279</f>
        <v>0.08</v>
      </c>
      <c r="F281" s="40" t="n">
        <f aca="false">$I$279*($D$281-$E$281)*$G$279</f>
        <v>0.06</v>
      </c>
      <c r="G281" s="40" t="n">
        <f aca="false">$I$279*($D$281-$E$281-$F$281)</f>
        <v>0.06</v>
      </c>
      <c r="H281" s="23" t="n">
        <f aca="false">$I$279*(3*$D$279+Inputs!$C$14)</f>
        <v>6600</v>
      </c>
      <c r="I281" s="23" t="n">
        <f aca="false">$I$279*($D$279*(1+IF($C$279&lt;=0,0,MAX($C$279*Inputs!$C$15/12,Inputs!$C$8)))+$D$279*(1+Inputs!$C$11*(Inputs!$C$15-Inputs!$C$12)/12)+$D$279*(1+Inputs!$C$11*(Inputs!$C$15-Inputs!$C$13)/12)+Inputs!$C$14)</f>
        <v>7500</v>
      </c>
      <c r="J281" s="23" t="n">
        <f aca="false">$I$279*($D$279*(1+IF($C$279&lt;=0,0,MAX($C$279*Inputs!$C$16/12,Inputs!$C$8)))+$D$279*(1+Inputs!$C$11*(Inputs!$C$16-Inputs!$C$12)/12)+$D$279*(1+Inputs!$C$11*(Inputs!$C$16-Inputs!$C$13)/12)+Inputs!$C$14)</f>
        <v>7696</v>
      </c>
      <c r="K281" s="40" t="n">
        <f aca="false">IRR($N$284:$AY$284,0.005)</f>
        <v>0.00470908346528356</v>
      </c>
      <c r="L281" s="41" t="n">
        <f aca="false">(1+$K$281)^12-1</f>
        <v>0.0579958014195281</v>
      </c>
    </row>
    <row r="282" customFormat="false" ht="15" hidden="false" customHeight="false" outlineLevel="0" collapsed="false">
      <c r="B282" s="9" t="s">
        <v>185</v>
      </c>
      <c r="N282" s="40" t="n">
        <f aca="false">0</f>
        <v>0</v>
      </c>
      <c r="O282" s="40" t="n">
        <f aca="false">$E$279*(CHOOSE($L$279,Timing!D$7,Timing!D$8)-CHOOSE($L$279,Timing!C$7,Timing!C$8))</f>
        <v>0.096</v>
      </c>
      <c r="P282" s="40" t="n">
        <f aca="false">$E$279*(CHOOSE($L$279,Timing!E$7,Timing!E$8)-CHOOSE($L$279,Timing!D$7,Timing!D$8))</f>
        <v>0.08</v>
      </c>
      <c r="Q282" s="40" t="n">
        <f aca="false">$E$279*(CHOOSE($L$279,Timing!F$7,Timing!F$8)-CHOOSE($L$279,Timing!E$7,Timing!E$8))</f>
        <v>0.072</v>
      </c>
      <c r="R282" s="40" t="n">
        <f aca="false">$E$279*(CHOOSE($L$279,Timing!G$7,Timing!G$8)-CHOOSE($L$279,Timing!F$7,Timing!F$8))</f>
        <v>0.056</v>
      </c>
      <c r="S282" s="40" t="n">
        <f aca="false">$E$279*(CHOOSE($L$279,Timing!H$7,Timing!H$8)-CHOOSE($L$279,Timing!G$7,Timing!G$8))</f>
        <v>0.056</v>
      </c>
      <c r="T282" s="40" t="n">
        <f aca="false">$E$279*(CHOOSE($L$279,Timing!I$7,Timing!I$8)-CHOOSE($L$279,Timing!H$7,Timing!H$8))</f>
        <v>0.056</v>
      </c>
      <c r="U282" s="40" t="n">
        <f aca="false">$E$279*(CHOOSE($L$279,Timing!J$7,Timing!J$8)-CHOOSE($L$279,Timing!I$7,Timing!I$8))</f>
        <v>0.0346666666666667</v>
      </c>
      <c r="V282" s="40" t="n">
        <f aca="false">$E$279*(CHOOSE($L$279,Timing!K$7,Timing!K$8)-CHOOSE($L$279,Timing!J$7,Timing!J$8))</f>
        <v>0.0346666666666667</v>
      </c>
      <c r="W282" s="40" t="n">
        <f aca="false">$E$279*(CHOOSE($L$279,Timing!L$7,Timing!L$8)-CHOOSE($L$279,Timing!K$7,Timing!K$8))</f>
        <v>0.0346666666666667</v>
      </c>
      <c r="X282" s="40" t="n">
        <f aca="false">$E$279*(CHOOSE($L$279,Timing!M$7,Timing!M$8)-CHOOSE($L$279,Timing!L$7,Timing!L$8))</f>
        <v>0.0293333333333333</v>
      </c>
      <c r="Y282" s="40" t="n">
        <f aca="false">$E$279*(CHOOSE($L$279,Timing!N$7,Timing!N$8)-CHOOSE($L$279,Timing!M$7,Timing!M$8))</f>
        <v>0.0293333333333334</v>
      </c>
      <c r="Z282" s="40" t="n">
        <f aca="false">$E$279*(CHOOSE($L$279,Timing!O$7,Timing!O$8)-CHOOSE($L$279,Timing!N$7,Timing!N$8))</f>
        <v>0.0293333333333333</v>
      </c>
      <c r="AA282" s="40" t="n">
        <f aca="false">$E$279*(CHOOSE($L$279,Timing!P$7,Timing!P$8)-CHOOSE($L$279,Timing!O$7,Timing!O$8))</f>
        <v>0.0186666666666667</v>
      </c>
      <c r="AB282" s="40" t="n">
        <f aca="false">$E$279*(CHOOSE($L$279,Timing!Q$7,Timing!Q$8)-CHOOSE($L$279,Timing!P$7,Timing!P$8))</f>
        <v>0.0186666666666667</v>
      </c>
      <c r="AC282" s="40" t="n">
        <f aca="false">$E$279*(CHOOSE($L$279,Timing!R$7,Timing!R$8)-CHOOSE($L$279,Timing!Q$7,Timing!Q$8))</f>
        <v>0.0186666666666667</v>
      </c>
      <c r="AD282" s="40" t="n">
        <f aca="false">$E$279*(CHOOSE($L$279,Timing!S$7,Timing!S$8)-CHOOSE($L$279,Timing!R$7,Timing!R$8))</f>
        <v>0.0186666666666667</v>
      </c>
      <c r="AE282" s="40" t="n">
        <f aca="false">$E$279*(CHOOSE($L$279,Timing!T$7,Timing!T$8)-CHOOSE($L$279,Timing!S$7,Timing!S$8))</f>
        <v>0.0186666666666667</v>
      </c>
      <c r="AF282" s="40" t="n">
        <f aca="false">$E$279*(CHOOSE($L$279,Timing!U$7,Timing!U$8)-CHOOSE($L$279,Timing!T$7,Timing!T$8))</f>
        <v>0.0186666666666667</v>
      </c>
      <c r="AG282" s="40" t="n">
        <f aca="false">$E$279*(CHOOSE($L$279,Timing!V$7,Timing!V$8)-CHOOSE($L$279,Timing!U$7,Timing!U$8))</f>
        <v>0.0133333333333334</v>
      </c>
      <c r="AH282" s="40" t="n">
        <f aca="false">$E$279*(CHOOSE($L$279,Timing!W$7,Timing!W$8)-CHOOSE($L$279,Timing!V$7,Timing!V$8))</f>
        <v>0.0133333333333333</v>
      </c>
      <c r="AI282" s="40" t="n">
        <f aca="false">$E$279*(CHOOSE($L$279,Timing!X$7,Timing!X$8)-CHOOSE($L$279,Timing!W$7,Timing!W$8))</f>
        <v>0.0133333333333333</v>
      </c>
      <c r="AJ282" s="40" t="n">
        <f aca="false">$E$279*(CHOOSE($L$279,Timing!Y$7,Timing!Y$8)-CHOOSE($L$279,Timing!X$7,Timing!X$8))</f>
        <v>0.0133333333333334</v>
      </c>
      <c r="AK282" s="40" t="n">
        <f aca="false">$E$279*(CHOOSE($L$279,Timing!Z$7,Timing!Z$8)-CHOOSE($L$279,Timing!Y$7,Timing!Y$8))</f>
        <v>0.0133333333333334</v>
      </c>
      <c r="AL282" s="40" t="n">
        <f aca="false">$E$279*(CHOOSE($L$279,Timing!AA$7,Timing!AA$8)-CHOOSE($L$279,Timing!Z$7,Timing!Z$8))</f>
        <v>0.0133333333333333</v>
      </c>
    </row>
    <row r="283" customFormat="false" ht="15" hidden="false" customHeight="false" outlineLevel="0" collapsed="false">
      <c r="B283" s="9" t="s">
        <v>186</v>
      </c>
      <c r="N283" s="42" t="n">
        <f aca="false">0</f>
        <v>0</v>
      </c>
      <c r="O283" s="42" t="n">
        <f aca="false">$D$279*(1+IF($C$279&lt;=0,0,MAX($C$279*O$5/12,Inputs!$C$8)))+$I$279*(O$5&gt;Inputs!$C$12)*$D$279*(1+Inputs!$C$11*(O$5-Inputs!$C$12)/12)</f>
        <v>1680</v>
      </c>
      <c r="P283" s="42" t="n">
        <f aca="false">$D$279*(1+IF($C$279&lt;=0,0,MAX($C$279*P$5/12,Inputs!$C$8)))+$I$279*(P$5&gt;Inputs!$C$12)*$D$279*(1+Inputs!$C$11*(P$5-Inputs!$C$12)/12)</f>
        <v>1680</v>
      </c>
      <c r="Q283" s="42" t="n">
        <f aca="false">$D$279*(1+IF($C$279&lt;=0,0,MAX($C$279*Q$5/12,Inputs!$C$8)))+$I$279*(Q$5&gt;Inputs!$C$12)*$D$279*(1+Inputs!$C$11*(Q$5-Inputs!$C$12)/12)</f>
        <v>1680</v>
      </c>
      <c r="R283" s="42" t="n">
        <f aca="false">$D$279*(1+IF($C$279&lt;=0,0,MAX($C$279*R$5/12,Inputs!$C$8)))+$I$279*(R$5&gt;Inputs!$C$12)*$D$279*(1+Inputs!$C$11*(R$5-Inputs!$C$12)/12)</f>
        <v>1680</v>
      </c>
      <c r="S283" s="42" t="n">
        <f aca="false">$D$279*(1+IF($C$279&lt;=0,0,MAX($C$279*S$5/12,Inputs!$C$8)))+$I$279*(S$5&gt;Inputs!$C$12)*$D$279*(1+Inputs!$C$11*(S$5-Inputs!$C$12)/12)</f>
        <v>1686.66666666667</v>
      </c>
      <c r="T283" s="42" t="n">
        <f aca="false">$D$279*(1+IF($C$279&lt;=0,0,MAX($C$279*T$5/12,Inputs!$C$8)))+$I$279*(T$5&gt;Inputs!$C$12)*$D$279*(1+Inputs!$C$11*(T$5-Inputs!$C$12)/12)</f>
        <v>1704</v>
      </c>
      <c r="U283" s="42" t="n">
        <f aca="false">$D$279*(1+IF($C$279&lt;=0,0,MAX($C$279*U$5/12,Inputs!$C$8)))+$I$279*(U$5&gt;Inputs!$C$12)*$D$279*(1+Inputs!$C$11*(U$5-Inputs!$C$12)/12)</f>
        <v>1721.33333333333</v>
      </c>
      <c r="V283" s="42" t="n">
        <f aca="false">$D$279*(1+IF($C$279&lt;=0,0,MAX($C$279*V$5/12,Inputs!$C$8)))+$I$279*(V$5&gt;Inputs!$C$12)*$D$279*(1+Inputs!$C$11*(V$5-Inputs!$C$12)/12)</f>
        <v>1738.66666666667</v>
      </c>
      <c r="W283" s="42" t="n">
        <f aca="false">$D$279*(1+IF($C$279&lt;=0,0,MAX($C$279*W$5/12,Inputs!$C$8)))+$I$279*(W$5&gt;Inputs!$C$12)*$D$279*(1+Inputs!$C$11*(W$5-Inputs!$C$12)/12)</f>
        <v>1756</v>
      </c>
      <c r="X283" s="42" t="n">
        <f aca="false">$D$279*(1+IF($C$279&lt;=0,0,MAX($C$279*X$5/12,Inputs!$C$8)))+$I$279*(X$5&gt;Inputs!$C$12)*$D$279*(1+Inputs!$C$11*(X$5-Inputs!$C$12)/12)</f>
        <v>1773.33333333333</v>
      </c>
      <c r="Y283" s="42" t="n">
        <f aca="false">$D$279*(1+IF($C$279&lt;=0,0,MAX($C$279*Y$5/12,Inputs!$C$8)))+$I$279*(Y$5&gt;Inputs!$C$12)*$D$279*(1+Inputs!$C$11*(Y$5-Inputs!$C$12)/12)</f>
        <v>1790.66666666667</v>
      </c>
      <c r="Z283" s="42" t="n">
        <f aca="false">$D$279*(1+IF($C$279&lt;=0,0,MAX($C$279*Z$5/12,Inputs!$C$8)))+$I$279*(Z$5&gt;Inputs!$C$12)*$D$279*(1+Inputs!$C$11*(Z$5-Inputs!$C$12)/12)</f>
        <v>1808</v>
      </c>
      <c r="AA283" s="42" t="n">
        <f aca="false">$D$279*(1+IF($C$279&lt;=0,0,MAX($C$279*AA$5/12,Inputs!$C$8)))+$I$279*(AA$5&gt;Inputs!$C$12)*$D$279*(1+Inputs!$C$11*(AA$5-Inputs!$C$12)/12)</f>
        <v>3449.33333333333</v>
      </c>
      <c r="AB283" s="42" t="n">
        <f aca="false">$D$279*(1+IF($C$279&lt;=0,0,MAX($C$279*AB$5/12,Inputs!$C$8)))+$I$279*(AB$5&gt;Inputs!$C$12)*$D$279*(1+Inputs!$C$11*(AB$5-Inputs!$C$12)/12)</f>
        <v>3490.66666666667</v>
      </c>
      <c r="AC283" s="42" t="n">
        <f aca="false">$D$279*(1+IF($C$279&lt;=0,0,MAX($C$279*AC$5/12,Inputs!$C$8)))+$I$279*(AC$5&gt;Inputs!$C$12)*$D$279*(1+Inputs!$C$11*(AC$5-Inputs!$C$12)/12)</f>
        <v>3532</v>
      </c>
      <c r="AD283" s="42" t="n">
        <f aca="false">$D$279*(1+IF($C$279&lt;=0,0,MAX($C$279*AD$5/12,Inputs!$C$8)))+$I$279*(AD$5&gt;Inputs!$C$12)*$D$279*(1+Inputs!$C$11*(AD$5-Inputs!$C$12)/12)</f>
        <v>3573.33333333333</v>
      </c>
      <c r="AE283" s="42" t="n">
        <f aca="false">$D$279*(1+IF($C$279&lt;=0,0,MAX($C$279*AE$5/12,Inputs!$C$8)))+$I$279*(AE$5&gt;Inputs!$C$12)*$D$279*(1+Inputs!$C$11*(AE$5-Inputs!$C$12)/12)</f>
        <v>3614.66666666667</v>
      </c>
      <c r="AF283" s="42" t="n">
        <f aca="false">$D$279*(1+IF($C$279&lt;=0,0,MAX($C$279*AF$5/12,Inputs!$C$8)))+$I$279*(AF$5&gt;Inputs!$C$12)*$D$279*(1+Inputs!$C$11*(AF$5-Inputs!$C$12)/12)</f>
        <v>3656</v>
      </c>
      <c r="AG283" s="42" t="n">
        <f aca="false">$D$279*(1+IF($C$279&lt;=0,0,MAX($C$279*AG$5/12,Inputs!$C$8)))+$I$279*(AG$5&gt;Inputs!$C$12)*$D$279*(1+Inputs!$C$11*(AG$5-Inputs!$C$12)/12)</f>
        <v>3697.33333333333</v>
      </c>
      <c r="AH283" s="42" t="n">
        <f aca="false">$D$279*(1+IF($C$279&lt;=0,0,MAX($C$279*AH$5/12,Inputs!$C$8)))+$I$279*(AH$5&gt;Inputs!$C$12)*$D$279*(1+Inputs!$C$11*(AH$5-Inputs!$C$12)/12)</f>
        <v>3738.66666666667</v>
      </c>
      <c r="AI283" s="42" t="n">
        <f aca="false">$D$279*(1+IF($C$279&lt;=0,0,MAX($C$279*AI$5/12,Inputs!$C$8)))+$I$279*(AI$5&gt;Inputs!$C$12)*$D$279*(1+Inputs!$C$11*(AI$5-Inputs!$C$12)/12)</f>
        <v>3780</v>
      </c>
      <c r="AJ283" s="42" t="n">
        <f aca="false">$D$279*(1+IF($C$279&lt;=0,0,MAX($C$279*AJ$5/12,Inputs!$C$8)))+$I$279*(AJ$5&gt;Inputs!$C$12)*$D$279*(1+Inputs!$C$11*(AJ$5-Inputs!$C$12)/12)</f>
        <v>3821.33333333333</v>
      </c>
      <c r="AK283" s="42" t="n">
        <f aca="false">$D$279*(1+IF($C$279&lt;=0,0,MAX($C$279*AK$5/12,Inputs!$C$8)))+$I$279*(AK$5&gt;Inputs!$C$12)*$D$279*(1+Inputs!$C$11*(AK$5-Inputs!$C$12)/12)</f>
        <v>3862.66666666667</v>
      </c>
      <c r="AL283" s="42" t="n">
        <f aca="false">$D$279*(1+IF($C$279&lt;=0,0,MAX($C$279*AL$5/12,Inputs!$C$8)))+$I$279*(AL$5&gt;Inputs!$C$12)*$D$279*(1+Inputs!$C$11*(AL$5-Inputs!$C$12)/12)</f>
        <v>3904</v>
      </c>
    </row>
    <row r="284" customFormat="false" ht="15" hidden="false" customHeight="false" outlineLevel="0" collapsed="false">
      <c r="B284" s="31" t="s">
        <v>187</v>
      </c>
      <c r="N284" s="42" t="n">
        <f aca="false">-($D$279+$J$279)*(N$5=0)+IF(AND(N$5-$K$279&gt;=1,N$5-$K$279&lt;=Inputs!$C$13),INDEX($N$282:$AL$282,1,N$5-$K$279+1)*INDEX($N$283:$AL$283,1,N$5-$K$279+1),0)-$I$279*((N$5=Inputs!$C$12)*$C$281*$D$279+(N$5=Inputs!$C$13)*$D$281*($D$279+Inputs!$C$14))+$I$279*((N$5=Inputs!$C$15+$K$279)*$E$281*$I$281+(N$5=Inputs!$C$16+$K$279)*$F$281*$J$281+(N$5=Inputs!$C$17)*$G$281*$H$279*$H$281)</f>
        <v>-1610</v>
      </c>
      <c r="O284" s="42" t="n">
        <f aca="false">-($D$279+$J$279)*(O$5=0)+IF(AND(O$5-$K$279&gt;=1,O$5-$K$279&lt;=Inputs!$C$13),INDEX($N$282:$AL$282,1,O$5-$K$279+1)*INDEX($N$283:$AL$283,1,O$5-$K$279+1),0)-$I$279*((O$5=Inputs!$C$12)*$C$281*$D$279+(O$5=Inputs!$C$13)*$D$281*($D$279+Inputs!$C$14))+$I$279*((O$5=Inputs!$C$15+$K$279)*$E$281*$I$281+(O$5=Inputs!$C$16+$K$279)*$F$281*$J$281+(O$5=Inputs!$C$17)*$G$281*$H$279*$H$281)</f>
        <v>0</v>
      </c>
      <c r="P284" s="42" t="n">
        <f aca="false">-($D$279+$J$279)*(P$5=0)+IF(AND(P$5-$K$279&gt;=1,P$5-$K$279&lt;=Inputs!$C$13),INDEX($N$282:$AL$282,1,P$5-$K$279+1)*INDEX($N$283:$AL$283,1,P$5-$K$279+1),0)-$I$279*((P$5=Inputs!$C$12)*$C$281*$D$279+(P$5=Inputs!$C$13)*$D$281*($D$279+Inputs!$C$14))+$I$279*((P$5=Inputs!$C$15+$K$279)*$E$281*$I$281+(P$5=Inputs!$C$16+$K$279)*$F$281*$J$281+(P$5=Inputs!$C$17)*$G$281*$H$279*$H$281)</f>
        <v>161.28</v>
      </c>
      <c r="Q284" s="42" t="n">
        <f aca="false">-($D$279+$J$279)*(Q$5=0)+IF(AND(Q$5-$K$279&gt;=1,Q$5-$K$279&lt;=Inputs!$C$13),INDEX($N$282:$AL$282,1,Q$5-$K$279+1)*INDEX($N$283:$AL$283,1,Q$5-$K$279+1),0)-$I$279*((Q$5=Inputs!$C$12)*$C$281*$D$279+(Q$5=Inputs!$C$13)*$D$281*($D$279+Inputs!$C$14))+$I$279*((Q$5=Inputs!$C$15+$K$279)*$E$281*$I$281+(Q$5=Inputs!$C$16+$K$279)*$F$281*$J$281+(Q$5=Inputs!$C$17)*$G$281*$H$279*$H$281)</f>
        <v>134.4</v>
      </c>
      <c r="R284" s="42" t="n">
        <f aca="false">-($D$279+$J$279)*(R$5=0)+IF(AND(R$5-$K$279&gt;=1,R$5-$K$279&lt;=Inputs!$C$13),INDEX($N$282:$AL$282,1,R$5-$K$279+1)*INDEX($N$283:$AL$283,1,R$5-$K$279+1),0)-$I$279*((R$5=Inputs!$C$12)*$C$281*$D$279+(R$5=Inputs!$C$13)*$D$281*($D$279+Inputs!$C$14))+$I$279*((R$5=Inputs!$C$15+$K$279)*$E$281*$I$281+(R$5=Inputs!$C$16+$K$279)*$F$281*$J$281+(R$5=Inputs!$C$17)*$G$281*$H$279*$H$281)</f>
        <v>120.96</v>
      </c>
      <c r="S284" s="42" t="n">
        <f aca="false">-($D$279+$J$279)*(S$5=0)+IF(AND(S$5-$K$279&gt;=1,S$5-$K$279&lt;=Inputs!$C$13),INDEX($N$282:$AL$282,1,S$5-$K$279+1)*INDEX($N$283:$AL$283,1,S$5-$K$279+1),0)-$I$279*((S$5=Inputs!$C$12)*$C$281*$D$279+(S$5=Inputs!$C$13)*$D$281*($D$279+Inputs!$C$14))+$I$279*((S$5=Inputs!$C$15+$K$279)*$E$281*$I$281+(S$5=Inputs!$C$16+$K$279)*$F$281*$J$281+(S$5=Inputs!$C$17)*$G$281*$H$279*$H$281)</f>
        <v>94.08</v>
      </c>
      <c r="T284" s="42" t="n">
        <f aca="false">-($D$279+$J$279)*(T$5=0)+IF(AND(T$5-$K$279&gt;=1,T$5-$K$279&lt;=Inputs!$C$13),INDEX($N$282:$AL$282,1,T$5-$K$279+1)*INDEX($N$283:$AL$283,1,T$5-$K$279+1),0)-$I$279*((T$5=Inputs!$C$12)*$C$281*$D$279+(T$5=Inputs!$C$13)*$D$281*($D$279+Inputs!$C$14))+$I$279*((T$5=Inputs!$C$15+$K$279)*$E$281*$I$281+(T$5=Inputs!$C$16+$K$279)*$F$281*$J$281+(T$5=Inputs!$C$17)*$G$281*$H$279*$H$281)</f>
        <v>94.4533333333334</v>
      </c>
      <c r="U284" s="42" t="n">
        <f aca="false">-($D$279+$J$279)*(U$5=0)+IF(AND(U$5-$K$279&gt;=1,U$5-$K$279&lt;=Inputs!$C$13),INDEX($N$282:$AL$282,1,U$5-$K$279+1)*INDEX($N$283:$AL$283,1,U$5-$K$279+1),0)-$I$279*((U$5=Inputs!$C$12)*$C$281*$D$279+(U$5=Inputs!$C$13)*$D$281*($D$279+Inputs!$C$14))+$I$279*((U$5=Inputs!$C$15+$K$279)*$E$281*$I$281+(U$5=Inputs!$C$16+$K$279)*$F$281*$J$281+(U$5=Inputs!$C$17)*$G$281*$H$279*$H$281)</f>
        <v>95.424</v>
      </c>
      <c r="V284" s="42" t="n">
        <f aca="false">-($D$279+$J$279)*(V$5=0)+IF(AND(V$5-$K$279&gt;=1,V$5-$K$279&lt;=Inputs!$C$13),INDEX($N$282:$AL$282,1,V$5-$K$279+1)*INDEX($N$283:$AL$283,1,V$5-$K$279+1),0)-$I$279*((V$5=Inputs!$C$12)*$C$281*$D$279+(V$5=Inputs!$C$13)*$D$281*($D$279+Inputs!$C$14))+$I$279*((V$5=Inputs!$C$15+$K$279)*$E$281*$I$281+(V$5=Inputs!$C$16+$K$279)*$F$281*$J$281+(V$5=Inputs!$C$17)*$G$281*$H$279*$H$281)</f>
        <v>59.6728888888889</v>
      </c>
      <c r="W284" s="42" t="n">
        <f aca="false">-($D$279+$J$279)*(W$5=0)+IF(AND(W$5-$K$279&gt;=1,W$5-$K$279&lt;=Inputs!$C$13),INDEX($N$282:$AL$282,1,W$5-$K$279+1)*INDEX($N$283:$AL$283,1,W$5-$K$279+1),0)-$I$279*((W$5=Inputs!$C$12)*$C$281*$D$279+(W$5=Inputs!$C$13)*$D$281*($D$279+Inputs!$C$14))+$I$279*((W$5=Inputs!$C$15+$K$279)*$E$281*$I$281+(W$5=Inputs!$C$16+$K$279)*$F$281*$J$281+(W$5=Inputs!$C$17)*$G$281*$H$279*$H$281)</f>
        <v>60.2737777777778</v>
      </c>
      <c r="X284" s="42" t="n">
        <f aca="false">-($D$279+$J$279)*(X$5=0)+IF(AND(X$5-$K$279&gt;=1,X$5-$K$279&lt;=Inputs!$C$13),INDEX($N$282:$AL$282,1,X$5-$K$279+1)*INDEX($N$283:$AL$283,1,X$5-$K$279+1),0)-$I$279*((X$5=Inputs!$C$12)*$C$281*$D$279+(X$5=Inputs!$C$13)*$D$281*($D$279+Inputs!$C$14))+$I$279*((X$5=Inputs!$C$15+$K$279)*$E$281*$I$281+(X$5=Inputs!$C$16+$K$279)*$F$281*$J$281+(X$5=Inputs!$C$17)*$G$281*$H$279*$H$281)</f>
        <v>60.8746666666667</v>
      </c>
      <c r="Y284" s="42" t="n">
        <f aca="false">-($D$279+$J$279)*(Y$5=0)+IF(AND(Y$5-$K$279&gt;=1,Y$5-$K$279&lt;=Inputs!$C$13),INDEX($N$282:$AL$282,1,Y$5-$K$279+1)*INDEX($N$283:$AL$283,1,Y$5-$K$279+1),0)-$I$279*((Y$5=Inputs!$C$12)*$C$281*$D$279+(Y$5=Inputs!$C$13)*$D$281*($D$279+Inputs!$C$14))+$I$279*((Y$5=Inputs!$C$15+$K$279)*$E$281*$I$281+(Y$5=Inputs!$C$16+$K$279)*$F$281*$J$281+(Y$5=Inputs!$C$17)*$G$281*$H$279*$H$281)</f>
        <v>52.0177777777777</v>
      </c>
      <c r="Z284" s="42" t="n">
        <f aca="false">-($D$279+$J$279)*(Z$5=0)+IF(AND(Z$5-$K$279&gt;=1,Z$5-$K$279&lt;=Inputs!$C$13),INDEX($N$282:$AL$282,1,Z$5-$K$279+1)*INDEX($N$283:$AL$283,1,Z$5-$K$279+1),0)-$I$279*((Z$5=Inputs!$C$12)*$C$281*$D$279+(Z$5=Inputs!$C$13)*$D$281*($D$279+Inputs!$C$14))+$I$279*((Z$5=Inputs!$C$15+$K$279)*$E$281*$I$281+(Z$5=Inputs!$C$16+$K$279)*$F$281*$J$281+(Z$5=Inputs!$C$17)*$G$281*$H$279*$H$281)</f>
        <v>-574.673777777777</v>
      </c>
      <c r="AA284" s="42" t="n">
        <f aca="false">-($D$279+$J$279)*(AA$5=0)+IF(AND(AA$5-$K$279&gt;=1,AA$5-$K$279&lt;=Inputs!$C$13),INDEX($N$282:$AL$282,1,AA$5-$K$279+1)*INDEX($N$283:$AL$283,1,AA$5-$K$279+1),0)-$I$279*((AA$5=Inputs!$C$12)*$C$281*$D$279+(AA$5=Inputs!$C$13)*$D$281*($D$279+Inputs!$C$14))+$I$279*((AA$5=Inputs!$C$15+$K$279)*$E$281*$I$281+(AA$5=Inputs!$C$16+$K$279)*$F$281*$J$281+(AA$5=Inputs!$C$17)*$G$281*$H$279*$H$281)</f>
        <v>53.0346666666666</v>
      </c>
      <c r="AB284" s="42" t="n">
        <f aca="false">-($D$279+$J$279)*(AB$5=0)+IF(AND(AB$5-$K$279&gt;=1,AB$5-$K$279&lt;=Inputs!$C$13),INDEX($N$282:$AL$282,1,AB$5-$K$279+1)*INDEX($N$283:$AL$283,1,AB$5-$K$279+1),0)-$I$279*((AB$5=Inputs!$C$12)*$C$281*$D$279+(AB$5=Inputs!$C$13)*$D$281*($D$279+Inputs!$C$14))+$I$279*((AB$5=Inputs!$C$15+$K$279)*$E$281*$I$281+(AB$5=Inputs!$C$16+$K$279)*$F$281*$J$281+(AB$5=Inputs!$C$17)*$G$281*$H$279*$H$281)</f>
        <v>64.3875555555555</v>
      </c>
      <c r="AC284" s="42" t="n">
        <f aca="false">-($D$279+$J$279)*(AC$5=0)+IF(AND(AC$5-$K$279&gt;=1,AC$5-$K$279&lt;=Inputs!$C$13),INDEX($N$282:$AL$282,1,AC$5-$K$279+1)*INDEX($N$283:$AL$283,1,AC$5-$K$279+1),0)-$I$279*((AC$5=Inputs!$C$12)*$C$281*$D$279+(AC$5=Inputs!$C$13)*$D$281*($D$279+Inputs!$C$14))+$I$279*((AC$5=Inputs!$C$15+$K$279)*$E$281*$I$281+(AC$5=Inputs!$C$16+$K$279)*$F$281*$J$281+(AC$5=Inputs!$C$17)*$G$281*$H$279*$H$281)</f>
        <v>65.1591111111111</v>
      </c>
      <c r="AD284" s="42" t="n">
        <f aca="false">-($D$279+$J$279)*(AD$5=0)+IF(AND(AD$5-$K$279&gt;=1,AD$5-$K$279&lt;=Inputs!$C$13),INDEX($N$282:$AL$282,1,AD$5-$K$279+1)*INDEX($N$283:$AL$283,1,AD$5-$K$279+1),0)-$I$279*((AD$5=Inputs!$C$12)*$C$281*$D$279+(AD$5=Inputs!$C$13)*$D$281*($D$279+Inputs!$C$14))+$I$279*((AD$5=Inputs!$C$15+$K$279)*$E$281*$I$281+(AD$5=Inputs!$C$16+$K$279)*$F$281*$J$281+(AD$5=Inputs!$C$17)*$G$281*$H$279*$H$281)</f>
        <v>65.9306666666669</v>
      </c>
      <c r="AE284" s="42" t="n">
        <f aca="false">-($D$279+$J$279)*(AE$5=0)+IF(AND(AE$5-$K$279&gt;=1,AE$5-$K$279&lt;=Inputs!$C$13),INDEX($N$282:$AL$282,1,AE$5-$K$279+1)*INDEX($N$283:$AL$283,1,AE$5-$K$279+1),0)-$I$279*((AE$5=Inputs!$C$12)*$C$281*$D$279+(AE$5=Inputs!$C$13)*$D$281*($D$279+Inputs!$C$14))+$I$279*((AE$5=Inputs!$C$15+$K$279)*$E$281*$I$281+(AE$5=Inputs!$C$16+$K$279)*$F$281*$J$281+(AE$5=Inputs!$C$17)*$G$281*$H$279*$H$281)</f>
        <v>66.7022222222222</v>
      </c>
      <c r="AF284" s="42" t="n">
        <f aca="false">-($D$279+$J$279)*(AF$5=0)+IF(AND(AF$5-$K$279&gt;=1,AF$5-$K$279&lt;=Inputs!$C$13),INDEX($N$282:$AL$282,1,AF$5-$K$279+1)*INDEX($N$283:$AL$283,1,AF$5-$K$279+1),0)-$I$279*((AF$5=Inputs!$C$12)*$C$281*$D$279+(AF$5=Inputs!$C$13)*$D$281*($D$279+Inputs!$C$14))+$I$279*((AF$5=Inputs!$C$15+$K$279)*$E$281*$I$281+(AF$5=Inputs!$C$16+$K$279)*$F$281*$J$281+(AF$5=Inputs!$C$17)*$G$281*$H$279*$H$281)</f>
        <v>67.4737777777777</v>
      </c>
      <c r="AG284" s="42" t="n">
        <f aca="false">-($D$279+$J$279)*(AG$5=0)+IF(AND(AG$5-$K$279&gt;=1,AG$5-$K$279&lt;=Inputs!$C$13),INDEX($N$282:$AL$282,1,AG$5-$K$279+1)*INDEX($N$283:$AL$283,1,AG$5-$K$279+1),0)-$I$279*((AG$5=Inputs!$C$12)*$C$281*$D$279+(AG$5=Inputs!$C$13)*$D$281*($D$279+Inputs!$C$14))+$I$279*((AG$5=Inputs!$C$15+$K$279)*$E$281*$I$281+(AG$5=Inputs!$C$16+$K$279)*$F$281*$J$281+(AG$5=Inputs!$C$17)*$G$281*$H$279*$H$281)</f>
        <v>68.2453333333333</v>
      </c>
      <c r="AH284" s="42" t="n">
        <f aca="false">-($D$279+$J$279)*(AH$5=0)+IF(AND(AH$5-$K$279&gt;=1,AH$5-$K$279&lt;=Inputs!$C$13),INDEX($N$282:$AL$282,1,AH$5-$K$279+1)*INDEX($N$283:$AL$283,1,AH$5-$K$279+1),0)-$I$279*((AH$5=Inputs!$C$12)*$C$281*$D$279+(AH$5=Inputs!$C$13)*$D$281*($D$279+Inputs!$C$14))+$I$279*((AH$5=Inputs!$C$15+$K$279)*$E$281*$I$281+(AH$5=Inputs!$C$16+$K$279)*$F$281*$J$281+(AH$5=Inputs!$C$17)*$G$281*$H$279*$H$281)</f>
        <v>49.2977777777779</v>
      </c>
      <c r="AI284" s="42" t="n">
        <f aca="false">-($D$279+$J$279)*(AI$5=0)+IF(AND(AI$5-$K$279&gt;=1,AI$5-$K$279&lt;=Inputs!$C$13),INDEX($N$282:$AL$282,1,AI$5-$K$279+1)*INDEX($N$283:$AL$283,1,AI$5-$K$279+1),0)-$I$279*((AI$5=Inputs!$C$12)*$C$281*$D$279+(AI$5=Inputs!$C$13)*$D$281*($D$279+Inputs!$C$14))+$I$279*((AI$5=Inputs!$C$15+$K$279)*$E$281*$I$281+(AI$5=Inputs!$C$16+$K$279)*$F$281*$J$281+(AI$5=Inputs!$C$17)*$G$281*$H$279*$H$281)</f>
        <v>49.8488888888887</v>
      </c>
      <c r="AJ284" s="42" t="n">
        <f aca="false">-($D$279+$J$279)*(AJ$5=0)+IF(AND(AJ$5-$K$279&gt;=1,AJ$5-$K$279&lt;=Inputs!$C$13),INDEX($N$282:$AL$282,1,AJ$5-$K$279+1)*INDEX($N$283:$AL$283,1,AJ$5-$K$279+1),0)-$I$279*((AJ$5=Inputs!$C$12)*$C$281*$D$279+(AJ$5=Inputs!$C$13)*$D$281*($D$279+Inputs!$C$14))+$I$279*((AJ$5=Inputs!$C$15+$K$279)*$E$281*$I$281+(AJ$5=Inputs!$C$16+$K$279)*$F$281*$J$281+(AJ$5=Inputs!$C$17)*$G$281*$H$279*$H$281)</f>
        <v>50.3999999999998</v>
      </c>
      <c r="AK284" s="42" t="n">
        <f aca="false">-($D$279+$J$279)*(AK$5=0)+IF(AND(AK$5-$K$279&gt;=1,AK$5-$K$279&lt;=Inputs!$C$13),INDEX($N$282:$AL$282,1,AK$5-$K$279+1)*INDEX($N$283:$AL$283,1,AK$5-$K$279+1),0)-$I$279*((AK$5=Inputs!$C$12)*$C$281*$D$279+(AK$5=Inputs!$C$13)*$D$281*($D$279+Inputs!$C$14))+$I$279*((AK$5=Inputs!$C$15+$K$279)*$E$281*$I$281+(AK$5=Inputs!$C$16+$K$279)*$F$281*$J$281+(AK$5=Inputs!$C$17)*$G$281*$H$279*$H$281)</f>
        <v>50.9511111111113</v>
      </c>
      <c r="AL284" s="42" t="n">
        <f aca="false">-($D$279+$J$279)*(AL$5=0)+IF(AND(AL$5-$K$279&gt;=1,AL$5-$K$279&lt;=Inputs!$C$13),INDEX($N$282:$AL$282,1,AL$5-$K$279+1)*INDEX($N$283:$AL$283,1,AL$5-$K$279+1),0)-$I$279*((AL$5=Inputs!$C$12)*$C$281*$D$279+(AL$5=Inputs!$C$13)*$D$281*($D$279+Inputs!$C$14))+$I$279*((AL$5=Inputs!$C$15+$K$279)*$E$281*$I$281+(AL$5=Inputs!$C$16+$K$279)*$F$281*$J$281+(AL$5=Inputs!$C$17)*$G$281*$H$279*$H$281)</f>
        <v>-628.497777777778</v>
      </c>
      <c r="AM284" s="42" t="n">
        <f aca="false">-($D$279+$J$279)*(AM$5=0)+IF(AND(AM$5-$K$279&gt;=1,AM$5-$K$279&lt;=Inputs!$C$13),INDEX($N$282:$AL$282,1,AM$5-$K$279+1)*INDEX($N$283:$AL$283,1,AM$5-$K$279+1),0)-$I$279*((AM$5=Inputs!$C$12)*$C$281*$D$279+(AM$5=Inputs!$C$13)*$D$281*($D$279+Inputs!$C$14))+$I$279*((AM$5=Inputs!$C$15+$K$279)*$E$281*$I$281+(AM$5=Inputs!$C$16+$K$279)*$F$281*$J$281+(AM$5=Inputs!$C$17)*$G$281*$H$279*$H$281)</f>
        <v>52.0533333333332</v>
      </c>
      <c r="AN284" s="42" t="n">
        <f aca="false">-($D$279+$J$279)*(AN$5=0)+IF(AND(AN$5-$K$279&gt;=1,AN$5-$K$279&lt;=Inputs!$C$13),INDEX($N$282:$AL$282,1,AN$5-$K$279+1)*INDEX($N$283:$AL$283,1,AN$5-$K$279+1),0)-$I$279*((AN$5=Inputs!$C$12)*$C$281*$D$279+(AN$5=Inputs!$C$13)*$D$281*($D$279+Inputs!$C$14))+$I$279*((AN$5=Inputs!$C$15+$K$279)*$E$281*$I$281+(AN$5=Inputs!$C$16+$K$279)*$F$281*$J$281+(AN$5=Inputs!$C$17)*$G$281*$H$279*$H$281)</f>
        <v>0</v>
      </c>
      <c r="AO284" s="42" t="n">
        <f aca="false">-($D$279+$J$279)*(AO$5=0)+IF(AND(AO$5-$K$279&gt;=1,AO$5-$K$279&lt;=Inputs!$C$13),INDEX($N$282:$AL$282,1,AO$5-$K$279+1)*INDEX($N$283:$AL$283,1,AO$5-$K$279+1),0)-$I$279*((AO$5=Inputs!$C$12)*$C$281*$D$279+(AO$5=Inputs!$C$13)*$D$281*($D$279+Inputs!$C$14))+$I$279*((AO$5=Inputs!$C$15+$K$279)*$E$281*$I$281+(AO$5=Inputs!$C$16+$K$279)*$F$281*$J$281+(AO$5=Inputs!$C$17)*$G$281*$H$279*$H$281)</f>
        <v>0</v>
      </c>
      <c r="AP284" s="42" t="n">
        <f aca="false">-($D$279+$J$279)*(AP$5=0)+IF(AND(AP$5-$K$279&gt;=1,AP$5-$K$279&lt;=Inputs!$C$13),INDEX($N$282:$AL$282,1,AP$5-$K$279+1)*INDEX($N$283:$AL$283,1,AP$5-$K$279+1),0)-$I$279*((AP$5=Inputs!$C$12)*$C$281*$D$279+(AP$5=Inputs!$C$13)*$D$281*($D$279+Inputs!$C$14))+$I$279*((AP$5=Inputs!$C$15+$K$279)*$E$281*$I$281+(AP$5=Inputs!$C$16+$K$279)*$F$281*$J$281+(AP$5=Inputs!$C$17)*$G$281*$H$279*$H$281)</f>
        <v>600</v>
      </c>
      <c r="AQ284" s="42" t="n">
        <f aca="false">-($D$279+$J$279)*(AQ$5=0)+IF(AND(AQ$5-$K$279&gt;=1,AQ$5-$K$279&lt;=Inputs!$C$13),INDEX($N$282:$AL$282,1,AQ$5-$K$279+1)*INDEX($N$283:$AL$283,1,AQ$5-$K$279+1),0)-$I$279*((AQ$5=Inputs!$C$12)*$C$281*$D$279+(AQ$5=Inputs!$C$13)*$D$281*($D$279+Inputs!$C$14))+$I$279*((AQ$5=Inputs!$C$15+$K$279)*$E$281*$I$281+(AQ$5=Inputs!$C$16+$K$279)*$F$281*$J$281+(AQ$5=Inputs!$C$17)*$G$281*$H$279*$H$281)</f>
        <v>0</v>
      </c>
      <c r="AR284" s="42" t="n">
        <f aca="false">-($D$279+$J$279)*(AR$5=0)+IF(AND(AR$5-$K$279&gt;=1,AR$5-$K$279&lt;=Inputs!$C$13),INDEX($N$282:$AL$282,1,AR$5-$K$279+1)*INDEX($N$283:$AL$283,1,AR$5-$K$279+1),0)-$I$279*((AR$5=Inputs!$C$12)*$C$281*$D$279+(AR$5=Inputs!$C$13)*$D$281*($D$279+Inputs!$C$14))+$I$279*((AR$5=Inputs!$C$15+$K$279)*$E$281*$I$281+(AR$5=Inputs!$C$16+$K$279)*$F$281*$J$281+(AR$5=Inputs!$C$17)*$G$281*$H$279*$H$281)</f>
        <v>0</v>
      </c>
      <c r="AS284" s="42" t="n">
        <f aca="false">-($D$279+$J$279)*(AS$5=0)+IF(AND(AS$5-$K$279&gt;=1,AS$5-$K$279&lt;=Inputs!$C$13),INDEX($N$282:$AL$282,1,AS$5-$K$279+1)*INDEX($N$283:$AL$283,1,AS$5-$K$279+1),0)-$I$279*((AS$5=Inputs!$C$12)*$C$281*$D$279+(AS$5=Inputs!$C$13)*$D$281*($D$279+Inputs!$C$14))+$I$279*((AS$5=Inputs!$C$15+$K$279)*$E$281*$I$281+(AS$5=Inputs!$C$16+$K$279)*$F$281*$J$281+(AS$5=Inputs!$C$17)*$G$281*$H$279*$H$281)</f>
        <v>461.76</v>
      </c>
      <c r="AT284" s="42" t="n">
        <f aca="false">-($D$279+$J$279)*(AT$5=0)+IF(AND(AT$5-$K$279&gt;=1,AT$5-$K$279&lt;=Inputs!$C$13),INDEX($N$282:$AL$282,1,AT$5-$K$279+1)*INDEX($N$283:$AL$283,1,AT$5-$K$279+1),0)-$I$279*((AT$5=Inputs!$C$12)*$C$281*$D$279+(AT$5=Inputs!$C$13)*$D$281*($D$279+Inputs!$C$14))+$I$279*((AT$5=Inputs!$C$15+$K$279)*$E$281*$I$281+(AT$5=Inputs!$C$16+$K$279)*$F$281*$J$281+(AT$5=Inputs!$C$17)*$G$281*$H$279*$H$281)</f>
        <v>0</v>
      </c>
      <c r="AU284" s="42" t="n">
        <f aca="false">-($D$279+$J$279)*(AU$5=0)+IF(AND(AU$5-$K$279&gt;=1,AU$5-$K$279&lt;=Inputs!$C$13),INDEX($N$282:$AL$282,1,AU$5-$K$279+1)*INDEX($N$283:$AL$283,1,AU$5-$K$279+1),0)-$I$279*((AU$5=Inputs!$C$12)*$C$281*$D$279+(AU$5=Inputs!$C$13)*$D$281*($D$279+Inputs!$C$14))+$I$279*((AU$5=Inputs!$C$15+$K$279)*$E$281*$I$281+(AU$5=Inputs!$C$16+$K$279)*$F$281*$J$281+(AU$5=Inputs!$C$17)*$G$281*$H$279*$H$281)</f>
        <v>0</v>
      </c>
      <c r="AV284" s="42" t="n">
        <f aca="false">-($D$279+$J$279)*(AV$5=0)+IF(AND(AV$5-$K$279&gt;=1,AV$5-$K$279&lt;=Inputs!$C$13),INDEX($N$282:$AL$282,1,AV$5-$K$279+1)*INDEX($N$283:$AL$283,1,AV$5-$K$279+1),0)-$I$279*((AV$5=Inputs!$C$12)*$C$281*$D$279+(AV$5=Inputs!$C$13)*$D$281*($D$279+Inputs!$C$14))+$I$279*((AV$5=Inputs!$C$15+$K$279)*$E$281*$I$281+(AV$5=Inputs!$C$16+$K$279)*$F$281*$J$281+(AV$5=Inputs!$C$17)*$G$281*$H$279*$H$281)</f>
        <v>0</v>
      </c>
      <c r="AW284" s="42" t="n">
        <f aca="false">-($D$279+$J$279)*(AW$5=0)+IF(AND(AW$5-$K$279&gt;=1,AW$5-$K$279&lt;=Inputs!$C$13),INDEX($N$282:$AL$282,1,AW$5-$K$279+1)*INDEX($N$283:$AL$283,1,AW$5-$K$279+1),0)-$I$279*((AW$5=Inputs!$C$12)*$C$281*$D$279+(AW$5=Inputs!$C$13)*$D$281*($D$279+Inputs!$C$14))+$I$279*((AW$5=Inputs!$C$15+$K$279)*$E$281*$I$281+(AW$5=Inputs!$C$16+$K$279)*$F$281*$J$281+(AW$5=Inputs!$C$17)*$G$281*$H$279*$H$281)</f>
        <v>0</v>
      </c>
      <c r="AX284" s="42" t="n">
        <f aca="false">-($D$279+$J$279)*(AX$5=0)+IF(AND(AX$5-$K$279&gt;=1,AX$5-$K$279&lt;=Inputs!$C$13),INDEX($N$282:$AL$282,1,AX$5-$K$279+1)*INDEX($N$283:$AL$283,1,AX$5-$K$279+1),0)-$I$279*((AX$5=Inputs!$C$12)*$C$281*$D$279+(AX$5=Inputs!$C$13)*$D$281*($D$279+Inputs!$C$14))+$I$279*((AX$5=Inputs!$C$15+$K$279)*$E$281*$I$281+(AX$5=Inputs!$C$16+$K$279)*$F$281*$J$281+(AX$5=Inputs!$C$17)*$G$281*$H$279*$H$281)</f>
        <v>277.2</v>
      </c>
      <c r="AY284" s="42" t="n">
        <f aca="false">-($D$279+$J$279)*(AY$5=0)+IF(AND(AY$5-$K$279&gt;=1,AY$5-$K$279&lt;=Inputs!$C$13),INDEX($N$282:$AL$282,1,AY$5-$K$279+1)*INDEX($N$283:$AL$283,1,AY$5-$K$279+1),0)-$I$279*((AY$5=Inputs!$C$12)*$C$281*$D$279+(AY$5=Inputs!$C$13)*$D$281*($D$279+Inputs!$C$14))+$I$279*((AY$5=Inputs!$C$15+$K$279)*$E$281*$I$281+(AY$5=Inputs!$C$16+$K$279)*$F$281*$J$281+(AY$5=Inputs!$C$17)*$G$281*$H$279*$H$281)</f>
        <v>0</v>
      </c>
    </row>
    <row r="286" customFormat="false" ht="15" hidden="false" customHeight="false" outlineLevel="0" collapsed="false">
      <c r="B286" s="7" t="s">
        <v>218</v>
      </c>
      <c r="C286" s="8"/>
      <c r="D286" s="8"/>
      <c r="E286" s="8"/>
      <c r="F286" s="8"/>
      <c r="G286" s="8"/>
      <c r="H286" s="8"/>
      <c r="I286" s="8"/>
      <c r="J286" s="8"/>
      <c r="K286" s="8"/>
      <c r="L286" s="8"/>
    </row>
    <row r="287" customFormat="false" ht="30" hidden="false" customHeight="true" outlineLevel="0" collapsed="false">
      <c r="B287" s="37"/>
      <c r="C287" s="38" t="s">
        <v>169</v>
      </c>
      <c r="D287" s="38" t="s">
        <v>170</v>
      </c>
      <c r="E287" s="38" t="s">
        <v>171</v>
      </c>
      <c r="F287" s="38" t="s">
        <v>43</v>
      </c>
      <c r="G287" s="38" t="s">
        <v>44</v>
      </c>
      <c r="H287" s="38" t="s">
        <v>45</v>
      </c>
      <c r="I287" s="38" t="s">
        <v>172</v>
      </c>
      <c r="J287" s="38" t="s">
        <v>90</v>
      </c>
      <c r="K287" s="38" t="s">
        <v>89</v>
      </c>
      <c r="L287" s="38" t="s">
        <v>173</v>
      </c>
    </row>
    <row r="288" customFormat="false" ht="15" hidden="false" customHeight="false" outlineLevel="0" collapsed="false">
      <c r="B288" s="39" t="s">
        <v>174</v>
      </c>
      <c r="C288" s="26" t="n">
        <f aca="false">Class_IRR!$J$5</f>
        <v>0.18</v>
      </c>
      <c r="D288" s="30" t="n">
        <f aca="false">Inputs!$E$26</f>
        <v>1600</v>
      </c>
      <c r="E288" s="26" t="n">
        <f aca="false">Inputs!$F$26</f>
        <v>0.8</v>
      </c>
      <c r="F288" s="25" t="n">
        <f aca="false">Inputs!$G$26</f>
        <v>0.4</v>
      </c>
      <c r="G288" s="25" t="n">
        <f aca="false">Inputs!$H$26</f>
        <v>0.5</v>
      </c>
      <c r="H288" s="25" t="n">
        <f aca="false">Inputs!$I$26</f>
        <v>0.7</v>
      </c>
      <c r="I288" s="22" t="n">
        <f aca="false">Inputs!$J$26</f>
        <v>1</v>
      </c>
      <c r="J288" s="23" t="n">
        <f aca="false">Inputs!$C$9</f>
        <v>10</v>
      </c>
      <c r="K288" s="22" t="n">
        <f aca="false">Inputs!$C$10</f>
        <v>1</v>
      </c>
      <c r="L288" s="22" t="n">
        <f aca="false">1</f>
        <v>1</v>
      </c>
    </row>
    <row r="289" customFormat="false" ht="30" hidden="false" customHeight="true" outlineLevel="0" collapsed="false">
      <c r="B289" s="37"/>
      <c r="C289" s="38" t="s">
        <v>175</v>
      </c>
      <c r="D289" s="38" t="s">
        <v>176</v>
      </c>
      <c r="E289" s="38" t="s">
        <v>177</v>
      </c>
      <c r="F289" s="38" t="s">
        <v>178</v>
      </c>
      <c r="G289" s="38" t="s">
        <v>112</v>
      </c>
      <c r="H289" s="38" t="s">
        <v>179</v>
      </c>
      <c r="I289" s="38" t="s">
        <v>180</v>
      </c>
      <c r="J289" s="38" t="s">
        <v>181</v>
      </c>
      <c r="K289" s="38" t="s">
        <v>182</v>
      </c>
      <c r="L289" s="38" t="s">
        <v>183</v>
      </c>
    </row>
    <row r="290" customFormat="false" ht="15" hidden="false" customHeight="false" outlineLevel="0" collapsed="false">
      <c r="B290" s="39" t="s">
        <v>184</v>
      </c>
      <c r="C290" s="40" t="n">
        <f aca="false">1-$E$288*CHOOSE($L$288,INDEX(Timing!$C$7:$AA$7,1,Inputs!$C$12+1),INDEX(Timing!$C$8:$AA$8,1,Inputs!$C$12+1))</f>
        <v>0.392</v>
      </c>
      <c r="D290" s="40" t="n">
        <f aca="false">1-$E$288*CHOOSE($L$288,INDEX(Timing!$C$7:$AA$7,1,Inputs!$C$13+1),INDEX(Timing!$C$8:$AA$8,1,Inputs!$C$13+1))</f>
        <v>0.2</v>
      </c>
      <c r="E290" s="40" t="n">
        <f aca="false">$I$288*$D$290*$F$288</f>
        <v>0.08</v>
      </c>
      <c r="F290" s="40" t="n">
        <f aca="false">$I$288*($D$290-$E$290)*$G$288</f>
        <v>0.06</v>
      </c>
      <c r="G290" s="40" t="n">
        <f aca="false">$I$288*($D$290-$E$290-$F$290)</f>
        <v>0.06</v>
      </c>
      <c r="H290" s="23" t="n">
        <f aca="false">$I$288*(3*$D$288+Inputs!$C$14)</f>
        <v>6600</v>
      </c>
      <c r="I290" s="23" t="n">
        <f aca="false">$I$288*($D$288*(1+IF($C$288&lt;=0,0,MAX($C$288*Inputs!$C$15/12,Inputs!$C$8)))+$D$288*(1+Inputs!$C$11*(Inputs!$C$15-Inputs!$C$12)/12)+$D$288*(1+Inputs!$C$11*(Inputs!$C$15-Inputs!$C$13)/12)+Inputs!$C$14)</f>
        <v>7680</v>
      </c>
      <c r="J290" s="23" t="n">
        <f aca="false">$I$288*($D$288*(1+IF($C$288&lt;=0,0,MAX($C$288*Inputs!$C$16/12,Inputs!$C$8)))+$D$288*(1+Inputs!$C$11*(Inputs!$C$16-Inputs!$C$12)/12)+$D$288*(1+Inputs!$C$11*(Inputs!$C$16-Inputs!$C$13)/12)+Inputs!$C$14)</f>
        <v>7896</v>
      </c>
      <c r="K290" s="40" t="n">
        <f aca="false">IRR($N$293:$AY$293,0.005)</f>
        <v>0.00656734623563026</v>
      </c>
      <c r="L290" s="41" t="n">
        <f aca="false">(1+$K$290)^12-1</f>
        <v>0.0817179827652024</v>
      </c>
    </row>
    <row r="291" customFormat="false" ht="15" hidden="false" customHeight="false" outlineLevel="0" collapsed="false">
      <c r="B291" s="9" t="s">
        <v>185</v>
      </c>
      <c r="N291" s="40" t="n">
        <f aca="false">0</f>
        <v>0</v>
      </c>
      <c r="O291" s="40" t="n">
        <f aca="false">$E$288*(CHOOSE($L$288,Timing!D$7,Timing!D$8)-CHOOSE($L$288,Timing!C$7,Timing!C$8))</f>
        <v>0.096</v>
      </c>
      <c r="P291" s="40" t="n">
        <f aca="false">$E$288*(CHOOSE($L$288,Timing!E$7,Timing!E$8)-CHOOSE($L$288,Timing!D$7,Timing!D$8))</f>
        <v>0.08</v>
      </c>
      <c r="Q291" s="40" t="n">
        <f aca="false">$E$288*(CHOOSE($L$288,Timing!F$7,Timing!F$8)-CHOOSE($L$288,Timing!E$7,Timing!E$8))</f>
        <v>0.072</v>
      </c>
      <c r="R291" s="40" t="n">
        <f aca="false">$E$288*(CHOOSE($L$288,Timing!G$7,Timing!G$8)-CHOOSE($L$288,Timing!F$7,Timing!F$8))</f>
        <v>0.056</v>
      </c>
      <c r="S291" s="40" t="n">
        <f aca="false">$E$288*(CHOOSE($L$288,Timing!H$7,Timing!H$8)-CHOOSE($L$288,Timing!G$7,Timing!G$8))</f>
        <v>0.056</v>
      </c>
      <c r="T291" s="40" t="n">
        <f aca="false">$E$288*(CHOOSE($L$288,Timing!I$7,Timing!I$8)-CHOOSE($L$288,Timing!H$7,Timing!H$8))</f>
        <v>0.056</v>
      </c>
      <c r="U291" s="40" t="n">
        <f aca="false">$E$288*(CHOOSE($L$288,Timing!J$7,Timing!J$8)-CHOOSE($L$288,Timing!I$7,Timing!I$8))</f>
        <v>0.0346666666666667</v>
      </c>
      <c r="V291" s="40" t="n">
        <f aca="false">$E$288*(CHOOSE($L$288,Timing!K$7,Timing!K$8)-CHOOSE($L$288,Timing!J$7,Timing!J$8))</f>
        <v>0.0346666666666667</v>
      </c>
      <c r="W291" s="40" t="n">
        <f aca="false">$E$288*(CHOOSE($L$288,Timing!L$7,Timing!L$8)-CHOOSE($L$288,Timing!K$7,Timing!K$8))</f>
        <v>0.0346666666666667</v>
      </c>
      <c r="X291" s="40" t="n">
        <f aca="false">$E$288*(CHOOSE($L$288,Timing!M$7,Timing!M$8)-CHOOSE($L$288,Timing!L$7,Timing!L$8))</f>
        <v>0.0293333333333333</v>
      </c>
      <c r="Y291" s="40" t="n">
        <f aca="false">$E$288*(CHOOSE($L$288,Timing!N$7,Timing!N$8)-CHOOSE($L$288,Timing!M$7,Timing!M$8))</f>
        <v>0.0293333333333334</v>
      </c>
      <c r="Z291" s="40" t="n">
        <f aca="false">$E$288*(CHOOSE($L$288,Timing!O$7,Timing!O$8)-CHOOSE($L$288,Timing!N$7,Timing!N$8))</f>
        <v>0.0293333333333333</v>
      </c>
      <c r="AA291" s="40" t="n">
        <f aca="false">$E$288*(CHOOSE($L$288,Timing!P$7,Timing!P$8)-CHOOSE($L$288,Timing!O$7,Timing!O$8))</f>
        <v>0.0186666666666667</v>
      </c>
      <c r="AB291" s="40" t="n">
        <f aca="false">$E$288*(CHOOSE($L$288,Timing!Q$7,Timing!Q$8)-CHOOSE($L$288,Timing!P$7,Timing!P$8))</f>
        <v>0.0186666666666667</v>
      </c>
      <c r="AC291" s="40" t="n">
        <f aca="false">$E$288*(CHOOSE($L$288,Timing!R$7,Timing!R$8)-CHOOSE($L$288,Timing!Q$7,Timing!Q$8))</f>
        <v>0.0186666666666667</v>
      </c>
      <c r="AD291" s="40" t="n">
        <f aca="false">$E$288*(CHOOSE($L$288,Timing!S$7,Timing!S$8)-CHOOSE($L$288,Timing!R$7,Timing!R$8))</f>
        <v>0.0186666666666667</v>
      </c>
      <c r="AE291" s="40" t="n">
        <f aca="false">$E$288*(CHOOSE($L$288,Timing!T$7,Timing!T$8)-CHOOSE($L$288,Timing!S$7,Timing!S$8))</f>
        <v>0.0186666666666667</v>
      </c>
      <c r="AF291" s="40" t="n">
        <f aca="false">$E$288*(CHOOSE($L$288,Timing!U$7,Timing!U$8)-CHOOSE($L$288,Timing!T$7,Timing!T$8))</f>
        <v>0.0186666666666667</v>
      </c>
      <c r="AG291" s="40" t="n">
        <f aca="false">$E$288*(CHOOSE($L$288,Timing!V$7,Timing!V$8)-CHOOSE($L$288,Timing!U$7,Timing!U$8))</f>
        <v>0.0133333333333334</v>
      </c>
      <c r="AH291" s="40" t="n">
        <f aca="false">$E$288*(CHOOSE($L$288,Timing!W$7,Timing!W$8)-CHOOSE($L$288,Timing!V$7,Timing!V$8))</f>
        <v>0.0133333333333333</v>
      </c>
      <c r="AI291" s="40" t="n">
        <f aca="false">$E$288*(CHOOSE($L$288,Timing!X$7,Timing!X$8)-CHOOSE($L$288,Timing!W$7,Timing!W$8))</f>
        <v>0.0133333333333333</v>
      </c>
      <c r="AJ291" s="40" t="n">
        <f aca="false">$E$288*(CHOOSE($L$288,Timing!Y$7,Timing!Y$8)-CHOOSE($L$288,Timing!X$7,Timing!X$8))</f>
        <v>0.0133333333333334</v>
      </c>
      <c r="AK291" s="40" t="n">
        <f aca="false">$E$288*(CHOOSE($L$288,Timing!Z$7,Timing!Z$8)-CHOOSE($L$288,Timing!Y$7,Timing!Y$8))</f>
        <v>0.0133333333333334</v>
      </c>
      <c r="AL291" s="40" t="n">
        <f aca="false">$E$288*(CHOOSE($L$288,Timing!AA$7,Timing!AA$8)-CHOOSE($L$288,Timing!Z$7,Timing!Z$8))</f>
        <v>0.0133333333333333</v>
      </c>
    </row>
    <row r="292" customFormat="false" ht="15" hidden="false" customHeight="false" outlineLevel="0" collapsed="false">
      <c r="B292" s="9" t="s">
        <v>186</v>
      </c>
      <c r="N292" s="42" t="n">
        <f aca="false">0</f>
        <v>0</v>
      </c>
      <c r="O292" s="42" t="n">
        <f aca="false">$D$288*(1+IF($C$288&lt;=0,0,MAX($C$288*O$5/12,Inputs!$C$8)))+$I$288*(O$5&gt;Inputs!$C$12)*$D$288*(1+Inputs!$C$11*(O$5-Inputs!$C$12)/12)</f>
        <v>1680</v>
      </c>
      <c r="P292" s="42" t="n">
        <f aca="false">$D$288*(1+IF($C$288&lt;=0,0,MAX($C$288*P$5/12,Inputs!$C$8)))+$I$288*(P$5&gt;Inputs!$C$12)*$D$288*(1+Inputs!$C$11*(P$5-Inputs!$C$12)/12)</f>
        <v>1680</v>
      </c>
      <c r="Q292" s="42" t="n">
        <f aca="false">$D$288*(1+IF($C$288&lt;=0,0,MAX($C$288*Q$5/12,Inputs!$C$8)))+$I$288*(Q$5&gt;Inputs!$C$12)*$D$288*(1+Inputs!$C$11*(Q$5-Inputs!$C$12)/12)</f>
        <v>1680</v>
      </c>
      <c r="R292" s="42" t="n">
        <f aca="false">$D$288*(1+IF($C$288&lt;=0,0,MAX($C$288*R$5/12,Inputs!$C$8)))+$I$288*(R$5&gt;Inputs!$C$12)*$D$288*(1+Inputs!$C$11*(R$5-Inputs!$C$12)/12)</f>
        <v>1696</v>
      </c>
      <c r="S292" s="42" t="n">
        <f aca="false">$D$288*(1+IF($C$288&lt;=0,0,MAX($C$288*S$5/12,Inputs!$C$8)))+$I$288*(S$5&gt;Inputs!$C$12)*$D$288*(1+Inputs!$C$11*(S$5-Inputs!$C$12)/12)</f>
        <v>1720</v>
      </c>
      <c r="T292" s="42" t="n">
        <f aca="false">$D$288*(1+IF($C$288&lt;=0,0,MAX($C$288*T$5/12,Inputs!$C$8)))+$I$288*(T$5&gt;Inputs!$C$12)*$D$288*(1+Inputs!$C$11*(T$5-Inputs!$C$12)/12)</f>
        <v>1744</v>
      </c>
      <c r="U292" s="42" t="n">
        <f aca="false">$D$288*(1+IF($C$288&lt;=0,0,MAX($C$288*U$5/12,Inputs!$C$8)))+$I$288*(U$5&gt;Inputs!$C$12)*$D$288*(1+Inputs!$C$11*(U$5-Inputs!$C$12)/12)</f>
        <v>1768</v>
      </c>
      <c r="V292" s="42" t="n">
        <f aca="false">$D$288*(1+IF($C$288&lt;=0,0,MAX($C$288*V$5/12,Inputs!$C$8)))+$I$288*(V$5&gt;Inputs!$C$12)*$D$288*(1+Inputs!$C$11*(V$5-Inputs!$C$12)/12)</f>
        <v>1792</v>
      </c>
      <c r="W292" s="42" t="n">
        <f aca="false">$D$288*(1+IF($C$288&lt;=0,0,MAX($C$288*W$5/12,Inputs!$C$8)))+$I$288*(W$5&gt;Inputs!$C$12)*$D$288*(1+Inputs!$C$11*(W$5-Inputs!$C$12)/12)</f>
        <v>1816</v>
      </c>
      <c r="X292" s="42" t="n">
        <f aca="false">$D$288*(1+IF($C$288&lt;=0,0,MAX($C$288*X$5/12,Inputs!$C$8)))+$I$288*(X$5&gt;Inputs!$C$12)*$D$288*(1+Inputs!$C$11*(X$5-Inputs!$C$12)/12)</f>
        <v>1840</v>
      </c>
      <c r="Y292" s="42" t="n">
        <f aca="false">$D$288*(1+IF($C$288&lt;=0,0,MAX($C$288*Y$5/12,Inputs!$C$8)))+$I$288*(Y$5&gt;Inputs!$C$12)*$D$288*(1+Inputs!$C$11*(Y$5-Inputs!$C$12)/12)</f>
        <v>1864</v>
      </c>
      <c r="Z292" s="42" t="n">
        <f aca="false">$D$288*(1+IF($C$288&lt;=0,0,MAX($C$288*Z$5/12,Inputs!$C$8)))+$I$288*(Z$5&gt;Inputs!$C$12)*$D$288*(1+Inputs!$C$11*(Z$5-Inputs!$C$12)/12)</f>
        <v>1888</v>
      </c>
      <c r="AA292" s="42" t="n">
        <f aca="false">$D$288*(1+IF($C$288&lt;=0,0,MAX($C$288*AA$5/12,Inputs!$C$8)))+$I$288*(AA$5&gt;Inputs!$C$12)*$D$288*(1+Inputs!$C$11*(AA$5-Inputs!$C$12)/12)</f>
        <v>3536</v>
      </c>
      <c r="AB292" s="42" t="n">
        <f aca="false">$D$288*(1+IF($C$288&lt;=0,0,MAX($C$288*AB$5/12,Inputs!$C$8)))+$I$288*(AB$5&gt;Inputs!$C$12)*$D$288*(1+Inputs!$C$11*(AB$5-Inputs!$C$12)/12)</f>
        <v>3584</v>
      </c>
      <c r="AC292" s="42" t="n">
        <f aca="false">$D$288*(1+IF($C$288&lt;=0,0,MAX($C$288*AC$5/12,Inputs!$C$8)))+$I$288*(AC$5&gt;Inputs!$C$12)*$D$288*(1+Inputs!$C$11*(AC$5-Inputs!$C$12)/12)</f>
        <v>3632</v>
      </c>
      <c r="AD292" s="42" t="n">
        <f aca="false">$D$288*(1+IF($C$288&lt;=0,0,MAX($C$288*AD$5/12,Inputs!$C$8)))+$I$288*(AD$5&gt;Inputs!$C$12)*$D$288*(1+Inputs!$C$11*(AD$5-Inputs!$C$12)/12)</f>
        <v>3680</v>
      </c>
      <c r="AE292" s="42" t="n">
        <f aca="false">$D$288*(1+IF($C$288&lt;=0,0,MAX($C$288*AE$5/12,Inputs!$C$8)))+$I$288*(AE$5&gt;Inputs!$C$12)*$D$288*(1+Inputs!$C$11*(AE$5-Inputs!$C$12)/12)</f>
        <v>3728</v>
      </c>
      <c r="AF292" s="42" t="n">
        <f aca="false">$D$288*(1+IF($C$288&lt;=0,0,MAX($C$288*AF$5/12,Inputs!$C$8)))+$I$288*(AF$5&gt;Inputs!$C$12)*$D$288*(1+Inputs!$C$11*(AF$5-Inputs!$C$12)/12)</f>
        <v>3776</v>
      </c>
      <c r="AG292" s="42" t="n">
        <f aca="false">$D$288*(1+IF($C$288&lt;=0,0,MAX($C$288*AG$5/12,Inputs!$C$8)))+$I$288*(AG$5&gt;Inputs!$C$12)*$D$288*(1+Inputs!$C$11*(AG$5-Inputs!$C$12)/12)</f>
        <v>3824</v>
      </c>
      <c r="AH292" s="42" t="n">
        <f aca="false">$D$288*(1+IF($C$288&lt;=0,0,MAX($C$288*AH$5/12,Inputs!$C$8)))+$I$288*(AH$5&gt;Inputs!$C$12)*$D$288*(1+Inputs!$C$11*(AH$5-Inputs!$C$12)/12)</f>
        <v>3872</v>
      </c>
      <c r="AI292" s="42" t="n">
        <f aca="false">$D$288*(1+IF($C$288&lt;=0,0,MAX($C$288*AI$5/12,Inputs!$C$8)))+$I$288*(AI$5&gt;Inputs!$C$12)*$D$288*(1+Inputs!$C$11*(AI$5-Inputs!$C$12)/12)</f>
        <v>3920</v>
      </c>
      <c r="AJ292" s="42" t="n">
        <f aca="false">$D$288*(1+IF($C$288&lt;=0,0,MAX($C$288*AJ$5/12,Inputs!$C$8)))+$I$288*(AJ$5&gt;Inputs!$C$12)*$D$288*(1+Inputs!$C$11*(AJ$5-Inputs!$C$12)/12)</f>
        <v>3968</v>
      </c>
      <c r="AK292" s="42" t="n">
        <f aca="false">$D$288*(1+IF($C$288&lt;=0,0,MAX($C$288*AK$5/12,Inputs!$C$8)))+$I$288*(AK$5&gt;Inputs!$C$12)*$D$288*(1+Inputs!$C$11*(AK$5-Inputs!$C$12)/12)</f>
        <v>4016</v>
      </c>
      <c r="AL292" s="42" t="n">
        <f aca="false">$D$288*(1+IF($C$288&lt;=0,0,MAX($C$288*AL$5/12,Inputs!$C$8)))+$I$288*(AL$5&gt;Inputs!$C$12)*$D$288*(1+Inputs!$C$11*(AL$5-Inputs!$C$12)/12)</f>
        <v>4064</v>
      </c>
    </row>
    <row r="293" customFormat="false" ht="15" hidden="false" customHeight="false" outlineLevel="0" collapsed="false">
      <c r="B293" s="31" t="s">
        <v>187</v>
      </c>
      <c r="N293" s="42" t="n">
        <f aca="false">-($D$288+$J$288)*(N$5=0)+IF(AND(N$5-$K$288&gt;=1,N$5-$K$288&lt;=Inputs!$C$13),INDEX($N$291:$AL$291,1,N$5-$K$288+1)*INDEX($N$292:$AL$292,1,N$5-$K$288+1),0)-$I$288*((N$5=Inputs!$C$12)*$C$290*$D$288+(N$5=Inputs!$C$13)*$D$290*($D$288+Inputs!$C$14))+$I$288*((N$5=Inputs!$C$15+$K$288)*$E$290*$I$290+(N$5=Inputs!$C$16+$K$288)*$F$290*$J$290+(N$5=Inputs!$C$17)*$G$290*$H$288*$H$290)</f>
        <v>-1610</v>
      </c>
      <c r="O293" s="42" t="n">
        <f aca="false">-($D$288+$J$288)*(O$5=0)+IF(AND(O$5-$K$288&gt;=1,O$5-$K$288&lt;=Inputs!$C$13),INDEX($N$291:$AL$291,1,O$5-$K$288+1)*INDEX($N$292:$AL$292,1,O$5-$K$288+1),0)-$I$288*((O$5=Inputs!$C$12)*$C$290*$D$288+(O$5=Inputs!$C$13)*$D$290*($D$288+Inputs!$C$14))+$I$288*((O$5=Inputs!$C$15+$K$288)*$E$290*$I$290+(O$5=Inputs!$C$16+$K$288)*$F$290*$J$290+(O$5=Inputs!$C$17)*$G$290*$H$288*$H$290)</f>
        <v>0</v>
      </c>
      <c r="P293" s="42" t="n">
        <f aca="false">-($D$288+$J$288)*(P$5=0)+IF(AND(P$5-$K$288&gt;=1,P$5-$K$288&lt;=Inputs!$C$13),INDEX($N$291:$AL$291,1,P$5-$K$288+1)*INDEX($N$292:$AL$292,1,P$5-$K$288+1),0)-$I$288*((P$5=Inputs!$C$12)*$C$290*$D$288+(P$5=Inputs!$C$13)*$D$290*($D$288+Inputs!$C$14))+$I$288*((P$5=Inputs!$C$15+$K$288)*$E$290*$I$290+(P$5=Inputs!$C$16+$K$288)*$F$290*$J$290+(P$5=Inputs!$C$17)*$G$290*$H$288*$H$290)</f>
        <v>161.28</v>
      </c>
      <c r="Q293" s="42" t="n">
        <f aca="false">-($D$288+$J$288)*(Q$5=0)+IF(AND(Q$5-$K$288&gt;=1,Q$5-$K$288&lt;=Inputs!$C$13),INDEX($N$291:$AL$291,1,Q$5-$K$288+1)*INDEX($N$292:$AL$292,1,Q$5-$K$288+1),0)-$I$288*((Q$5=Inputs!$C$12)*$C$290*$D$288+(Q$5=Inputs!$C$13)*$D$290*($D$288+Inputs!$C$14))+$I$288*((Q$5=Inputs!$C$15+$K$288)*$E$290*$I$290+(Q$5=Inputs!$C$16+$K$288)*$F$290*$J$290+(Q$5=Inputs!$C$17)*$G$290*$H$288*$H$290)</f>
        <v>134.4</v>
      </c>
      <c r="R293" s="42" t="n">
        <f aca="false">-($D$288+$J$288)*(R$5=0)+IF(AND(R$5-$K$288&gt;=1,R$5-$K$288&lt;=Inputs!$C$13),INDEX($N$291:$AL$291,1,R$5-$K$288+1)*INDEX($N$292:$AL$292,1,R$5-$K$288+1),0)-$I$288*((R$5=Inputs!$C$12)*$C$290*$D$288+(R$5=Inputs!$C$13)*$D$290*($D$288+Inputs!$C$14))+$I$288*((R$5=Inputs!$C$15+$K$288)*$E$290*$I$290+(R$5=Inputs!$C$16+$K$288)*$F$290*$J$290+(R$5=Inputs!$C$17)*$G$290*$H$288*$H$290)</f>
        <v>120.96</v>
      </c>
      <c r="S293" s="42" t="n">
        <f aca="false">-($D$288+$J$288)*(S$5=0)+IF(AND(S$5-$K$288&gt;=1,S$5-$K$288&lt;=Inputs!$C$13),INDEX($N$291:$AL$291,1,S$5-$K$288+1)*INDEX($N$292:$AL$292,1,S$5-$K$288+1),0)-$I$288*((S$5=Inputs!$C$12)*$C$290*$D$288+(S$5=Inputs!$C$13)*$D$290*($D$288+Inputs!$C$14))+$I$288*((S$5=Inputs!$C$15+$K$288)*$E$290*$I$290+(S$5=Inputs!$C$16+$K$288)*$F$290*$J$290+(S$5=Inputs!$C$17)*$G$290*$H$288*$H$290)</f>
        <v>94.976</v>
      </c>
      <c r="T293" s="42" t="n">
        <f aca="false">-($D$288+$J$288)*(T$5=0)+IF(AND(T$5-$K$288&gt;=1,T$5-$K$288&lt;=Inputs!$C$13),INDEX($N$291:$AL$291,1,T$5-$K$288+1)*INDEX($N$292:$AL$292,1,T$5-$K$288+1),0)-$I$288*((T$5=Inputs!$C$12)*$C$290*$D$288+(T$5=Inputs!$C$13)*$D$290*($D$288+Inputs!$C$14))+$I$288*((T$5=Inputs!$C$15+$K$288)*$E$290*$I$290+(T$5=Inputs!$C$16+$K$288)*$F$290*$J$290+(T$5=Inputs!$C$17)*$G$290*$H$288*$H$290)</f>
        <v>96.32</v>
      </c>
      <c r="U293" s="42" t="n">
        <f aca="false">-($D$288+$J$288)*(U$5=0)+IF(AND(U$5-$K$288&gt;=1,U$5-$K$288&lt;=Inputs!$C$13),INDEX($N$291:$AL$291,1,U$5-$K$288+1)*INDEX($N$292:$AL$292,1,U$5-$K$288+1),0)-$I$288*((U$5=Inputs!$C$12)*$C$290*$D$288+(U$5=Inputs!$C$13)*$D$290*($D$288+Inputs!$C$14))+$I$288*((U$5=Inputs!$C$15+$K$288)*$E$290*$I$290+(U$5=Inputs!$C$16+$K$288)*$F$290*$J$290+(U$5=Inputs!$C$17)*$G$290*$H$288*$H$290)</f>
        <v>97.664</v>
      </c>
      <c r="V293" s="42" t="n">
        <f aca="false">-($D$288+$J$288)*(V$5=0)+IF(AND(V$5-$K$288&gt;=1,V$5-$K$288&lt;=Inputs!$C$13),INDEX($N$291:$AL$291,1,V$5-$K$288+1)*INDEX($N$292:$AL$292,1,V$5-$K$288+1),0)-$I$288*((V$5=Inputs!$C$12)*$C$290*$D$288+(V$5=Inputs!$C$13)*$D$290*($D$288+Inputs!$C$14))+$I$288*((V$5=Inputs!$C$15+$K$288)*$E$290*$I$290+(V$5=Inputs!$C$16+$K$288)*$F$290*$J$290+(V$5=Inputs!$C$17)*$G$290*$H$288*$H$290)</f>
        <v>61.2906666666667</v>
      </c>
      <c r="W293" s="42" t="n">
        <f aca="false">-($D$288+$J$288)*(W$5=0)+IF(AND(W$5-$K$288&gt;=1,W$5-$K$288&lt;=Inputs!$C$13),INDEX($N$291:$AL$291,1,W$5-$K$288+1)*INDEX($N$292:$AL$292,1,W$5-$K$288+1),0)-$I$288*((W$5=Inputs!$C$12)*$C$290*$D$288+(W$5=Inputs!$C$13)*$D$290*($D$288+Inputs!$C$14))+$I$288*((W$5=Inputs!$C$15+$K$288)*$E$290*$I$290+(W$5=Inputs!$C$16+$K$288)*$F$290*$J$290+(W$5=Inputs!$C$17)*$G$290*$H$288*$H$290)</f>
        <v>62.1226666666667</v>
      </c>
      <c r="X293" s="42" t="n">
        <f aca="false">-($D$288+$J$288)*(X$5=0)+IF(AND(X$5-$K$288&gt;=1,X$5-$K$288&lt;=Inputs!$C$13),INDEX($N$291:$AL$291,1,X$5-$K$288+1)*INDEX($N$292:$AL$292,1,X$5-$K$288+1),0)-$I$288*((X$5=Inputs!$C$12)*$C$290*$D$288+(X$5=Inputs!$C$13)*$D$290*($D$288+Inputs!$C$14))+$I$288*((X$5=Inputs!$C$15+$K$288)*$E$290*$I$290+(X$5=Inputs!$C$16+$K$288)*$F$290*$J$290+(X$5=Inputs!$C$17)*$G$290*$H$288*$H$290)</f>
        <v>62.9546666666667</v>
      </c>
      <c r="Y293" s="42" t="n">
        <f aca="false">-($D$288+$J$288)*(Y$5=0)+IF(AND(Y$5-$K$288&gt;=1,Y$5-$K$288&lt;=Inputs!$C$13),INDEX($N$291:$AL$291,1,Y$5-$K$288+1)*INDEX($N$292:$AL$292,1,Y$5-$K$288+1),0)-$I$288*((Y$5=Inputs!$C$12)*$C$290*$D$288+(Y$5=Inputs!$C$13)*$D$290*($D$288+Inputs!$C$14))+$I$288*((Y$5=Inputs!$C$15+$K$288)*$E$290*$I$290+(Y$5=Inputs!$C$16+$K$288)*$F$290*$J$290+(Y$5=Inputs!$C$17)*$G$290*$H$288*$H$290)</f>
        <v>53.9733333333333</v>
      </c>
      <c r="Z293" s="42" t="n">
        <f aca="false">-($D$288+$J$288)*(Z$5=0)+IF(AND(Z$5-$K$288&gt;=1,Z$5-$K$288&lt;=Inputs!$C$13),INDEX($N$291:$AL$291,1,Z$5-$K$288+1)*INDEX($N$292:$AL$292,1,Z$5-$K$288+1),0)-$I$288*((Z$5=Inputs!$C$12)*$C$290*$D$288+(Z$5=Inputs!$C$13)*$D$290*($D$288+Inputs!$C$14))+$I$288*((Z$5=Inputs!$C$15+$K$288)*$E$290*$I$290+(Z$5=Inputs!$C$16+$K$288)*$F$290*$J$290+(Z$5=Inputs!$C$17)*$G$290*$H$288*$H$290)</f>
        <v>-572.522666666666</v>
      </c>
      <c r="AA293" s="42" t="n">
        <f aca="false">-($D$288+$J$288)*(AA$5=0)+IF(AND(AA$5-$K$288&gt;=1,AA$5-$K$288&lt;=Inputs!$C$13),INDEX($N$291:$AL$291,1,AA$5-$K$288+1)*INDEX($N$292:$AL$292,1,AA$5-$K$288+1),0)-$I$288*((AA$5=Inputs!$C$12)*$C$290*$D$288+(AA$5=Inputs!$C$13)*$D$290*($D$288+Inputs!$C$14))+$I$288*((AA$5=Inputs!$C$15+$K$288)*$E$290*$I$290+(AA$5=Inputs!$C$16+$K$288)*$F$290*$J$290+(AA$5=Inputs!$C$17)*$G$290*$H$288*$H$290)</f>
        <v>55.3813333333333</v>
      </c>
      <c r="AB293" s="42" t="n">
        <f aca="false">-($D$288+$J$288)*(AB$5=0)+IF(AND(AB$5-$K$288&gt;=1,AB$5-$K$288&lt;=Inputs!$C$13),INDEX($N$291:$AL$291,1,AB$5-$K$288+1)*INDEX($N$292:$AL$292,1,AB$5-$K$288+1),0)-$I$288*((AB$5=Inputs!$C$12)*$C$290*$D$288+(AB$5=Inputs!$C$13)*$D$290*($D$288+Inputs!$C$14))+$I$288*((AB$5=Inputs!$C$15+$K$288)*$E$290*$I$290+(AB$5=Inputs!$C$16+$K$288)*$F$290*$J$290+(AB$5=Inputs!$C$17)*$G$290*$H$288*$H$290)</f>
        <v>66.0053333333333</v>
      </c>
      <c r="AC293" s="42" t="n">
        <f aca="false">-($D$288+$J$288)*(AC$5=0)+IF(AND(AC$5-$K$288&gt;=1,AC$5-$K$288&lt;=Inputs!$C$13),INDEX($N$291:$AL$291,1,AC$5-$K$288+1)*INDEX($N$292:$AL$292,1,AC$5-$K$288+1),0)-$I$288*((AC$5=Inputs!$C$12)*$C$290*$D$288+(AC$5=Inputs!$C$13)*$D$290*($D$288+Inputs!$C$14))+$I$288*((AC$5=Inputs!$C$15+$K$288)*$E$290*$I$290+(AC$5=Inputs!$C$16+$K$288)*$F$290*$J$290+(AC$5=Inputs!$C$17)*$G$290*$H$288*$H$290)</f>
        <v>66.9013333333333</v>
      </c>
      <c r="AD293" s="42" t="n">
        <f aca="false">-($D$288+$J$288)*(AD$5=0)+IF(AND(AD$5-$K$288&gt;=1,AD$5-$K$288&lt;=Inputs!$C$13),INDEX($N$291:$AL$291,1,AD$5-$K$288+1)*INDEX($N$292:$AL$292,1,AD$5-$K$288+1),0)-$I$288*((AD$5=Inputs!$C$12)*$C$290*$D$288+(AD$5=Inputs!$C$13)*$D$290*($D$288+Inputs!$C$14))+$I$288*((AD$5=Inputs!$C$15+$K$288)*$E$290*$I$290+(AD$5=Inputs!$C$16+$K$288)*$F$290*$J$290+(AD$5=Inputs!$C$17)*$G$290*$H$288*$H$290)</f>
        <v>67.7973333333336</v>
      </c>
      <c r="AE293" s="42" t="n">
        <f aca="false">-($D$288+$J$288)*(AE$5=0)+IF(AND(AE$5-$K$288&gt;=1,AE$5-$K$288&lt;=Inputs!$C$13),INDEX($N$291:$AL$291,1,AE$5-$K$288+1)*INDEX($N$292:$AL$292,1,AE$5-$K$288+1),0)-$I$288*((AE$5=Inputs!$C$12)*$C$290*$D$288+(AE$5=Inputs!$C$13)*$D$290*($D$288+Inputs!$C$14))+$I$288*((AE$5=Inputs!$C$15+$K$288)*$E$290*$I$290+(AE$5=Inputs!$C$16+$K$288)*$F$290*$J$290+(AE$5=Inputs!$C$17)*$G$290*$H$288*$H$290)</f>
        <v>68.6933333333333</v>
      </c>
      <c r="AF293" s="42" t="n">
        <f aca="false">-($D$288+$J$288)*(AF$5=0)+IF(AND(AF$5-$K$288&gt;=1,AF$5-$K$288&lt;=Inputs!$C$13),INDEX($N$291:$AL$291,1,AF$5-$K$288+1)*INDEX($N$292:$AL$292,1,AF$5-$K$288+1),0)-$I$288*((AF$5=Inputs!$C$12)*$C$290*$D$288+(AF$5=Inputs!$C$13)*$D$290*($D$288+Inputs!$C$14))+$I$288*((AF$5=Inputs!$C$15+$K$288)*$E$290*$I$290+(AF$5=Inputs!$C$16+$K$288)*$F$290*$J$290+(AF$5=Inputs!$C$17)*$G$290*$H$288*$H$290)</f>
        <v>69.5893333333333</v>
      </c>
      <c r="AG293" s="42" t="n">
        <f aca="false">-($D$288+$J$288)*(AG$5=0)+IF(AND(AG$5-$K$288&gt;=1,AG$5-$K$288&lt;=Inputs!$C$13),INDEX($N$291:$AL$291,1,AG$5-$K$288+1)*INDEX($N$292:$AL$292,1,AG$5-$K$288+1),0)-$I$288*((AG$5=Inputs!$C$12)*$C$290*$D$288+(AG$5=Inputs!$C$13)*$D$290*($D$288+Inputs!$C$14))+$I$288*((AG$5=Inputs!$C$15+$K$288)*$E$290*$I$290+(AG$5=Inputs!$C$16+$K$288)*$F$290*$J$290+(AG$5=Inputs!$C$17)*$G$290*$H$288*$H$290)</f>
        <v>70.4853333333333</v>
      </c>
      <c r="AH293" s="42" t="n">
        <f aca="false">-($D$288+$J$288)*(AH$5=0)+IF(AND(AH$5-$K$288&gt;=1,AH$5-$K$288&lt;=Inputs!$C$13),INDEX($N$291:$AL$291,1,AH$5-$K$288+1)*INDEX($N$292:$AL$292,1,AH$5-$K$288+1),0)-$I$288*((AH$5=Inputs!$C$12)*$C$290*$D$288+(AH$5=Inputs!$C$13)*$D$290*($D$288+Inputs!$C$14))+$I$288*((AH$5=Inputs!$C$15+$K$288)*$E$290*$I$290+(AH$5=Inputs!$C$16+$K$288)*$F$290*$J$290+(AH$5=Inputs!$C$17)*$G$290*$H$288*$H$290)</f>
        <v>50.9866666666668</v>
      </c>
      <c r="AI293" s="42" t="n">
        <f aca="false">-($D$288+$J$288)*(AI$5=0)+IF(AND(AI$5-$K$288&gt;=1,AI$5-$K$288&lt;=Inputs!$C$13),INDEX($N$291:$AL$291,1,AI$5-$K$288+1)*INDEX($N$292:$AL$292,1,AI$5-$K$288+1),0)-$I$288*((AI$5=Inputs!$C$12)*$C$290*$D$288+(AI$5=Inputs!$C$13)*$D$290*($D$288+Inputs!$C$14))+$I$288*((AI$5=Inputs!$C$15+$K$288)*$E$290*$I$290+(AI$5=Inputs!$C$16+$K$288)*$F$290*$J$290+(AI$5=Inputs!$C$17)*$G$290*$H$288*$H$290)</f>
        <v>51.6266666666665</v>
      </c>
      <c r="AJ293" s="42" t="n">
        <f aca="false">-($D$288+$J$288)*(AJ$5=0)+IF(AND(AJ$5-$K$288&gt;=1,AJ$5-$K$288&lt;=Inputs!$C$13),INDEX($N$291:$AL$291,1,AJ$5-$K$288+1)*INDEX($N$292:$AL$292,1,AJ$5-$K$288+1),0)-$I$288*((AJ$5=Inputs!$C$12)*$C$290*$D$288+(AJ$5=Inputs!$C$13)*$D$290*($D$288+Inputs!$C$14))+$I$288*((AJ$5=Inputs!$C$15+$K$288)*$E$290*$I$290+(AJ$5=Inputs!$C$16+$K$288)*$F$290*$J$290+(AJ$5=Inputs!$C$17)*$G$290*$H$288*$H$290)</f>
        <v>52.2666666666665</v>
      </c>
      <c r="AK293" s="42" t="n">
        <f aca="false">-($D$288+$J$288)*(AK$5=0)+IF(AND(AK$5-$K$288&gt;=1,AK$5-$K$288&lt;=Inputs!$C$13),INDEX($N$291:$AL$291,1,AK$5-$K$288+1)*INDEX($N$292:$AL$292,1,AK$5-$K$288+1),0)-$I$288*((AK$5=Inputs!$C$12)*$C$290*$D$288+(AK$5=Inputs!$C$13)*$D$290*($D$288+Inputs!$C$14))+$I$288*((AK$5=Inputs!$C$15+$K$288)*$E$290*$I$290+(AK$5=Inputs!$C$16+$K$288)*$F$290*$J$290+(AK$5=Inputs!$C$17)*$G$290*$H$288*$H$290)</f>
        <v>52.9066666666668</v>
      </c>
      <c r="AL293" s="42" t="n">
        <f aca="false">-($D$288+$J$288)*(AL$5=0)+IF(AND(AL$5-$K$288&gt;=1,AL$5-$K$288&lt;=Inputs!$C$13),INDEX($N$291:$AL$291,1,AL$5-$K$288+1)*INDEX($N$292:$AL$292,1,AL$5-$K$288+1),0)-$I$288*((AL$5=Inputs!$C$12)*$C$290*$D$288+(AL$5=Inputs!$C$13)*$D$290*($D$288+Inputs!$C$14))+$I$288*((AL$5=Inputs!$C$15+$K$288)*$E$290*$I$290+(AL$5=Inputs!$C$16+$K$288)*$F$290*$J$290+(AL$5=Inputs!$C$17)*$G$290*$H$288*$H$290)</f>
        <v>-626.453333333333</v>
      </c>
      <c r="AM293" s="42" t="n">
        <f aca="false">-($D$288+$J$288)*(AM$5=0)+IF(AND(AM$5-$K$288&gt;=1,AM$5-$K$288&lt;=Inputs!$C$13),INDEX($N$291:$AL$291,1,AM$5-$K$288+1)*INDEX($N$292:$AL$292,1,AM$5-$K$288+1),0)-$I$288*((AM$5=Inputs!$C$12)*$C$290*$D$288+(AM$5=Inputs!$C$13)*$D$290*($D$288+Inputs!$C$14))+$I$288*((AM$5=Inputs!$C$15+$K$288)*$E$290*$I$290+(AM$5=Inputs!$C$16+$K$288)*$F$290*$J$290+(AM$5=Inputs!$C$17)*$G$290*$H$288*$H$290)</f>
        <v>54.1866666666665</v>
      </c>
      <c r="AN293" s="42" t="n">
        <f aca="false">-($D$288+$J$288)*(AN$5=0)+IF(AND(AN$5-$K$288&gt;=1,AN$5-$K$288&lt;=Inputs!$C$13),INDEX($N$291:$AL$291,1,AN$5-$K$288+1)*INDEX($N$292:$AL$292,1,AN$5-$K$288+1),0)-$I$288*((AN$5=Inputs!$C$12)*$C$290*$D$288+(AN$5=Inputs!$C$13)*$D$290*($D$288+Inputs!$C$14))+$I$288*((AN$5=Inputs!$C$15+$K$288)*$E$290*$I$290+(AN$5=Inputs!$C$16+$K$288)*$F$290*$J$290+(AN$5=Inputs!$C$17)*$G$290*$H$288*$H$290)</f>
        <v>0</v>
      </c>
      <c r="AO293" s="42" t="n">
        <f aca="false">-($D$288+$J$288)*(AO$5=0)+IF(AND(AO$5-$K$288&gt;=1,AO$5-$K$288&lt;=Inputs!$C$13),INDEX($N$291:$AL$291,1,AO$5-$K$288+1)*INDEX($N$292:$AL$292,1,AO$5-$K$288+1),0)-$I$288*((AO$5=Inputs!$C$12)*$C$290*$D$288+(AO$5=Inputs!$C$13)*$D$290*($D$288+Inputs!$C$14))+$I$288*((AO$5=Inputs!$C$15+$K$288)*$E$290*$I$290+(AO$5=Inputs!$C$16+$K$288)*$F$290*$J$290+(AO$5=Inputs!$C$17)*$G$290*$H$288*$H$290)</f>
        <v>0</v>
      </c>
      <c r="AP293" s="42" t="n">
        <f aca="false">-($D$288+$J$288)*(AP$5=0)+IF(AND(AP$5-$K$288&gt;=1,AP$5-$K$288&lt;=Inputs!$C$13),INDEX($N$291:$AL$291,1,AP$5-$K$288+1)*INDEX($N$292:$AL$292,1,AP$5-$K$288+1),0)-$I$288*((AP$5=Inputs!$C$12)*$C$290*$D$288+(AP$5=Inputs!$C$13)*$D$290*($D$288+Inputs!$C$14))+$I$288*((AP$5=Inputs!$C$15+$K$288)*$E$290*$I$290+(AP$5=Inputs!$C$16+$K$288)*$F$290*$J$290+(AP$5=Inputs!$C$17)*$G$290*$H$288*$H$290)</f>
        <v>614.4</v>
      </c>
      <c r="AQ293" s="42" t="n">
        <f aca="false">-($D$288+$J$288)*(AQ$5=0)+IF(AND(AQ$5-$K$288&gt;=1,AQ$5-$K$288&lt;=Inputs!$C$13),INDEX($N$291:$AL$291,1,AQ$5-$K$288+1)*INDEX($N$292:$AL$292,1,AQ$5-$K$288+1),0)-$I$288*((AQ$5=Inputs!$C$12)*$C$290*$D$288+(AQ$5=Inputs!$C$13)*$D$290*($D$288+Inputs!$C$14))+$I$288*((AQ$5=Inputs!$C$15+$K$288)*$E$290*$I$290+(AQ$5=Inputs!$C$16+$K$288)*$F$290*$J$290+(AQ$5=Inputs!$C$17)*$G$290*$H$288*$H$290)</f>
        <v>0</v>
      </c>
      <c r="AR293" s="42" t="n">
        <f aca="false">-($D$288+$J$288)*(AR$5=0)+IF(AND(AR$5-$K$288&gt;=1,AR$5-$K$288&lt;=Inputs!$C$13),INDEX($N$291:$AL$291,1,AR$5-$K$288+1)*INDEX($N$292:$AL$292,1,AR$5-$K$288+1),0)-$I$288*((AR$5=Inputs!$C$12)*$C$290*$D$288+(AR$5=Inputs!$C$13)*$D$290*($D$288+Inputs!$C$14))+$I$288*((AR$5=Inputs!$C$15+$K$288)*$E$290*$I$290+(AR$5=Inputs!$C$16+$K$288)*$F$290*$J$290+(AR$5=Inputs!$C$17)*$G$290*$H$288*$H$290)</f>
        <v>0</v>
      </c>
      <c r="AS293" s="42" t="n">
        <f aca="false">-($D$288+$J$288)*(AS$5=0)+IF(AND(AS$5-$K$288&gt;=1,AS$5-$K$288&lt;=Inputs!$C$13),INDEX($N$291:$AL$291,1,AS$5-$K$288+1)*INDEX($N$292:$AL$292,1,AS$5-$K$288+1),0)-$I$288*((AS$5=Inputs!$C$12)*$C$290*$D$288+(AS$5=Inputs!$C$13)*$D$290*($D$288+Inputs!$C$14))+$I$288*((AS$5=Inputs!$C$15+$K$288)*$E$290*$I$290+(AS$5=Inputs!$C$16+$K$288)*$F$290*$J$290+(AS$5=Inputs!$C$17)*$G$290*$H$288*$H$290)</f>
        <v>473.76</v>
      </c>
      <c r="AT293" s="42" t="n">
        <f aca="false">-($D$288+$J$288)*(AT$5=0)+IF(AND(AT$5-$K$288&gt;=1,AT$5-$K$288&lt;=Inputs!$C$13),INDEX($N$291:$AL$291,1,AT$5-$K$288+1)*INDEX($N$292:$AL$292,1,AT$5-$K$288+1),0)-$I$288*((AT$5=Inputs!$C$12)*$C$290*$D$288+(AT$5=Inputs!$C$13)*$D$290*($D$288+Inputs!$C$14))+$I$288*((AT$5=Inputs!$C$15+$K$288)*$E$290*$I$290+(AT$5=Inputs!$C$16+$K$288)*$F$290*$J$290+(AT$5=Inputs!$C$17)*$G$290*$H$288*$H$290)</f>
        <v>0</v>
      </c>
      <c r="AU293" s="42" t="n">
        <f aca="false">-($D$288+$J$288)*(AU$5=0)+IF(AND(AU$5-$K$288&gt;=1,AU$5-$K$288&lt;=Inputs!$C$13),INDEX($N$291:$AL$291,1,AU$5-$K$288+1)*INDEX($N$292:$AL$292,1,AU$5-$K$288+1),0)-$I$288*((AU$5=Inputs!$C$12)*$C$290*$D$288+(AU$5=Inputs!$C$13)*$D$290*($D$288+Inputs!$C$14))+$I$288*((AU$5=Inputs!$C$15+$K$288)*$E$290*$I$290+(AU$5=Inputs!$C$16+$K$288)*$F$290*$J$290+(AU$5=Inputs!$C$17)*$G$290*$H$288*$H$290)</f>
        <v>0</v>
      </c>
      <c r="AV293" s="42" t="n">
        <f aca="false">-($D$288+$J$288)*(AV$5=0)+IF(AND(AV$5-$K$288&gt;=1,AV$5-$K$288&lt;=Inputs!$C$13),INDEX($N$291:$AL$291,1,AV$5-$K$288+1)*INDEX($N$292:$AL$292,1,AV$5-$K$288+1),0)-$I$288*((AV$5=Inputs!$C$12)*$C$290*$D$288+(AV$5=Inputs!$C$13)*$D$290*($D$288+Inputs!$C$14))+$I$288*((AV$5=Inputs!$C$15+$K$288)*$E$290*$I$290+(AV$5=Inputs!$C$16+$K$288)*$F$290*$J$290+(AV$5=Inputs!$C$17)*$G$290*$H$288*$H$290)</f>
        <v>0</v>
      </c>
      <c r="AW293" s="42" t="n">
        <f aca="false">-($D$288+$J$288)*(AW$5=0)+IF(AND(AW$5-$K$288&gt;=1,AW$5-$K$288&lt;=Inputs!$C$13),INDEX($N$291:$AL$291,1,AW$5-$K$288+1)*INDEX($N$292:$AL$292,1,AW$5-$K$288+1),0)-$I$288*((AW$5=Inputs!$C$12)*$C$290*$D$288+(AW$5=Inputs!$C$13)*$D$290*($D$288+Inputs!$C$14))+$I$288*((AW$5=Inputs!$C$15+$K$288)*$E$290*$I$290+(AW$5=Inputs!$C$16+$K$288)*$F$290*$J$290+(AW$5=Inputs!$C$17)*$G$290*$H$288*$H$290)</f>
        <v>0</v>
      </c>
      <c r="AX293" s="42" t="n">
        <f aca="false">-($D$288+$J$288)*(AX$5=0)+IF(AND(AX$5-$K$288&gt;=1,AX$5-$K$288&lt;=Inputs!$C$13),INDEX($N$291:$AL$291,1,AX$5-$K$288+1)*INDEX($N$292:$AL$292,1,AX$5-$K$288+1),0)-$I$288*((AX$5=Inputs!$C$12)*$C$290*$D$288+(AX$5=Inputs!$C$13)*$D$290*($D$288+Inputs!$C$14))+$I$288*((AX$5=Inputs!$C$15+$K$288)*$E$290*$I$290+(AX$5=Inputs!$C$16+$K$288)*$F$290*$J$290+(AX$5=Inputs!$C$17)*$G$290*$H$288*$H$290)</f>
        <v>277.2</v>
      </c>
      <c r="AY293" s="42" t="n">
        <f aca="false">-($D$288+$J$288)*(AY$5=0)+IF(AND(AY$5-$K$288&gt;=1,AY$5-$K$288&lt;=Inputs!$C$13),INDEX($N$291:$AL$291,1,AY$5-$K$288+1)*INDEX($N$292:$AL$292,1,AY$5-$K$288+1),0)-$I$288*((AY$5=Inputs!$C$12)*$C$290*$D$288+(AY$5=Inputs!$C$13)*$D$290*($D$288+Inputs!$C$14))+$I$288*((AY$5=Inputs!$C$15+$K$288)*$E$290*$I$290+(AY$5=Inputs!$C$16+$K$288)*$F$290*$J$290+(AY$5=Inputs!$C$17)*$G$290*$H$288*$H$290)</f>
        <v>0</v>
      </c>
    </row>
    <row r="295" customFormat="false" ht="15" hidden="false" customHeight="false" outlineLevel="0" collapsed="false">
      <c r="B295" s="7" t="s">
        <v>219</v>
      </c>
      <c r="C295" s="8"/>
      <c r="D295" s="8"/>
      <c r="E295" s="8"/>
      <c r="F295" s="8"/>
      <c r="G295" s="8"/>
      <c r="H295" s="8"/>
      <c r="I295" s="8"/>
      <c r="J295" s="8"/>
      <c r="K295" s="8"/>
      <c r="L295" s="8"/>
    </row>
    <row r="296" customFormat="false" ht="30" hidden="false" customHeight="true" outlineLevel="0" collapsed="false">
      <c r="B296" s="37"/>
      <c r="C296" s="38" t="s">
        <v>169</v>
      </c>
      <c r="D296" s="38" t="s">
        <v>170</v>
      </c>
      <c r="E296" s="38" t="s">
        <v>171</v>
      </c>
      <c r="F296" s="38" t="s">
        <v>43</v>
      </c>
      <c r="G296" s="38" t="s">
        <v>44</v>
      </c>
      <c r="H296" s="38" t="s">
        <v>45</v>
      </c>
      <c r="I296" s="38" t="s">
        <v>172</v>
      </c>
      <c r="J296" s="38" t="s">
        <v>90</v>
      </c>
      <c r="K296" s="38" t="s">
        <v>89</v>
      </c>
      <c r="L296" s="38" t="s">
        <v>173</v>
      </c>
    </row>
    <row r="297" customFormat="false" ht="15" hidden="false" customHeight="false" outlineLevel="0" collapsed="false">
      <c r="B297" s="39" t="s">
        <v>174</v>
      </c>
      <c r="C297" s="26" t="n">
        <f aca="false">Class_IRR!$J$5</f>
        <v>0.18</v>
      </c>
      <c r="D297" s="30" t="n">
        <f aca="false">Inputs!$E$27</f>
        <v>700</v>
      </c>
      <c r="E297" s="26" t="n">
        <f aca="false">Inputs!$F$27</f>
        <v>0.35</v>
      </c>
      <c r="F297" s="25" t="n">
        <f aca="false">Inputs!$G$27</f>
        <v>0.1</v>
      </c>
      <c r="G297" s="25" t="n">
        <f aca="false">Inputs!$H$27</f>
        <v>0.05</v>
      </c>
      <c r="H297" s="25" t="n">
        <f aca="false">Inputs!$I$27</f>
        <v>0</v>
      </c>
      <c r="I297" s="22" t="n">
        <f aca="false">Inputs!$J$27</f>
        <v>0</v>
      </c>
      <c r="J297" s="23" t="n">
        <f aca="false">Inputs!$C$9</f>
        <v>10</v>
      </c>
      <c r="K297" s="22" t="n">
        <f aca="false">Inputs!$C$10</f>
        <v>1</v>
      </c>
      <c r="L297" s="22" t="n">
        <f aca="false">1</f>
        <v>1</v>
      </c>
    </row>
    <row r="298" customFormat="false" ht="30" hidden="false" customHeight="true" outlineLevel="0" collapsed="false">
      <c r="B298" s="37"/>
      <c r="C298" s="38" t="s">
        <v>175</v>
      </c>
      <c r="D298" s="38" t="s">
        <v>176</v>
      </c>
      <c r="E298" s="38" t="s">
        <v>177</v>
      </c>
      <c r="F298" s="38" t="s">
        <v>178</v>
      </c>
      <c r="G298" s="38" t="s">
        <v>112</v>
      </c>
      <c r="H298" s="38" t="s">
        <v>179</v>
      </c>
      <c r="I298" s="38" t="s">
        <v>180</v>
      </c>
      <c r="J298" s="38" t="s">
        <v>181</v>
      </c>
      <c r="K298" s="38" t="s">
        <v>182</v>
      </c>
      <c r="L298" s="38" t="s">
        <v>183</v>
      </c>
    </row>
    <row r="299" customFormat="false" ht="15" hidden="false" customHeight="false" outlineLevel="0" collapsed="false">
      <c r="B299" s="39" t="s">
        <v>184</v>
      </c>
      <c r="C299" s="40" t="n">
        <f aca="false">1-$E$297*CHOOSE($L$297,INDEX(Timing!$C$7:$AA$7,1,Inputs!$C$12+1),INDEX(Timing!$C$8:$AA$8,1,Inputs!$C$12+1))</f>
        <v>0.734</v>
      </c>
      <c r="D299" s="40" t="n">
        <f aca="false">1-$E$297*CHOOSE($L$297,INDEX(Timing!$C$7:$AA$7,1,Inputs!$C$13+1),INDEX(Timing!$C$8:$AA$8,1,Inputs!$C$13+1))</f>
        <v>0.65</v>
      </c>
      <c r="E299" s="40" t="n">
        <f aca="false">$I$297*$D$299*$F$297</f>
        <v>0</v>
      </c>
      <c r="F299" s="40" t="n">
        <f aca="false">$I$297*($D$299-$E$299)*$G$297</f>
        <v>0</v>
      </c>
      <c r="G299" s="40" t="n">
        <f aca="false">$I$297*($D$299-$E$299-$F$299)</f>
        <v>0</v>
      </c>
      <c r="H299" s="23" t="n">
        <f aca="false">$I$297*(3*$D$297+Inputs!$C$14)</f>
        <v>0</v>
      </c>
      <c r="I299" s="23" t="n">
        <f aca="false">$I$297*($D$297*(1+IF($C$297&lt;=0,0,MAX($C$297*Inputs!$C$15/12,Inputs!$C$8)))+$D$297*(1+Inputs!$C$11*(Inputs!$C$15-Inputs!$C$12)/12)+$D$297*(1+Inputs!$C$11*(Inputs!$C$15-Inputs!$C$13)/12)+Inputs!$C$14)</f>
        <v>0</v>
      </c>
      <c r="J299" s="23" t="n">
        <f aca="false">$I$297*($D$297*(1+IF($C$297&lt;=0,0,MAX($C$297*Inputs!$C$16/12,Inputs!$C$8)))+$D$297*(1+Inputs!$C$11*(Inputs!$C$16-Inputs!$C$12)/12)+$D$297*(1+Inputs!$C$11*(Inputs!$C$16-Inputs!$C$13)/12)+Inputs!$C$14)</f>
        <v>0</v>
      </c>
      <c r="K299" s="40" t="n">
        <f aca="false">IRR($N$302:$AY$302,-0.05)</f>
        <v>-0.077382080445291</v>
      </c>
      <c r="L299" s="41" t="n">
        <f aca="false">(1+$K$299)^12-1</f>
        <v>-0.619580627111928</v>
      </c>
    </row>
    <row r="300" customFormat="false" ht="15" hidden="false" customHeight="false" outlineLevel="0" collapsed="false">
      <c r="B300" s="9" t="s">
        <v>185</v>
      </c>
      <c r="N300" s="40" t="n">
        <f aca="false">0</f>
        <v>0</v>
      </c>
      <c r="O300" s="40" t="n">
        <f aca="false">$E$297*(CHOOSE($L$297,Timing!D$7,Timing!D$8)-CHOOSE($L$297,Timing!C$7,Timing!C$8))</f>
        <v>0.042</v>
      </c>
      <c r="P300" s="40" t="n">
        <f aca="false">$E$297*(CHOOSE($L$297,Timing!E$7,Timing!E$8)-CHOOSE($L$297,Timing!D$7,Timing!D$8))</f>
        <v>0.035</v>
      </c>
      <c r="Q300" s="40" t="n">
        <f aca="false">$E$297*(CHOOSE($L$297,Timing!F$7,Timing!F$8)-CHOOSE($L$297,Timing!E$7,Timing!E$8))</f>
        <v>0.0315</v>
      </c>
      <c r="R300" s="40" t="n">
        <f aca="false">$E$297*(CHOOSE($L$297,Timing!G$7,Timing!G$8)-CHOOSE($L$297,Timing!F$7,Timing!F$8))</f>
        <v>0.0245</v>
      </c>
      <c r="S300" s="40" t="n">
        <f aca="false">$E$297*(CHOOSE($L$297,Timing!H$7,Timing!H$8)-CHOOSE($L$297,Timing!G$7,Timing!G$8))</f>
        <v>0.0245</v>
      </c>
      <c r="T300" s="40" t="n">
        <f aca="false">$E$297*(CHOOSE($L$297,Timing!I$7,Timing!I$8)-CHOOSE($L$297,Timing!H$7,Timing!H$8))</f>
        <v>0.0245</v>
      </c>
      <c r="U300" s="40" t="n">
        <f aca="false">$E$297*(CHOOSE($L$297,Timing!J$7,Timing!J$8)-CHOOSE($L$297,Timing!I$7,Timing!I$8))</f>
        <v>0.0151666666666667</v>
      </c>
      <c r="V300" s="40" t="n">
        <f aca="false">$E$297*(CHOOSE($L$297,Timing!K$7,Timing!K$8)-CHOOSE($L$297,Timing!J$7,Timing!J$8))</f>
        <v>0.0151666666666667</v>
      </c>
      <c r="W300" s="40" t="n">
        <f aca="false">$E$297*(CHOOSE($L$297,Timing!L$7,Timing!L$8)-CHOOSE($L$297,Timing!K$7,Timing!K$8))</f>
        <v>0.0151666666666667</v>
      </c>
      <c r="X300" s="40" t="n">
        <f aca="false">$E$297*(CHOOSE($L$297,Timing!M$7,Timing!M$8)-CHOOSE($L$297,Timing!L$7,Timing!L$8))</f>
        <v>0.0128333333333333</v>
      </c>
      <c r="Y300" s="40" t="n">
        <f aca="false">$E$297*(CHOOSE($L$297,Timing!N$7,Timing!N$8)-CHOOSE($L$297,Timing!M$7,Timing!M$8))</f>
        <v>0.0128333333333334</v>
      </c>
      <c r="Z300" s="40" t="n">
        <f aca="false">$E$297*(CHOOSE($L$297,Timing!O$7,Timing!O$8)-CHOOSE($L$297,Timing!N$7,Timing!N$8))</f>
        <v>0.0128333333333333</v>
      </c>
      <c r="AA300" s="40" t="n">
        <f aca="false">$E$297*(CHOOSE($L$297,Timing!P$7,Timing!P$8)-CHOOSE($L$297,Timing!O$7,Timing!O$8))</f>
        <v>0.00816666666666666</v>
      </c>
      <c r="AB300" s="40" t="n">
        <f aca="false">$E$297*(CHOOSE($L$297,Timing!Q$7,Timing!Q$8)-CHOOSE($L$297,Timing!P$7,Timing!P$8))</f>
        <v>0.00816666666666666</v>
      </c>
      <c r="AC300" s="40" t="n">
        <f aca="false">$E$297*(CHOOSE($L$297,Timing!R$7,Timing!R$8)-CHOOSE($L$297,Timing!Q$7,Timing!Q$8))</f>
        <v>0.0081666666666667</v>
      </c>
      <c r="AD300" s="40" t="n">
        <f aca="false">$E$297*(CHOOSE($L$297,Timing!S$7,Timing!S$8)-CHOOSE($L$297,Timing!R$7,Timing!R$8))</f>
        <v>0.00816666666666666</v>
      </c>
      <c r="AE300" s="40" t="n">
        <f aca="false">$E$297*(CHOOSE($L$297,Timing!T$7,Timing!T$8)-CHOOSE($L$297,Timing!S$7,Timing!S$8))</f>
        <v>0.00816666666666666</v>
      </c>
      <c r="AF300" s="40" t="n">
        <f aca="false">$E$297*(CHOOSE($L$297,Timing!U$7,Timing!U$8)-CHOOSE($L$297,Timing!T$7,Timing!T$8))</f>
        <v>0.00816666666666666</v>
      </c>
      <c r="AG300" s="40" t="n">
        <f aca="false">$E$297*(CHOOSE($L$297,Timing!V$7,Timing!V$8)-CHOOSE($L$297,Timing!U$7,Timing!U$8))</f>
        <v>0.00583333333333335</v>
      </c>
      <c r="AH300" s="40" t="n">
        <f aca="false">$E$297*(CHOOSE($L$297,Timing!W$7,Timing!W$8)-CHOOSE($L$297,Timing!V$7,Timing!V$8))</f>
        <v>0.00583333333333331</v>
      </c>
      <c r="AI300" s="40" t="n">
        <f aca="false">$E$297*(CHOOSE($L$297,Timing!X$7,Timing!X$8)-CHOOSE($L$297,Timing!W$7,Timing!W$8))</f>
        <v>0.00583333333333331</v>
      </c>
      <c r="AJ300" s="40" t="n">
        <f aca="false">$E$297*(CHOOSE($L$297,Timing!Y$7,Timing!Y$8)-CHOOSE($L$297,Timing!X$7,Timing!X$8))</f>
        <v>0.00583333333333335</v>
      </c>
      <c r="AK300" s="40" t="n">
        <f aca="false">$E$297*(CHOOSE($L$297,Timing!Z$7,Timing!Z$8)-CHOOSE($L$297,Timing!Y$7,Timing!Y$8))</f>
        <v>0.00583333333333335</v>
      </c>
      <c r="AL300" s="40" t="n">
        <f aca="false">$E$297*(CHOOSE($L$297,Timing!AA$7,Timing!AA$8)-CHOOSE($L$297,Timing!Z$7,Timing!Z$8))</f>
        <v>0.00583333333333331</v>
      </c>
    </row>
    <row r="301" customFormat="false" ht="15" hidden="false" customHeight="false" outlineLevel="0" collapsed="false">
      <c r="B301" s="9" t="s">
        <v>186</v>
      </c>
      <c r="N301" s="42" t="n">
        <f aca="false">0</f>
        <v>0</v>
      </c>
      <c r="O301" s="42" t="n">
        <f aca="false">$D$297*(1+IF($C$297&lt;=0,0,MAX($C$297*O$5/12,Inputs!$C$8)))+$I$297*(O$5&gt;Inputs!$C$12)*$D$297*(1+Inputs!$C$11*(O$5-Inputs!$C$12)/12)</f>
        <v>735</v>
      </c>
      <c r="P301" s="42" t="n">
        <f aca="false">$D$297*(1+IF($C$297&lt;=0,0,MAX($C$297*P$5/12,Inputs!$C$8)))+$I$297*(P$5&gt;Inputs!$C$12)*$D$297*(1+Inputs!$C$11*(P$5-Inputs!$C$12)/12)</f>
        <v>735</v>
      </c>
      <c r="Q301" s="42" t="n">
        <f aca="false">$D$297*(1+IF($C$297&lt;=0,0,MAX($C$297*Q$5/12,Inputs!$C$8)))+$I$297*(Q$5&gt;Inputs!$C$12)*$D$297*(1+Inputs!$C$11*(Q$5-Inputs!$C$12)/12)</f>
        <v>735</v>
      </c>
      <c r="R301" s="42" t="n">
        <f aca="false">$D$297*(1+IF($C$297&lt;=0,0,MAX($C$297*R$5/12,Inputs!$C$8)))+$I$297*(R$5&gt;Inputs!$C$12)*$D$297*(1+Inputs!$C$11*(R$5-Inputs!$C$12)/12)</f>
        <v>742</v>
      </c>
      <c r="S301" s="42" t="n">
        <f aca="false">$D$297*(1+IF($C$297&lt;=0,0,MAX($C$297*S$5/12,Inputs!$C$8)))+$I$297*(S$5&gt;Inputs!$C$12)*$D$297*(1+Inputs!$C$11*(S$5-Inputs!$C$12)/12)</f>
        <v>752.5</v>
      </c>
      <c r="T301" s="42" t="n">
        <f aca="false">$D$297*(1+IF($C$297&lt;=0,0,MAX($C$297*T$5/12,Inputs!$C$8)))+$I$297*(T$5&gt;Inputs!$C$12)*$D$297*(1+Inputs!$C$11*(T$5-Inputs!$C$12)/12)</f>
        <v>763</v>
      </c>
      <c r="U301" s="42" t="n">
        <f aca="false">$D$297*(1+IF($C$297&lt;=0,0,MAX($C$297*U$5/12,Inputs!$C$8)))+$I$297*(U$5&gt;Inputs!$C$12)*$D$297*(1+Inputs!$C$11*(U$5-Inputs!$C$12)/12)</f>
        <v>773.5</v>
      </c>
      <c r="V301" s="42" t="n">
        <f aca="false">$D$297*(1+IF($C$297&lt;=0,0,MAX($C$297*V$5/12,Inputs!$C$8)))+$I$297*(V$5&gt;Inputs!$C$12)*$D$297*(1+Inputs!$C$11*(V$5-Inputs!$C$12)/12)</f>
        <v>784</v>
      </c>
      <c r="W301" s="42" t="n">
        <f aca="false">$D$297*(1+IF($C$297&lt;=0,0,MAX($C$297*W$5/12,Inputs!$C$8)))+$I$297*(W$5&gt;Inputs!$C$12)*$D$297*(1+Inputs!$C$11*(W$5-Inputs!$C$12)/12)</f>
        <v>794.5</v>
      </c>
      <c r="X301" s="42" t="n">
        <f aca="false">$D$297*(1+IF($C$297&lt;=0,0,MAX($C$297*X$5/12,Inputs!$C$8)))+$I$297*(X$5&gt;Inputs!$C$12)*$D$297*(1+Inputs!$C$11*(X$5-Inputs!$C$12)/12)</f>
        <v>805</v>
      </c>
      <c r="Y301" s="42" t="n">
        <f aca="false">$D$297*(1+IF($C$297&lt;=0,0,MAX($C$297*Y$5/12,Inputs!$C$8)))+$I$297*(Y$5&gt;Inputs!$C$12)*$D$297*(1+Inputs!$C$11*(Y$5-Inputs!$C$12)/12)</f>
        <v>815.5</v>
      </c>
      <c r="Z301" s="42" t="n">
        <f aca="false">$D$297*(1+IF($C$297&lt;=0,0,MAX($C$297*Z$5/12,Inputs!$C$8)))+$I$297*(Z$5&gt;Inputs!$C$12)*$D$297*(1+Inputs!$C$11*(Z$5-Inputs!$C$12)/12)</f>
        <v>826</v>
      </c>
      <c r="AA301" s="42" t="n">
        <f aca="false">$D$297*(1+IF($C$297&lt;=0,0,MAX($C$297*AA$5/12,Inputs!$C$8)))+$I$297*(AA$5&gt;Inputs!$C$12)*$D$297*(1+Inputs!$C$11*(AA$5-Inputs!$C$12)/12)</f>
        <v>836.5</v>
      </c>
      <c r="AB301" s="42" t="n">
        <f aca="false">$D$297*(1+IF($C$297&lt;=0,0,MAX($C$297*AB$5/12,Inputs!$C$8)))+$I$297*(AB$5&gt;Inputs!$C$12)*$D$297*(1+Inputs!$C$11*(AB$5-Inputs!$C$12)/12)</f>
        <v>847</v>
      </c>
      <c r="AC301" s="42" t="n">
        <f aca="false">$D$297*(1+IF($C$297&lt;=0,0,MAX($C$297*AC$5/12,Inputs!$C$8)))+$I$297*(AC$5&gt;Inputs!$C$12)*$D$297*(1+Inputs!$C$11*(AC$5-Inputs!$C$12)/12)</f>
        <v>857.5</v>
      </c>
      <c r="AD301" s="42" t="n">
        <f aca="false">$D$297*(1+IF($C$297&lt;=0,0,MAX($C$297*AD$5/12,Inputs!$C$8)))+$I$297*(AD$5&gt;Inputs!$C$12)*$D$297*(1+Inputs!$C$11*(AD$5-Inputs!$C$12)/12)</f>
        <v>868</v>
      </c>
      <c r="AE301" s="42" t="n">
        <f aca="false">$D$297*(1+IF($C$297&lt;=0,0,MAX($C$297*AE$5/12,Inputs!$C$8)))+$I$297*(AE$5&gt;Inputs!$C$12)*$D$297*(1+Inputs!$C$11*(AE$5-Inputs!$C$12)/12)</f>
        <v>878.5</v>
      </c>
      <c r="AF301" s="42" t="n">
        <f aca="false">$D$297*(1+IF($C$297&lt;=0,0,MAX($C$297*AF$5/12,Inputs!$C$8)))+$I$297*(AF$5&gt;Inputs!$C$12)*$D$297*(1+Inputs!$C$11*(AF$5-Inputs!$C$12)/12)</f>
        <v>889</v>
      </c>
      <c r="AG301" s="42" t="n">
        <f aca="false">$D$297*(1+IF($C$297&lt;=0,0,MAX($C$297*AG$5/12,Inputs!$C$8)))+$I$297*(AG$5&gt;Inputs!$C$12)*$D$297*(1+Inputs!$C$11*(AG$5-Inputs!$C$12)/12)</f>
        <v>899.5</v>
      </c>
      <c r="AH301" s="42" t="n">
        <f aca="false">$D$297*(1+IF($C$297&lt;=0,0,MAX($C$297*AH$5/12,Inputs!$C$8)))+$I$297*(AH$5&gt;Inputs!$C$12)*$D$297*(1+Inputs!$C$11*(AH$5-Inputs!$C$12)/12)</f>
        <v>910</v>
      </c>
      <c r="AI301" s="42" t="n">
        <f aca="false">$D$297*(1+IF($C$297&lt;=0,0,MAX($C$297*AI$5/12,Inputs!$C$8)))+$I$297*(AI$5&gt;Inputs!$C$12)*$D$297*(1+Inputs!$C$11*(AI$5-Inputs!$C$12)/12)</f>
        <v>920.5</v>
      </c>
      <c r="AJ301" s="42" t="n">
        <f aca="false">$D$297*(1+IF($C$297&lt;=0,0,MAX($C$297*AJ$5/12,Inputs!$C$8)))+$I$297*(AJ$5&gt;Inputs!$C$12)*$D$297*(1+Inputs!$C$11*(AJ$5-Inputs!$C$12)/12)</f>
        <v>931</v>
      </c>
      <c r="AK301" s="42" t="n">
        <f aca="false">$D$297*(1+IF($C$297&lt;=0,0,MAX($C$297*AK$5/12,Inputs!$C$8)))+$I$297*(AK$5&gt;Inputs!$C$12)*$D$297*(1+Inputs!$C$11*(AK$5-Inputs!$C$12)/12)</f>
        <v>941.5</v>
      </c>
      <c r="AL301" s="42" t="n">
        <f aca="false">$D$297*(1+IF($C$297&lt;=0,0,MAX($C$297*AL$5/12,Inputs!$C$8)))+$I$297*(AL$5&gt;Inputs!$C$12)*$D$297*(1+Inputs!$C$11*(AL$5-Inputs!$C$12)/12)</f>
        <v>952</v>
      </c>
    </row>
    <row r="302" customFormat="false" ht="15" hidden="false" customHeight="false" outlineLevel="0" collapsed="false">
      <c r="B302" s="31" t="s">
        <v>187</v>
      </c>
      <c r="N302" s="42" t="n">
        <f aca="false">-($D$297+$J$297)*(N$5=0)+IF(AND(N$5-$K$297&gt;=1,N$5-$K$297&lt;=Inputs!$C$13),INDEX($N$300:$AL$300,1,N$5-$K$297+1)*INDEX($N$301:$AL$301,1,N$5-$K$297+1),0)-$I$297*((N$5=Inputs!$C$12)*$C$299*$D$297+(N$5=Inputs!$C$13)*$D$299*($D$297+Inputs!$C$14))+$I$297*((N$5=Inputs!$C$15+$K$297)*$E$299*$I$299+(N$5=Inputs!$C$16+$K$297)*$F$299*$J$299+(N$5=Inputs!$C$17)*$G$299*$H$297*$H$299)</f>
        <v>-710</v>
      </c>
      <c r="O302" s="42" t="n">
        <f aca="false">-($D$297+$J$297)*(O$5=0)+IF(AND(O$5-$K$297&gt;=1,O$5-$K$297&lt;=Inputs!$C$13),INDEX($N$300:$AL$300,1,O$5-$K$297+1)*INDEX($N$301:$AL$301,1,O$5-$K$297+1),0)-$I$297*((O$5=Inputs!$C$12)*$C$299*$D$297+(O$5=Inputs!$C$13)*$D$299*($D$297+Inputs!$C$14))+$I$297*((O$5=Inputs!$C$15+$K$297)*$E$299*$I$299+(O$5=Inputs!$C$16+$K$297)*$F$299*$J$299+(O$5=Inputs!$C$17)*$G$299*$H$297*$H$299)</f>
        <v>0</v>
      </c>
      <c r="P302" s="42" t="n">
        <f aca="false">-($D$297+$J$297)*(P$5=0)+IF(AND(P$5-$K$297&gt;=1,P$5-$K$297&lt;=Inputs!$C$13),INDEX($N$300:$AL$300,1,P$5-$K$297+1)*INDEX($N$301:$AL$301,1,P$5-$K$297+1),0)-$I$297*((P$5=Inputs!$C$12)*$C$299*$D$297+(P$5=Inputs!$C$13)*$D$299*($D$297+Inputs!$C$14))+$I$297*((P$5=Inputs!$C$15+$K$297)*$E$299*$I$299+(P$5=Inputs!$C$16+$K$297)*$F$299*$J$299+(P$5=Inputs!$C$17)*$G$299*$H$297*$H$299)</f>
        <v>30.87</v>
      </c>
      <c r="Q302" s="42" t="n">
        <f aca="false">-($D$297+$J$297)*(Q$5=0)+IF(AND(Q$5-$K$297&gt;=1,Q$5-$K$297&lt;=Inputs!$C$13),INDEX($N$300:$AL$300,1,Q$5-$K$297+1)*INDEX($N$301:$AL$301,1,Q$5-$K$297+1),0)-$I$297*((Q$5=Inputs!$C$12)*$C$299*$D$297+(Q$5=Inputs!$C$13)*$D$299*($D$297+Inputs!$C$14))+$I$297*((Q$5=Inputs!$C$15+$K$297)*$E$299*$I$299+(Q$5=Inputs!$C$16+$K$297)*$F$299*$J$299+(Q$5=Inputs!$C$17)*$G$299*$H$297*$H$299)</f>
        <v>25.725</v>
      </c>
      <c r="R302" s="42" t="n">
        <f aca="false">-($D$297+$J$297)*(R$5=0)+IF(AND(R$5-$K$297&gt;=1,R$5-$K$297&lt;=Inputs!$C$13),INDEX($N$300:$AL$300,1,R$5-$K$297+1)*INDEX($N$301:$AL$301,1,R$5-$K$297+1),0)-$I$297*((R$5=Inputs!$C$12)*$C$299*$D$297+(R$5=Inputs!$C$13)*$D$299*($D$297+Inputs!$C$14))+$I$297*((R$5=Inputs!$C$15+$K$297)*$E$299*$I$299+(R$5=Inputs!$C$16+$K$297)*$F$299*$J$299+(R$5=Inputs!$C$17)*$G$299*$H$297*$H$299)</f>
        <v>23.1525</v>
      </c>
      <c r="S302" s="42" t="n">
        <f aca="false">-($D$297+$J$297)*(S$5=0)+IF(AND(S$5-$K$297&gt;=1,S$5-$K$297&lt;=Inputs!$C$13),INDEX($N$300:$AL$300,1,S$5-$K$297+1)*INDEX($N$301:$AL$301,1,S$5-$K$297+1),0)-$I$297*((S$5=Inputs!$C$12)*$C$299*$D$297+(S$5=Inputs!$C$13)*$D$299*($D$297+Inputs!$C$14))+$I$297*((S$5=Inputs!$C$15+$K$297)*$E$299*$I$299+(S$5=Inputs!$C$16+$K$297)*$F$299*$J$299+(S$5=Inputs!$C$17)*$G$299*$H$297*$H$299)</f>
        <v>18.179</v>
      </c>
      <c r="T302" s="42" t="n">
        <f aca="false">-($D$297+$J$297)*(T$5=0)+IF(AND(T$5-$K$297&gt;=1,T$5-$K$297&lt;=Inputs!$C$13),INDEX($N$300:$AL$300,1,T$5-$K$297+1)*INDEX($N$301:$AL$301,1,T$5-$K$297+1),0)-$I$297*((T$5=Inputs!$C$12)*$C$299*$D$297+(T$5=Inputs!$C$13)*$D$299*($D$297+Inputs!$C$14))+$I$297*((T$5=Inputs!$C$15+$K$297)*$E$299*$I$299+(T$5=Inputs!$C$16+$K$297)*$F$299*$J$299+(T$5=Inputs!$C$17)*$G$299*$H$297*$H$299)</f>
        <v>18.43625</v>
      </c>
      <c r="U302" s="42" t="n">
        <f aca="false">-($D$297+$J$297)*(U$5=0)+IF(AND(U$5-$K$297&gt;=1,U$5-$K$297&lt;=Inputs!$C$13),INDEX($N$300:$AL$300,1,U$5-$K$297+1)*INDEX($N$301:$AL$301,1,U$5-$K$297+1),0)-$I$297*((U$5=Inputs!$C$12)*$C$299*$D$297+(U$5=Inputs!$C$13)*$D$299*($D$297+Inputs!$C$14))+$I$297*((U$5=Inputs!$C$15+$K$297)*$E$299*$I$299+(U$5=Inputs!$C$16+$K$297)*$F$299*$J$299+(U$5=Inputs!$C$17)*$G$299*$H$297*$H$299)</f>
        <v>18.6935</v>
      </c>
      <c r="V302" s="42" t="n">
        <f aca="false">-($D$297+$J$297)*(V$5=0)+IF(AND(V$5-$K$297&gt;=1,V$5-$K$297&lt;=Inputs!$C$13),INDEX($N$300:$AL$300,1,V$5-$K$297+1)*INDEX($N$301:$AL$301,1,V$5-$K$297+1),0)-$I$297*((V$5=Inputs!$C$12)*$C$299*$D$297+(V$5=Inputs!$C$13)*$D$299*($D$297+Inputs!$C$14))+$I$297*((V$5=Inputs!$C$15+$K$297)*$E$299*$I$299+(V$5=Inputs!$C$16+$K$297)*$F$299*$J$299+(V$5=Inputs!$C$17)*$G$299*$H$297*$H$299)</f>
        <v>11.7314166666667</v>
      </c>
      <c r="W302" s="42" t="n">
        <f aca="false">-($D$297+$J$297)*(W$5=0)+IF(AND(W$5-$K$297&gt;=1,W$5-$K$297&lt;=Inputs!$C$13),INDEX($N$300:$AL$300,1,W$5-$K$297+1)*INDEX($N$301:$AL$301,1,W$5-$K$297+1),0)-$I$297*((W$5=Inputs!$C$12)*$C$299*$D$297+(W$5=Inputs!$C$13)*$D$299*($D$297+Inputs!$C$14))+$I$297*((W$5=Inputs!$C$15+$K$297)*$E$299*$I$299+(W$5=Inputs!$C$16+$K$297)*$F$299*$J$299+(W$5=Inputs!$C$17)*$G$299*$H$297*$H$299)</f>
        <v>11.8906666666667</v>
      </c>
      <c r="X302" s="42" t="n">
        <f aca="false">-($D$297+$J$297)*(X$5=0)+IF(AND(X$5-$K$297&gt;=1,X$5-$K$297&lt;=Inputs!$C$13),INDEX($N$300:$AL$300,1,X$5-$K$297+1)*INDEX($N$301:$AL$301,1,X$5-$K$297+1),0)-$I$297*((X$5=Inputs!$C$12)*$C$299*$D$297+(X$5=Inputs!$C$13)*$D$299*($D$297+Inputs!$C$14))+$I$297*((X$5=Inputs!$C$15+$K$297)*$E$299*$I$299+(X$5=Inputs!$C$16+$K$297)*$F$299*$J$299+(X$5=Inputs!$C$17)*$G$299*$H$297*$H$299)</f>
        <v>12.0499166666667</v>
      </c>
      <c r="Y302" s="42" t="n">
        <f aca="false">-($D$297+$J$297)*(Y$5=0)+IF(AND(Y$5-$K$297&gt;=1,Y$5-$K$297&lt;=Inputs!$C$13),INDEX($N$300:$AL$300,1,Y$5-$K$297+1)*INDEX($N$301:$AL$301,1,Y$5-$K$297+1),0)-$I$297*((Y$5=Inputs!$C$12)*$C$299*$D$297+(Y$5=Inputs!$C$13)*$D$299*($D$297+Inputs!$C$14))+$I$297*((Y$5=Inputs!$C$15+$K$297)*$E$299*$I$299+(Y$5=Inputs!$C$16+$K$297)*$F$299*$J$299+(Y$5=Inputs!$C$17)*$G$299*$H$297*$H$299)</f>
        <v>10.3308333333333</v>
      </c>
      <c r="Z302" s="42" t="n">
        <f aca="false">-($D$297+$J$297)*(Z$5=0)+IF(AND(Z$5-$K$297&gt;=1,Z$5-$K$297&lt;=Inputs!$C$13),INDEX($N$300:$AL$300,1,Z$5-$K$297+1)*INDEX($N$301:$AL$301,1,Z$5-$K$297+1),0)-$I$297*((Z$5=Inputs!$C$12)*$C$299*$D$297+(Z$5=Inputs!$C$13)*$D$299*($D$297+Inputs!$C$14))+$I$297*((Z$5=Inputs!$C$15+$K$297)*$E$299*$I$299+(Z$5=Inputs!$C$16+$K$297)*$F$299*$J$299+(Z$5=Inputs!$C$17)*$G$299*$H$297*$H$299)</f>
        <v>10.4655833333334</v>
      </c>
      <c r="AA302" s="42" t="n">
        <f aca="false">-($D$297+$J$297)*(AA$5=0)+IF(AND(AA$5-$K$297&gt;=1,AA$5-$K$297&lt;=Inputs!$C$13),INDEX($N$300:$AL$300,1,AA$5-$K$297+1)*INDEX($N$301:$AL$301,1,AA$5-$K$297+1),0)-$I$297*((AA$5=Inputs!$C$12)*$C$299*$D$297+(AA$5=Inputs!$C$13)*$D$299*($D$297+Inputs!$C$14))+$I$297*((AA$5=Inputs!$C$15+$K$297)*$E$299*$I$299+(AA$5=Inputs!$C$16+$K$297)*$F$299*$J$299+(AA$5=Inputs!$C$17)*$G$299*$H$297*$H$299)</f>
        <v>10.6003333333333</v>
      </c>
      <c r="AB302" s="42" t="n">
        <f aca="false">-($D$297+$J$297)*(AB$5=0)+IF(AND(AB$5-$K$297&gt;=1,AB$5-$K$297&lt;=Inputs!$C$13),INDEX($N$300:$AL$300,1,AB$5-$K$297+1)*INDEX($N$301:$AL$301,1,AB$5-$K$297+1),0)-$I$297*((AB$5=Inputs!$C$12)*$C$299*$D$297+(AB$5=Inputs!$C$13)*$D$299*($D$297+Inputs!$C$14))+$I$297*((AB$5=Inputs!$C$15+$K$297)*$E$299*$I$299+(AB$5=Inputs!$C$16+$K$297)*$F$299*$J$299+(AB$5=Inputs!$C$17)*$G$299*$H$297*$H$299)</f>
        <v>6.83141666666666</v>
      </c>
      <c r="AC302" s="42" t="n">
        <f aca="false">-($D$297+$J$297)*(AC$5=0)+IF(AND(AC$5-$K$297&gt;=1,AC$5-$K$297&lt;=Inputs!$C$13),INDEX($N$300:$AL$300,1,AC$5-$K$297+1)*INDEX($N$301:$AL$301,1,AC$5-$K$297+1),0)-$I$297*((AC$5=Inputs!$C$12)*$C$299*$D$297+(AC$5=Inputs!$C$13)*$D$299*($D$297+Inputs!$C$14))+$I$297*((AC$5=Inputs!$C$15+$K$297)*$E$299*$I$299+(AC$5=Inputs!$C$16+$K$297)*$F$299*$J$299+(AC$5=Inputs!$C$17)*$G$299*$H$297*$H$299)</f>
        <v>6.91716666666666</v>
      </c>
      <c r="AD302" s="42" t="n">
        <f aca="false">-($D$297+$J$297)*(AD$5=0)+IF(AND(AD$5-$K$297&gt;=1,AD$5-$K$297&lt;=Inputs!$C$13),INDEX($N$300:$AL$300,1,AD$5-$K$297+1)*INDEX($N$301:$AL$301,1,AD$5-$K$297+1),0)-$I$297*((AD$5=Inputs!$C$12)*$C$299*$D$297+(AD$5=Inputs!$C$13)*$D$299*($D$297+Inputs!$C$14))+$I$297*((AD$5=Inputs!$C$15+$K$297)*$E$299*$I$299+(AD$5=Inputs!$C$16+$K$297)*$F$299*$J$299+(AD$5=Inputs!$C$17)*$G$299*$H$297*$H$299)</f>
        <v>7.0029166666667</v>
      </c>
      <c r="AE302" s="42" t="n">
        <f aca="false">-($D$297+$J$297)*(AE$5=0)+IF(AND(AE$5-$K$297&gt;=1,AE$5-$K$297&lt;=Inputs!$C$13),INDEX($N$300:$AL$300,1,AE$5-$K$297+1)*INDEX($N$301:$AL$301,1,AE$5-$K$297+1),0)-$I$297*((AE$5=Inputs!$C$12)*$C$299*$D$297+(AE$5=Inputs!$C$13)*$D$299*($D$297+Inputs!$C$14))+$I$297*((AE$5=Inputs!$C$15+$K$297)*$E$299*$I$299+(AE$5=Inputs!$C$16+$K$297)*$F$299*$J$299+(AE$5=Inputs!$C$17)*$G$299*$H$297*$H$299)</f>
        <v>7.08866666666666</v>
      </c>
      <c r="AF302" s="42" t="n">
        <f aca="false">-($D$297+$J$297)*(AF$5=0)+IF(AND(AF$5-$K$297&gt;=1,AF$5-$K$297&lt;=Inputs!$C$13),INDEX($N$300:$AL$300,1,AF$5-$K$297+1)*INDEX($N$301:$AL$301,1,AF$5-$K$297+1),0)-$I$297*((AF$5=Inputs!$C$12)*$C$299*$D$297+(AF$5=Inputs!$C$13)*$D$299*($D$297+Inputs!$C$14))+$I$297*((AF$5=Inputs!$C$15+$K$297)*$E$299*$I$299+(AF$5=Inputs!$C$16+$K$297)*$F$299*$J$299+(AF$5=Inputs!$C$17)*$G$299*$H$297*$H$299)</f>
        <v>7.17441666666666</v>
      </c>
      <c r="AG302" s="42" t="n">
        <f aca="false">-($D$297+$J$297)*(AG$5=0)+IF(AND(AG$5-$K$297&gt;=1,AG$5-$K$297&lt;=Inputs!$C$13),INDEX($N$300:$AL$300,1,AG$5-$K$297+1)*INDEX($N$301:$AL$301,1,AG$5-$K$297+1),0)-$I$297*((AG$5=Inputs!$C$12)*$C$299*$D$297+(AG$5=Inputs!$C$13)*$D$299*($D$297+Inputs!$C$14))+$I$297*((AG$5=Inputs!$C$15+$K$297)*$E$299*$I$299+(AG$5=Inputs!$C$16+$K$297)*$F$299*$J$299+(AG$5=Inputs!$C$17)*$G$299*$H$297*$H$299)</f>
        <v>7.26016666666666</v>
      </c>
      <c r="AH302" s="42" t="n">
        <f aca="false">-($D$297+$J$297)*(AH$5=0)+IF(AND(AH$5-$K$297&gt;=1,AH$5-$K$297&lt;=Inputs!$C$13),INDEX($N$300:$AL$300,1,AH$5-$K$297+1)*INDEX($N$301:$AL$301,1,AH$5-$K$297+1),0)-$I$297*((AH$5=Inputs!$C$12)*$C$299*$D$297+(AH$5=Inputs!$C$13)*$D$299*($D$297+Inputs!$C$14))+$I$297*((AH$5=Inputs!$C$15+$K$297)*$E$299*$I$299+(AH$5=Inputs!$C$16+$K$297)*$F$299*$J$299+(AH$5=Inputs!$C$17)*$G$299*$H$297*$H$299)</f>
        <v>5.24708333333335</v>
      </c>
      <c r="AI302" s="42" t="n">
        <f aca="false">-($D$297+$J$297)*(AI$5=0)+IF(AND(AI$5-$K$297&gt;=1,AI$5-$K$297&lt;=Inputs!$C$13),INDEX($N$300:$AL$300,1,AI$5-$K$297+1)*INDEX($N$301:$AL$301,1,AI$5-$K$297+1),0)-$I$297*((AI$5=Inputs!$C$12)*$C$299*$D$297+(AI$5=Inputs!$C$13)*$D$299*($D$297+Inputs!$C$14))+$I$297*((AI$5=Inputs!$C$15+$K$297)*$E$299*$I$299+(AI$5=Inputs!$C$16+$K$297)*$F$299*$J$299+(AI$5=Inputs!$C$17)*$G$299*$H$297*$H$299)</f>
        <v>5.30833333333331</v>
      </c>
      <c r="AJ302" s="42" t="n">
        <f aca="false">-($D$297+$J$297)*(AJ$5=0)+IF(AND(AJ$5-$K$297&gt;=1,AJ$5-$K$297&lt;=Inputs!$C$13),INDEX($N$300:$AL$300,1,AJ$5-$K$297+1)*INDEX($N$301:$AL$301,1,AJ$5-$K$297+1),0)-$I$297*((AJ$5=Inputs!$C$12)*$C$299*$D$297+(AJ$5=Inputs!$C$13)*$D$299*($D$297+Inputs!$C$14))+$I$297*((AJ$5=Inputs!$C$15+$K$297)*$E$299*$I$299+(AJ$5=Inputs!$C$16+$K$297)*$F$299*$J$299+(AJ$5=Inputs!$C$17)*$G$299*$H$297*$H$299)</f>
        <v>5.36958333333331</v>
      </c>
      <c r="AK302" s="42" t="n">
        <f aca="false">-($D$297+$J$297)*(AK$5=0)+IF(AND(AK$5-$K$297&gt;=1,AK$5-$K$297&lt;=Inputs!$C$13),INDEX($N$300:$AL$300,1,AK$5-$K$297+1)*INDEX($N$301:$AL$301,1,AK$5-$K$297+1),0)-$I$297*((AK$5=Inputs!$C$12)*$C$299*$D$297+(AK$5=Inputs!$C$13)*$D$299*($D$297+Inputs!$C$14))+$I$297*((AK$5=Inputs!$C$15+$K$297)*$E$299*$I$299+(AK$5=Inputs!$C$16+$K$297)*$F$299*$J$299+(AK$5=Inputs!$C$17)*$G$299*$H$297*$H$299)</f>
        <v>5.43083333333335</v>
      </c>
      <c r="AL302" s="42" t="n">
        <f aca="false">-($D$297+$J$297)*(AL$5=0)+IF(AND(AL$5-$K$297&gt;=1,AL$5-$K$297&lt;=Inputs!$C$13),INDEX($N$300:$AL$300,1,AL$5-$K$297+1)*INDEX($N$301:$AL$301,1,AL$5-$K$297+1),0)-$I$297*((AL$5=Inputs!$C$12)*$C$299*$D$297+(AL$5=Inputs!$C$13)*$D$299*($D$297+Inputs!$C$14))+$I$297*((AL$5=Inputs!$C$15+$K$297)*$E$299*$I$299+(AL$5=Inputs!$C$16+$K$297)*$F$299*$J$299+(AL$5=Inputs!$C$17)*$G$299*$H$297*$H$299)</f>
        <v>5.49208333333335</v>
      </c>
      <c r="AM302" s="42" t="n">
        <f aca="false">-($D$297+$J$297)*(AM$5=0)+IF(AND(AM$5-$K$297&gt;=1,AM$5-$K$297&lt;=Inputs!$C$13),INDEX($N$300:$AL$300,1,AM$5-$K$297+1)*INDEX($N$301:$AL$301,1,AM$5-$K$297+1),0)-$I$297*((AM$5=Inputs!$C$12)*$C$299*$D$297+(AM$5=Inputs!$C$13)*$D$299*($D$297+Inputs!$C$14))+$I$297*((AM$5=Inputs!$C$15+$K$297)*$E$299*$I$299+(AM$5=Inputs!$C$16+$K$297)*$F$299*$J$299+(AM$5=Inputs!$C$17)*$G$299*$H$297*$H$299)</f>
        <v>5.55333333333331</v>
      </c>
      <c r="AN302" s="42" t="n">
        <f aca="false">-($D$297+$J$297)*(AN$5=0)+IF(AND(AN$5-$K$297&gt;=1,AN$5-$K$297&lt;=Inputs!$C$13),INDEX($N$300:$AL$300,1,AN$5-$K$297+1)*INDEX($N$301:$AL$301,1,AN$5-$K$297+1),0)-$I$297*((AN$5=Inputs!$C$12)*$C$299*$D$297+(AN$5=Inputs!$C$13)*$D$299*($D$297+Inputs!$C$14))+$I$297*((AN$5=Inputs!$C$15+$K$297)*$E$299*$I$299+(AN$5=Inputs!$C$16+$K$297)*$F$299*$J$299+(AN$5=Inputs!$C$17)*$G$299*$H$297*$H$299)</f>
        <v>0</v>
      </c>
      <c r="AO302" s="42" t="n">
        <f aca="false">-($D$297+$J$297)*(AO$5=0)+IF(AND(AO$5-$K$297&gt;=1,AO$5-$K$297&lt;=Inputs!$C$13),INDEX($N$300:$AL$300,1,AO$5-$K$297+1)*INDEX($N$301:$AL$301,1,AO$5-$K$297+1),0)-$I$297*((AO$5=Inputs!$C$12)*$C$299*$D$297+(AO$5=Inputs!$C$13)*$D$299*($D$297+Inputs!$C$14))+$I$297*((AO$5=Inputs!$C$15+$K$297)*$E$299*$I$299+(AO$5=Inputs!$C$16+$K$297)*$F$299*$J$299+(AO$5=Inputs!$C$17)*$G$299*$H$297*$H$299)</f>
        <v>0</v>
      </c>
      <c r="AP302" s="42" t="n">
        <f aca="false">-($D$297+$J$297)*(AP$5=0)+IF(AND(AP$5-$K$297&gt;=1,AP$5-$K$297&lt;=Inputs!$C$13),INDEX($N$300:$AL$300,1,AP$5-$K$297+1)*INDEX($N$301:$AL$301,1,AP$5-$K$297+1),0)-$I$297*((AP$5=Inputs!$C$12)*$C$299*$D$297+(AP$5=Inputs!$C$13)*$D$299*($D$297+Inputs!$C$14))+$I$297*((AP$5=Inputs!$C$15+$K$297)*$E$299*$I$299+(AP$5=Inputs!$C$16+$K$297)*$F$299*$J$299+(AP$5=Inputs!$C$17)*$G$299*$H$297*$H$299)</f>
        <v>0</v>
      </c>
      <c r="AQ302" s="42" t="n">
        <f aca="false">-($D$297+$J$297)*(AQ$5=0)+IF(AND(AQ$5-$K$297&gt;=1,AQ$5-$K$297&lt;=Inputs!$C$13),INDEX($N$300:$AL$300,1,AQ$5-$K$297+1)*INDEX($N$301:$AL$301,1,AQ$5-$K$297+1),0)-$I$297*((AQ$5=Inputs!$C$12)*$C$299*$D$297+(AQ$5=Inputs!$C$13)*$D$299*($D$297+Inputs!$C$14))+$I$297*((AQ$5=Inputs!$C$15+$K$297)*$E$299*$I$299+(AQ$5=Inputs!$C$16+$K$297)*$F$299*$J$299+(AQ$5=Inputs!$C$17)*$G$299*$H$297*$H$299)</f>
        <v>0</v>
      </c>
      <c r="AR302" s="42" t="n">
        <f aca="false">-($D$297+$J$297)*(AR$5=0)+IF(AND(AR$5-$K$297&gt;=1,AR$5-$K$297&lt;=Inputs!$C$13),INDEX($N$300:$AL$300,1,AR$5-$K$297+1)*INDEX($N$301:$AL$301,1,AR$5-$K$297+1),0)-$I$297*((AR$5=Inputs!$C$12)*$C$299*$D$297+(AR$5=Inputs!$C$13)*$D$299*($D$297+Inputs!$C$14))+$I$297*((AR$5=Inputs!$C$15+$K$297)*$E$299*$I$299+(AR$5=Inputs!$C$16+$K$297)*$F$299*$J$299+(AR$5=Inputs!$C$17)*$G$299*$H$297*$H$299)</f>
        <v>0</v>
      </c>
      <c r="AS302" s="42" t="n">
        <f aca="false">-($D$297+$J$297)*(AS$5=0)+IF(AND(AS$5-$K$297&gt;=1,AS$5-$K$297&lt;=Inputs!$C$13),INDEX($N$300:$AL$300,1,AS$5-$K$297+1)*INDEX($N$301:$AL$301,1,AS$5-$K$297+1),0)-$I$297*((AS$5=Inputs!$C$12)*$C$299*$D$297+(AS$5=Inputs!$C$13)*$D$299*($D$297+Inputs!$C$14))+$I$297*((AS$5=Inputs!$C$15+$K$297)*$E$299*$I$299+(AS$5=Inputs!$C$16+$K$297)*$F$299*$J$299+(AS$5=Inputs!$C$17)*$G$299*$H$297*$H$299)</f>
        <v>0</v>
      </c>
      <c r="AT302" s="42" t="n">
        <f aca="false">-($D$297+$J$297)*(AT$5=0)+IF(AND(AT$5-$K$297&gt;=1,AT$5-$K$297&lt;=Inputs!$C$13),INDEX($N$300:$AL$300,1,AT$5-$K$297+1)*INDEX($N$301:$AL$301,1,AT$5-$K$297+1),0)-$I$297*((AT$5=Inputs!$C$12)*$C$299*$D$297+(AT$5=Inputs!$C$13)*$D$299*($D$297+Inputs!$C$14))+$I$297*((AT$5=Inputs!$C$15+$K$297)*$E$299*$I$299+(AT$5=Inputs!$C$16+$K$297)*$F$299*$J$299+(AT$5=Inputs!$C$17)*$G$299*$H$297*$H$299)</f>
        <v>0</v>
      </c>
      <c r="AU302" s="42" t="n">
        <f aca="false">-($D$297+$J$297)*(AU$5=0)+IF(AND(AU$5-$K$297&gt;=1,AU$5-$K$297&lt;=Inputs!$C$13),INDEX($N$300:$AL$300,1,AU$5-$K$297+1)*INDEX($N$301:$AL$301,1,AU$5-$K$297+1),0)-$I$297*((AU$5=Inputs!$C$12)*$C$299*$D$297+(AU$5=Inputs!$C$13)*$D$299*($D$297+Inputs!$C$14))+$I$297*((AU$5=Inputs!$C$15+$K$297)*$E$299*$I$299+(AU$5=Inputs!$C$16+$K$297)*$F$299*$J$299+(AU$5=Inputs!$C$17)*$G$299*$H$297*$H$299)</f>
        <v>0</v>
      </c>
      <c r="AV302" s="42" t="n">
        <f aca="false">-($D$297+$J$297)*(AV$5=0)+IF(AND(AV$5-$K$297&gt;=1,AV$5-$K$297&lt;=Inputs!$C$13),INDEX($N$300:$AL$300,1,AV$5-$K$297+1)*INDEX($N$301:$AL$301,1,AV$5-$K$297+1),0)-$I$297*((AV$5=Inputs!$C$12)*$C$299*$D$297+(AV$5=Inputs!$C$13)*$D$299*($D$297+Inputs!$C$14))+$I$297*((AV$5=Inputs!$C$15+$K$297)*$E$299*$I$299+(AV$5=Inputs!$C$16+$K$297)*$F$299*$J$299+(AV$5=Inputs!$C$17)*$G$299*$H$297*$H$299)</f>
        <v>0</v>
      </c>
      <c r="AW302" s="42" t="n">
        <f aca="false">-($D$297+$J$297)*(AW$5=0)+IF(AND(AW$5-$K$297&gt;=1,AW$5-$K$297&lt;=Inputs!$C$13),INDEX($N$300:$AL$300,1,AW$5-$K$297+1)*INDEX($N$301:$AL$301,1,AW$5-$K$297+1),0)-$I$297*((AW$5=Inputs!$C$12)*$C$299*$D$297+(AW$5=Inputs!$C$13)*$D$299*($D$297+Inputs!$C$14))+$I$297*((AW$5=Inputs!$C$15+$K$297)*$E$299*$I$299+(AW$5=Inputs!$C$16+$K$297)*$F$299*$J$299+(AW$5=Inputs!$C$17)*$G$299*$H$297*$H$299)</f>
        <v>0</v>
      </c>
      <c r="AX302" s="42" t="n">
        <f aca="false">-($D$297+$J$297)*(AX$5=0)+IF(AND(AX$5-$K$297&gt;=1,AX$5-$K$297&lt;=Inputs!$C$13),INDEX($N$300:$AL$300,1,AX$5-$K$297+1)*INDEX($N$301:$AL$301,1,AX$5-$K$297+1),0)-$I$297*((AX$5=Inputs!$C$12)*$C$299*$D$297+(AX$5=Inputs!$C$13)*$D$299*($D$297+Inputs!$C$14))+$I$297*((AX$5=Inputs!$C$15+$K$297)*$E$299*$I$299+(AX$5=Inputs!$C$16+$K$297)*$F$299*$J$299+(AX$5=Inputs!$C$17)*$G$299*$H$297*$H$299)</f>
        <v>0</v>
      </c>
      <c r="AY302" s="42" t="n">
        <f aca="false">-($D$297+$J$297)*(AY$5=0)+IF(AND(AY$5-$K$297&gt;=1,AY$5-$K$297&lt;=Inputs!$C$13),INDEX($N$300:$AL$300,1,AY$5-$K$297+1)*INDEX($N$301:$AL$301,1,AY$5-$K$297+1),0)-$I$297*((AY$5=Inputs!$C$12)*$C$299*$D$297+(AY$5=Inputs!$C$13)*$D$299*($D$297+Inputs!$C$14))+$I$297*((AY$5=Inputs!$C$15+$K$297)*$E$299*$I$299+(AY$5=Inputs!$C$16+$K$297)*$F$299*$J$299+(AY$5=Inputs!$C$17)*$G$299*$H$297*$H$299)</f>
        <v>0</v>
      </c>
    </row>
    <row r="304" customFormat="false" ht="15" hidden="false" customHeight="false" outlineLevel="0" collapsed="false">
      <c r="B304" s="7" t="s">
        <v>220</v>
      </c>
      <c r="C304" s="8"/>
      <c r="D304" s="8"/>
      <c r="E304" s="8"/>
      <c r="F304" s="8"/>
      <c r="G304" s="8"/>
      <c r="H304" s="8"/>
      <c r="I304" s="8"/>
      <c r="J304" s="8"/>
      <c r="K304" s="8"/>
      <c r="L304" s="8"/>
    </row>
    <row r="305" customFormat="false" ht="30" hidden="false" customHeight="true" outlineLevel="0" collapsed="false">
      <c r="B305" s="37"/>
      <c r="C305" s="38" t="s">
        <v>169</v>
      </c>
      <c r="D305" s="38" t="s">
        <v>170</v>
      </c>
      <c r="E305" s="38" t="s">
        <v>171</v>
      </c>
      <c r="F305" s="38" t="s">
        <v>43</v>
      </c>
      <c r="G305" s="38" t="s">
        <v>44</v>
      </c>
      <c r="H305" s="38" t="s">
        <v>45</v>
      </c>
      <c r="I305" s="38" t="s">
        <v>172</v>
      </c>
      <c r="J305" s="38" t="s">
        <v>90</v>
      </c>
      <c r="K305" s="38" t="s">
        <v>89</v>
      </c>
      <c r="L305" s="38" t="s">
        <v>173</v>
      </c>
    </row>
    <row r="306" customFormat="false" ht="15" hidden="false" customHeight="false" outlineLevel="0" collapsed="false">
      <c r="B306" s="39" t="s">
        <v>174</v>
      </c>
      <c r="C306" s="26" t="n">
        <f aca="false">Class_IRR!$C$5</f>
        <v>0.0025</v>
      </c>
      <c r="D306" s="30" t="n">
        <f aca="false">Inputs!$E$27</f>
        <v>700</v>
      </c>
      <c r="E306" s="26" t="n">
        <f aca="false">Inputs!$F$27</f>
        <v>0.35</v>
      </c>
      <c r="F306" s="25" t="n">
        <f aca="false">Inputs!$G$27</f>
        <v>0.1</v>
      </c>
      <c r="G306" s="25" t="n">
        <f aca="false">Inputs!$H$27</f>
        <v>0.05</v>
      </c>
      <c r="H306" s="25" t="n">
        <f aca="false">Inputs!$I$27</f>
        <v>0</v>
      </c>
      <c r="I306" s="22" t="n">
        <f aca="false">Inputs!$J$27</f>
        <v>0</v>
      </c>
      <c r="J306" s="23" t="n">
        <f aca="false">Inputs!$C$9</f>
        <v>10</v>
      </c>
      <c r="K306" s="22" t="n">
        <f aca="false">Inputs!$C$10</f>
        <v>1</v>
      </c>
      <c r="L306" s="22" t="n">
        <f aca="false">1</f>
        <v>1</v>
      </c>
    </row>
    <row r="307" customFormat="false" ht="30" hidden="false" customHeight="true" outlineLevel="0" collapsed="false">
      <c r="B307" s="37"/>
      <c r="C307" s="38" t="s">
        <v>175</v>
      </c>
      <c r="D307" s="38" t="s">
        <v>176</v>
      </c>
      <c r="E307" s="38" t="s">
        <v>177</v>
      </c>
      <c r="F307" s="38" t="s">
        <v>178</v>
      </c>
      <c r="G307" s="38" t="s">
        <v>112</v>
      </c>
      <c r="H307" s="38" t="s">
        <v>179</v>
      </c>
      <c r="I307" s="38" t="s">
        <v>180</v>
      </c>
      <c r="J307" s="38" t="s">
        <v>181</v>
      </c>
      <c r="K307" s="38" t="s">
        <v>182</v>
      </c>
      <c r="L307" s="38" t="s">
        <v>183</v>
      </c>
    </row>
    <row r="308" customFormat="false" ht="15" hidden="false" customHeight="false" outlineLevel="0" collapsed="false">
      <c r="B308" s="39" t="s">
        <v>184</v>
      </c>
      <c r="C308" s="40" t="n">
        <f aca="false">1-$E$306*CHOOSE($L$306,INDEX(Timing!$C$7:$AA$7,1,Inputs!$C$12+1),INDEX(Timing!$C$8:$AA$8,1,Inputs!$C$12+1))</f>
        <v>0.734</v>
      </c>
      <c r="D308" s="40" t="n">
        <f aca="false">1-$E$306*CHOOSE($L$306,INDEX(Timing!$C$7:$AA$7,1,Inputs!$C$13+1),INDEX(Timing!$C$8:$AA$8,1,Inputs!$C$13+1))</f>
        <v>0.65</v>
      </c>
      <c r="E308" s="40" t="n">
        <f aca="false">$I$306*$D$308*$F$306</f>
        <v>0</v>
      </c>
      <c r="F308" s="40" t="n">
        <f aca="false">$I$306*($D$308-$E$308)*$G$306</f>
        <v>0</v>
      </c>
      <c r="G308" s="40" t="n">
        <f aca="false">$I$306*($D$308-$E$308-$F$308)</f>
        <v>0</v>
      </c>
      <c r="H308" s="23" t="n">
        <f aca="false">$I$306*(3*$D$306+Inputs!$C$14)</f>
        <v>0</v>
      </c>
      <c r="I308" s="23" t="n">
        <f aca="false">$I$306*($D$306*(1+IF($C$306&lt;=0,0,MAX($C$306*Inputs!$C$15/12,Inputs!$C$8)))+$D$306*(1+Inputs!$C$11*(Inputs!$C$15-Inputs!$C$12)/12)+$D$306*(1+Inputs!$C$11*(Inputs!$C$15-Inputs!$C$13)/12)+Inputs!$C$14)</f>
        <v>0</v>
      </c>
      <c r="J308" s="23" t="n">
        <f aca="false">$I$306*($D$306*(1+IF($C$306&lt;=0,0,MAX($C$306*Inputs!$C$16/12,Inputs!$C$8)))+$D$306*(1+Inputs!$C$11*(Inputs!$C$16-Inputs!$C$12)/12)+$D$306*(1+Inputs!$C$11*(Inputs!$C$16-Inputs!$C$13)/12)+Inputs!$C$14)</f>
        <v>0</v>
      </c>
      <c r="K308" s="40" t="n">
        <f aca="false">IRR($N$311:$AY$311,-0.05)</f>
        <v>-0.085709160846227</v>
      </c>
      <c r="L308" s="41" t="n">
        <f aca="false">(1+$K$308)^12-1</f>
        <v>-0.658797330852547</v>
      </c>
    </row>
    <row r="309" customFormat="false" ht="15" hidden="false" customHeight="false" outlineLevel="0" collapsed="false">
      <c r="B309" s="9" t="s">
        <v>185</v>
      </c>
      <c r="N309" s="40" t="n">
        <f aca="false">0</f>
        <v>0</v>
      </c>
      <c r="O309" s="40" t="n">
        <f aca="false">$E$306*(CHOOSE($L$306,Timing!D$7,Timing!D$8)-CHOOSE($L$306,Timing!C$7,Timing!C$8))</f>
        <v>0.042</v>
      </c>
      <c r="P309" s="40" t="n">
        <f aca="false">$E$306*(CHOOSE($L$306,Timing!E$7,Timing!E$8)-CHOOSE($L$306,Timing!D$7,Timing!D$8))</f>
        <v>0.035</v>
      </c>
      <c r="Q309" s="40" t="n">
        <f aca="false">$E$306*(CHOOSE($L$306,Timing!F$7,Timing!F$8)-CHOOSE($L$306,Timing!E$7,Timing!E$8))</f>
        <v>0.0315</v>
      </c>
      <c r="R309" s="40" t="n">
        <f aca="false">$E$306*(CHOOSE($L$306,Timing!G$7,Timing!G$8)-CHOOSE($L$306,Timing!F$7,Timing!F$8))</f>
        <v>0.0245</v>
      </c>
      <c r="S309" s="40" t="n">
        <f aca="false">$E$306*(CHOOSE($L$306,Timing!H$7,Timing!H$8)-CHOOSE($L$306,Timing!G$7,Timing!G$8))</f>
        <v>0.0245</v>
      </c>
      <c r="T309" s="40" t="n">
        <f aca="false">$E$306*(CHOOSE($L$306,Timing!I$7,Timing!I$8)-CHOOSE($L$306,Timing!H$7,Timing!H$8))</f>
        <v>0.0245</v>
      </c>
      <c r="U309" s="40" t="n">
        <f aca="false">$E$306*(CHOOSE($L$306,Timing!J$7,Timing!J$8)-CHOOSE($L$306,Timing!I$7,Timing!I$8))</f>
        <v>0.0151666666666667</v>
      </c>
      <c r="V309" s="40" t="n">
        <f aca="false">$E$306*(CHOOSE($L$306,Timing!K$7,Timing!K$8)-CHOOSE($L$306,Timing!J$7,Timing!J$8))</f>
        <v>0.0151666666666667</v>
      </c>
      <c r="W309" s="40" t="n">
        <f aca="false">$E$306*(CHOOSE($L$306,Timing!L$7,Timing!L$8)-CHOOSE($L$306,Timing!K$7,Timing!K$8))</f>
        <v>0.0151666666666667</v>
      </c>
      <c r="X309" s="40" t="n">
        <f aca="false">$E$306*(CHOOSE($L$306,Timing!M$7,Timing!M$8)-CHOOSE($L$306,Timing!L$7,Timing!L$8))</f>
        <v>0.0128333333333333</v>
      </c>
      <c r="Y309" s="40" t="n">
        <f aca="false">$E$306*(CHOOSE($L$306,Timing!N$7,Timing!N$8)-CHOOSE($L$306,Timing!M$7,Timing!M$8))</f>
        <v>0.0128333333333334</v>
      </c>
      <c r="Z309" s="40" t="n">
        <f aca="false">$E$306*(CHOOSE($L$306,Timing!O$7,Timing!O$8)-CHOOSE($L$306,Timing!N$7,Timing!N$8))</f>
        <v>0.0128333333333333</v>
      </c>
      <c r="AA309" s="40" t="n">
        <f aca="false">$E$306*(CHOOSE($L$306,Timing!P$7,Timing!P$8)-CHOOSE($L$306,Timing!O$7,Timing!O$8))</f>
        <v>0.00816666666666666</v>
      </c>
      <c r="AB309" s="40" t="n">
        <f aca="false">$E$306*(CHOOSE($L$306,Timing!Q$7,Timing!Q$8)-CHOOSE($L$306,Timing!P$7,Timing!P$8))</f>
        <v>0.00816666666666666</v>
      </c>
      <c r="AC309" s="40" t="n">
        <f aca="false">$E$306*(CHOOSE($L$306,Timing!R$7,Timing!R$8)-CHOOSE($L$306,Timing!Q$7,Timing!Q$8))</f>
        <v>0.0081666666666667</v>
      </c>
      <c r="AD309" s="40" t="n">
        <f aca="false">$E$306*(CHOOSE($L$306,Timing!S$7,Timing!S$8)-CHOOSE($L$306,Timing!R$7,Timing!R$8))</f>
        <v>0.00816666666666666</v>
      </c>
      <c r="AE309" s="40" t="n">
        <f aca="false">$E$306*(CHOOSE($L$306,Timing!T$7,Timing!T$8)-CHOOSE($L$306,Timing!S$7,Timing!S$8))</f>
        <v>0.00816666666666666</v>
      </c>
      <c r="AF309" s="40" t="n">
        <f aca="false">$E$306*(CHOOSE($L$306,Timing!U$7,Timing!U$8)-CHOOSE($L$306,Timing!T$7,Timing!T$8))</f>
        <v>0.00816666666666666</v>
      </c>
      <c r="AG309" s="40" t="n">
        <f aca="false">$E$306*(CHOOSE($L$306,Timing!V$7,Timing!V$8)-CHOOSE($L$306,Timing!U$7,Timing!U$8))</f>
        <v>0.00583333333333335</v>
      </c>
      <c r="AH309" s="40" t="n">
        <f aca="false">$E$306*(CHOOSE($L$306,Timing!W$7,Timing!W$8)-CHOOSE($L$306,Timing!V$7,Timing!V$8))</f>
        <v>0.00583333333333331</v>
      </c>
      <c r="AI309" s="40" t="n">
        <f aca="false">$E$306*(CHOOSE($L$306,Timing!X$7,Timing!X$8)-CHOOSE($L$306,Timing!W$7,Timing!W$8))</f>
        <v>0.00583333333333331</v>
      </c>
      <c r="AJ309" s="40" t="n">
        <f aca="false">$E$306*(CHOOSE($L$306,Timing!Y$7,Timing!Y$8)-CHOOSE($L$306,Timing!X$7,Timing!X$8))</f>
        <v>0.00583333333333335</v>
      </c>
      <c r="AK309" s="40" t="n">
        <f aca="false">$E$306*(CHOOSE($L$306,Timing!Z$7,Timing!Z$8)-CHOOSE($L$306,Timing!Y$7,Timing!Y$8))</f>
        <v>0.00583333333333335</v>
      </c>
      <c r="AL309" s="40" t="n">
        <f aca="false">$E$306*(CHOOSE($L$306,Timing!AA$7,Timing!AA$8)-CHOOSE($L$306,Timing!Z$7,Timing!Z$8))</f>
        <v>0.00583333333333331</v>
      </c>
    </row>
    <row r="310" customFormat="false" ht="15" hidden="false" customHeight="false" outlineLevel="0" collapsed="false">
      <c r="B310" s="9" t="s">
        <v>186</v>
      </c>
      <c r="N310" s="42" t="n">
        <f aca="false">0</f>
        <v>0</v>
      </c>
      <c r="O310" s="42" t="n">
        <f aca="false">$D$306*(1+IF($C$306&lt;=0,0,MAX($C$306*O$5/12,Inputs!$C$8)))+$I$306*(O$5&gt;Inputs!$C$12)*$D$306*(1+Inputs!$C$11*(O$5-Inputs!$C$12)/12)</f>
        <v>735</v>
      </c>
      <c r="P310" s="42" t="n">
        <f aca="false">$D$306*(1+IF($C$306&lt;=0,0,MAX($C$306*P$5/12,Inputs!$C$8)))+$I$306*(P$5&gt;Inputs!$C$12)*$D$306*(1+Inputs!$C$11*(P$5-Inputs!$C$12)/12)</f>
        <v>735</v>
      </c>
      <c r="Q310" s="42" t="n">
        <f aca="false">$D$306*(1+IF($C$306&lt;=0,0,MAX($C$306*Q$5/12,Inputs!$C$8)))+$I$306*(Q$5&gt;Inputs!$C$12)*$D$306*(1+Inputs!$C$11*(Q$5-Inputs!$C$12)/12)</f>
        <v>735</v>
      </c>
      <c r="R310" s="42" t="n">
        <f aca="false">$D$306*(1+IF($C$306&lt;=0,0,MAX($C$306*R$5/12,Inputs!$C$8)))+$I$306*(R$5&gt;Inputs!$C$12)*$D$306*(1+Inputs!$C$11*(R$5-Inputs!$C$12)/12)</f>
        <v>735</v>
      </c>
      <c r="S310" s="42" t="n">
        <f aca="false">$D$306*(1+IF($C$306&lt;=0,0,MAX($C$306*S$5/12,Inputs!$C$8)))+$I$306*(S$5&gt;Inputs!$C$12)*$D$306*(1+Inputs!$C$11*(S$5-Inputs!$C$12)/12)</f>
        <v>735</v>
      </c>
      <c r="T310" s="42" t="n">
        <f aca="false">$D$306*(1+IF($C$306&lt;=0,0,MAX($C$306*T$5/12,Inputs!$C$8)))+$I$306*(T$5&gt;Inputs!$C$12)*$D$306*(1+Inputs!$C$11*(T$5-Inputs!$C$12)/12)</f>
        <v>735</v>
      </c>
      <c r="U310" s="42" t="n">
        <f aca="false">$D$306*(1+IF($C$306&lt;=0,0,MAX($C$306*U$5/12,Inputs!$C$8)))+$I$306*(U$5&gt;Inputs!$C$12)*$D$306*(1+Inputs!$C$11*(U$5-Inputs!$C$12)/12)</f>
        <v>735</v>
      </c>
      <c r="V310" s="42" t="n">
        <f aca="false">$D$306*(1+IF($C$306&lt;=0,0,MAX($C$306*V$5/12,Inputs!$C$8)))+$I$306*(V$5&gt;Inputs!$C$12)*$D$306*(1+Inputs!$C$11*(V$5-Inputs!$C$12)/12)</f>
        <v>735</v>
      </c>
      <c r="W310" s="42" t="n">
        <f aca="false">$D$306*(1+IF($C$306&lt;=0,0,MAX($C$306*W$5/12,Inputs!$C$8)))+$I$306*(W$5&gt;Inputs!$C$12)*$D$306*(1+Inputs!$C$11*(W$5-Inputs!$C$12)/12)</f>
        <v>735</v>
      </c>
      <c r="X310" s="42" t="n">
        <f aca="false">$D$306*(1+IF($C$306&lt;=0,0,MAX($C$306*X$5/12,Inputs!$C$8)))+$I$306*(X$5&gt;Inputs!$C$12)*$D$306*(1+Inputs!$C$11*(X$5-Inputs!$C$12)/12)</f>
        <v>735</v>
      </c>
      <c r="Y310" s="42" t="n">
        <f aca="false">$D$306*(1+IF($C$306&lt;=0,0,MAX($C$306*Y$5/12,Inputs!$C$8)))+$I$306*(Y$5&gt;Inputs!$C$12)*$D$306*(1+Inputs!$C$11*(Y$5-Inputs!$C$12)/12)</f>
        <v>735</v>
      </c>
      <c r="Z310" s="42" t="n">
        <f aca="false">$D$306*(1+IF($C$306&lt;=0,0,MAX($C$306*Z$5/12,Inputs!$C$8)))+$I$306*(Z$5&gt;Inputs!$C$12)*$D$306*(1+Inputs!$C$11*(Z$5-Inputs!$C$12)/12)</f>
        <v>735</v>
      </c>
      <c r="AA310" s="42" t="n">
        <f aca="false">$D$306*(1+IF($C$306&lt;=0,0,MAX($C$306*AA$5/12,Inputs!$C$8)))+$I$306*(AA$5&gt;Inputs!$C$12)*$D$306*(1+Inputs!$C$11*(AA$5-Inputs!$C$12)/12)</f>
        <v>735</v>
      </c>
      <c r="AB310" s="42" t="n">
        <f aca="false">$D$306*(1+IF($C$306&lt;=0,0,MAX($C$306*AB$5/12,Inputs!$C$8)))+$I$306*(AB$5&gt;Inputs!$C$12)*$D$306*(1+Inputs!$C$11*(AB$5-Inputs!$C$12)/12)</f>
        <v>735</v>
      </c>
      <c r="AC310" s="42" t="n">
        <f aca="false">$D$306*(1+IF($C$306&lt;=0,0,MAX($C$306*AC$5/12,Inputs!$C$8)))+$I$306*(AC$5&gt;Inputs!$C$12)*$D$306*(1+Inputs!$C$11*(AC$5-Inputs!$C$12)/12)</f>
        <v>735</v>
      </c>
      <c r="AD310" s="42" t="n">
        <f aca="false">$D$306*(1+IF($C$306&lt;=0,0,MAX($C$306*AD$5/12,Inputs!$C$8)))+$I$306*(AD$5&gt;Inputs!$C$12)*$D$306*(1+Inputs!$C$11*(AD$5-Inputs!$C$12)/12)</f>
        <v>735</v>
      </c>
      <c r="AE310" s="42" t="n">
        <f aca="false">$D$306*(1+IF($C$306&lt;=0,0,MAX($C$306*AE$5/12,Inputs!$C$8)))+$I$306*(AE$5&gt;Inputs!$C$12)*$D$306*(1+Inputs!$C$11*(AE$5-Inputs!$C$12)/12)</f>
        <v>735</v>
      </c>
      <c r="AF310" s="42" t="n">
        <f aca="false">$D$306*(1+IF($C$306&lt;=0,0,MAX($C$306*AF$5/12,Inputs!$C$8)))+$I$306*(AF$5&gt;Inputs!$C$12)*$D$306*(1+Inputs!$C$11*(AF$5-Inputs!$C$12)/12)</f>
        <v>735</v>
      </c>
      <c r="AG310" s="42" t="n">
        <f aca="false">$D$306*(1+IF($C$306&lt;=0,0,MAX($C$306*AG$5/12,Inputs!$C$8)))+$I$306*(AG$5&gt;Inputs!$C$12)*$D$306*(1+Inputs!$C$11*(AG$5-Inputs!$C$12)/12)</f>
        <v>735</v>
      </c>
      <c r="AH310" s="42" t="n">
        <f aca="false">$D$306*(1+IF($C$306&lt;=0,0,MAX($C$306*AH$5/12,Inputs!$C$8)))+$I$306*(AH$5&gt;Inputs!$C$12)*$D$306*(1+Inputs!$C$11*(AH$5-Inputs!$C$12)/12)</f>
        <v>735</v>
      </c>
      <c r="AI310" s="42" t="n">
        <f aca="false">$D$306*(1+IF($C$306&lt;=0,0,MAX($C$306*AI$5/12,Inputs!$C$8)))+$I$306*(AI$5&gt;Inputs!$C$12)*$D$306*(1+Inputs!$C$11*(AI$5-Inputs!$C$12)/12)</f>
        <v>735</v>
      </c>
      <c r="AJ310" s="42" t="n">
        <f aca="false">$D$306*(1+IF($C$306&lt;=0,0,MAX($C$306*AJ$5/12,Inputs!$C$8)))+$I$306*(AJ$5&gt;Inputs!$C$12)*$D$306*(1+Inputs!$C$11*(AJ$5-Inputs!$C$12)/12)</f>
        <v>735</v>
      </c>
      <c r="AK310" s="42" t="n">
        <f aca="false">$D$306*(1+IF($C$306&lt;=0,0,MAX($C$306*AK$5/12,Inputs!$C$8)))+$I$306*(AK$5&gt;Inputs!$C$12)*$D$306*(1+Inputs!$C$11*(AK$5-Inputs!$C$12)/12)</f>
        <v>735</v>
      </c>
      <c r="AL310" s="42" t="n">
        <f aca="false">$D$306*(1+IF($C$306&lt;=0,0,MAX($C$306*AL$5/12,Inputs!$C$8)))+$I$306*(AL$5&gt;Inputs!$C$12)*$D$306*(1+Inputs!$C$11*(AL$5-Inputs!$C$12)/12)</f>
        <v>735</v>
      </c>
    </row>
    <row r="311" customFormat="false" ht="15" hidden="false" customHeight="false" outlineLevel="0" collapsed="false">
      <c r="B311" s="31" t="s">
        <v>187</v>
      </c>
      <c r="N311" s="42" t="n">
        <f aca="false">-($D$306+$J$306)*(N$5=0)+IF(AND(N$5-$K$306&gt;=1,N$5-$K$306&lt;=Inputs!$C$13),INDEX($N$309:$AL$309,1,N$5-$K$306+1)*INDEX($N$310:$AL$310,1,N$5-$K$306+1),0)-$I$306*((N$5=Inputs!$C$12)*$C$308*$D$306+(N$5=Inputs!$C$13)*$D$308*($D$306+Inputs!$C$14))+$I$306*((N$5=Inputs!$C$15+$K$306)*$E$308*$I$308+(N$5=Inputs!$C$16+$K$306)*$F$308*$J$308+(N$5=Inputs!$C$17)*$G$308*$H$306*$H$308)</f>
        <v>-710</v>
      </c>
      <c r="O311" s="42" t="n">
        <f aca="false">-($D$306+$J$306)*(O$5=0)+IF(AND(O$5-$K$306&gt;=1,O$5-$K$306&lt;=Inputs!$C$13),INDEX($N$309:$AL$309,1,O$5-$K$306+1)*INDEX($N$310:$AL$310,1,O$5-$K$306+1),0)-$I$306*((O$5=Inputs!$C$12)*$C$308*$D$306+(O$5=Inputs!$C$13)*$D$308*($D$306+Inputs!$C$14))+$I$306*((O$5=Inputs!$C$15+$K$306)*$E$308*$I$308+(O$5=Inputs!$C$16+$K$306)*$F$308*$J$308+(O$5=Inputs!$C$17)*$G$308*$H$306*$H$308)</f>
        <v>0</v>
      </c>
      <c r="P311" s="42" t="n">
        <f aca="false">-($D$306+$J$306)*(P$5=0)+IF(AND(P$5-$K$306&gt;=1,P$5-$K$306&lt;=Inputs!$C$13),INDEX($N$309:$AL$309,1,P$5-$K$306+1)*INDEX($N$310:$AL$310,1,P$5-$K$306+1),0)-$I$306*((P$5=Inputs!$C$12)*$C$308*$D$306+(P$5=Inputs!$C$13)*$D$308*($D$306+Inputs!$C$14))+$I$306*((P$5=Inputs!$C$15+$K$306)*$E$308*$I$308+(P$5=Inputs!$C$16+$K$306)*$F$308*$J$308+(P$5=Inputs!$C$17)*$G$308*$H$306*$H$308)</f>
        <v>30.87</v>
      </c>
      <c r="Q311" s="42" t="n">
        <f aca="false">-($D$306+$J$306)*(Q$5=0)+IF(AND(Q$5-$K$306&gt;=1,Q$5-$K$306&lt;=Inputs!$C$13),INDEX($N$309:$AL$309,1,Q$5-$K$306+1)*INDEX($N$310:$AL$310,1,Q$5-$K$306+1),0)-$I$306*((Q$5=Inputs!$C$12)*$C$308*$D$306+(Q$5=Inputs!$C$13)*$D$308*($D$306+Inputs!$C$14))+$I$306*((Q$5=Inputs!$C$15+$K$306)*$E$308*$I$308+(Q$5=Inputs!$C$16+$K$306)*$F$308*$J$308+(Q$5=Inputs!$C$17)*$G$308*$H$306*$H$308)</f>
        <v>25.725</v>
      </c>
      <c r="R311" s="42" t="n">
        <f aca="false">-($D$306+$J$306)*(R$5=0)+IF(AND(R$5-$K$306&gt;=1,R$5-$K$306&lt;=Inputs!$C$13),INDEX($N$309:$AL$309,1,R$5-$K$306+1)*INDEX($N$310:$AL$310,1,R$5-$K$306+1),0)-$I$306*((R$5=Inputs!$C$12)*$C$308*$D$306+(R$5=Inputs!$C$13)*$D$308*($D$306+Inputs!$C$14))+$I$306*((R$5=Inputs!$C$15+$K$306)*$E$308*$I$308+(R$5=Inputs!$C$16+$K$306)*$F$308*$J$308+(R$5=Inputs!$C$17)*$G$308*$H$306*$H$308)</f>
        <v>23.1525</v>
      </c>
      <c r="S311" s="42" t="n">
        <f aca="false">-($D$306+$J$306)*(S$5=0)+IF(AND(S$5-$K$306&gt;=1,S$5-$K$306&lt;=Inputs!$C$13),INDEX($N$309:$AL$309,1,S$5-$K$306+1)*INDEX($N$310:$AL$310,1,S$5-$K$306+1),0)-$I$306*((S$5=Inputs!$C$12)*$C$308*$D$306+(S$5=Inputs!$C$13)*$D$308*($D$306+Inputs!$C$14))+$I$306*((S$5=Inputs!$C$15+$K$306)*$E$308*$I$308+(S$5=Inputs!$C$16+$K$306)*$F$308*$J$308+(S$5=Inputs!$C$17)*$G$308*$H$306*$H$308)</f>
        <v>18.0075</v>
      </c>
      <c r="T311" s="42" t="n">
        <f aca="false">-($D$306+$J$306)*(T$5=0)+IF(AND(T$5-$K$306&gt;=1,T$5-$K$306&lt;=Inputs!$C$13),INDEX($N$309:$AL$309,1,T$5-$K$306+1)*INDEX($N$310:$AL$310,1,T$5-$K$306+1),0)-$I$306*((T$5=Inputs!$C$12)*$C$308*$D$306+(T$5=Inputs!$C$13)*$D$308*($D$306+Inputs!$C$14))+$I$306*((T$5=Inputs!$C$15+$K$306)*$E$308*$I$308+(T$5=Inputs!$C$16+$K$306)*$F$308*$J$308+(T$5=Inputs!$C$17)*$G$308*$H$306*$H$308)</f>
        <v>18.0075</v>
      </c>
      <c r="U311" s="42" t="n">
        <f aca="false">-($D$306+$J$306)*(U$5=0)+IF(AND(U$5-$K$306&gt;=1,U$5-$K$306&lt;=Inputs!$C$13),INDEX($N$309:$AL$309,1,U$5-$K$306+1)*INDEX($N$310:$AL$310,1,U$5-$K$306+1),0)-$I$306*((U$5=Inputs!$C$12)*$C$308*$D$306+(U$5=Inputs!$C$13)*$D$308*($D$306+Inputs!$C$14))+$I$306*((U$5=Inputs!$C$15+$K$306)*$E$308*$I$308+(U$5=Inputs!$C$16+$K$306)*$F$308*$J$308+(U$5=Inputs!$C$17)*$G$308*$H$306*$H$308)</f>
        <v>18.0075</v>
      </c>
      <c r="V311" s="42" t="n">
        <f aca="false">-($D$306+$J$306)*(V$5=0)+IF(AND(V$5-$K$306&gt;=1,V$5-$K$306&lt;=Inputs!$C$13),INDEX($N$309:$AL$309,1,V$5-$K$306+1)*INDEX($N$310:$AL$310,1,V$5-$K$306+1),0)-$I$306*((V$5=Inputs!$C$12)*$C$308*$D$306+(V$5=Inputs!$C$13)*$D$308*($D$306+Inputs!$C$14))+$I$306*((V$5=Inputs!$C$15+$K$306)*$E$308*$I$308+(V$5=Inputs!$C$16+$K$306)*$F$308*$J$308+(V$5=Inputs!$C$17)*$G$308*$H$306*$H$308)</f>
        <v>11.1475</v>
      </c>
      <c r="W311" s="42" t="n">
        <f aca="false">-($D$306+$J$306)*(W$5=0)+IF(AND(W$5-$K$306&gt;=1,W$5-$K$306&lt;=Inputs!$C$13),INDEX($N$309:$AL$309,1,W$5-$K$306+1)*INDEX($N$310:$AL$310,1,W$5-$K$306+1),0)-$I$306*((W$5=Inputs!$C$12)*$C$308*$D$306+(W$5=Inputs!$C$13)*$D$308*($D$306+Inputs!$C$14))+$I$306*((W$5=Inputs!$C$15+$K$306)*$E$308*$I$308+(W$5=Inputs!$C$16+$K$306)*$F$308*$J$308+(W$5=Inputs!$C$17)*$G$308*$H$306*$H$308)</f>
        <v>11.1475</v>
      </c>
      <c r="X311" s="42" t="n">
        <f aca="false">-($D$306+$J$306)*(X$5=0)+IF(AND(X$5-$K$306&gt;=1,X$5-$K$306&lt;=Inputs!$C$13),INDEX($N$309:$AL$309,1,X$5-$K$306+1)*INDEX($N$310:$AL$310,1,X$5-$K$306+1),0)-$I$306*((X$5=Inputs!$C$12)*$C$308*$D$306+(X$5=Inputs!$C$13)*$D$308*($D$306+Inputs!$C$14))+$I$306*((X$5=Inputs!$C$15+$K$306)*$E$308*$I$308+(X$5=Inputs!$C$16+$K$306)*$F$308*$J$308+(X$5=Inputs!$C$17)*$G$308*$H$306*$H$308)</f>
        <v>11.1475</v>
      </c>
      <c r="Y311" s="42" t="n">
        <f aca="false">-($D$306+$J$306)*(Y$5=0)+IF(AND(Y$5-$K$306&gt;=1,Y$5-$K$306&lt;=Inputs!$C$13),INDEX($N$309:$AL$309,1,Y$5-$K$306+1)*INDEX($N$310:$AL$310,1,Y$5-$K$306+1),0)-$I$306*((Y$5=Inputs!$C$12)*$C$308*$D$306+(Y$5=Inputs!$C$13)*$D$308*($D$306+Inputs!$C$14))+$I$306*((Y$5=Inputs!$C$15+$K$306)*$E$308*$I$308+(Y$5=Inputs!$C$16+$K$306)*$F$308*$J$308+(Y$5=Inputs!$C$17)*$G$308*$H$306*$H$308)</f>
        <v>9.43249999999999</v>
      </c>
      <c r="Z311" s="42" t="n">
        <f aca="false">-($D$306+$J$306)*(Z$5=0)+IF(AND(Z$5-$K$306&gt;=1,Z$5-$K$306&lt;=Inputs!$C$13),INDEX($N$309:$AL$309,1,Z$5-$K$306+1)*INDEX($N$310:$AL$310,1,Z$5-$K$306+1),0)-$I$306*((Z$5=Inputs!$C$12)*$C$308*$D$306+(Z$5=Inputs!$C$13)*$D$308*($D$306+Inputs!$C$14))+$I$306*((Z$5=Inputs!$C$15+$K$306)*$E$308*$I$308+(Z$5=Inputs!$C$16+$K$306)*$F$308*$J$308+(Z$5=Inputs!$C$17)*$G$308*$H$306*$H$308)</f>
        <v>9.43250000000002</v>
      </c>
      <c r="AA311" s="42" t="n">
        <f aca="false">-($D$306+$J$306)*(AA$5=0)+IF(AND(AA$5-$K$306&gt;=1,AA$5-$K$306&lt;=Inputs!$C$13),INDEX($N$309:$AL$309,1,AA$5-$K$306+1)*INDEX($N$310:$AL$310,1,AA$5-$K$306+1),0)-$I$306*((AA$5=Inputs!$C$12)*$C$308*$D$306+(AA$5=Inputs!$C$13)*$D$308*($D$306+Inputs!$C$14))+$I$306*((AA$5=Inputs!$C$15+$K$306)*$E$308*$I$308+(AA$5=Inputs!$C$16+$K$306)*$F$308*$J$308+(AA$5=Inputs!$C$17)*$G$308*$H$306*$H$308)</f>
        <v>9.43249999999999</v>
      </c>
      <c r="AB311" s="42" t="n">
        <f aca="false">-($D$306+$J$306)*(AB$5=0)+IF(AND(AB$5-$K$306&gt;=1,AB$5-$K$306&lt;=Inputs!$C$13),INDEX($N$309:$AL$309,1,AB$5-$K$306+1)*INDEX($N$310:$AL$310,1,AB$5-$K$306+1),0)-$I$306*((AB$5=Inputs!$C$12)*$C$308*$D$306+(AB$5=Inputs!$C$13)*$D$308*($D$306+Inputs!$C$14))+$I$306*((AB$5=Inputs!$C$15+$K$306)*$E$308*$I$308+(AB$5=Inputs!$C$16+$K$306)*$F$308*$J$308+(AB$5=Inputs!$C$17)*$G$308*$H$306*$H$308)</f>
        <v>6.0025</v>
      </c>
      <c r="AC311" s="42" t="n">
        <f aca="false">-($D$306+$J$306)*(AC$5=0)+IF(AND(AC$5-$K$306&gt;=1,AC$5-$K$306&lt;=Inputs!$C$13),INDEX($N$309:$AL$309,1,AC$5-$K$306+1)*INDEX($N$310:$AL$310,1,AC$5-$K$306+1),0)-$I$306*((AC$5=Inputs!$C$12)*$C$308*$D$306+(AC$5=Inputs!$C$13)*$D$308*($D$306+Inputs!$C$14))+$I$306*((AC$5=Inputs!$C$15+$K$306)*$E$308*$I$308+(AC$5=Inputs!$C$16+$K$306)*$F$308*$J$308+(AC$5=Inputs!$C$17)*$G$308*$H$306*$H$308)</f>
        <v>6.0025</v>
      </c>
      <c r="AD311" s="42" t="n">
        <f aca="false">-($D$306+$J$306)*(AD$5=0)+IF(AND(AD$5-$K$306&gt;=1,AD$5-$K$306&lt;=Inputs!$C$13),INDEX($N$309:$AL$309,1,AD$5-$K$306+1)*INDEX($N$310:$AL$310,1,AD$5-$K$306+1),0)-$I$306*((AD$5=Inputs!$C$12)*$C$308*$D$306+(AD$5=Inputs!$C$13)*$D$308*($D$306+Inputs!$C$14))+$I$306*((AD$5=Inputs!$C$15+$K$306)*$E$308*$I$308+(AD$5=Inputs!$C$16+$K$306)*$F$308*$J$308+(AD$5=Inputs!$C$17)*$G$308*$H$306*$H$308)</f>
        <v>6.00250000000002</v>
      </c>
      <c r="AE311" s="42" t="n">
        <f aca="false">-($D$306+$J$306)*(AE$5=0)+IF(AND(AE$5-$K$306&gt;=1,AE$5-$K$306&lt;=Inputs!$C$13),INDEX($N$309:$AL$309,1,AE$5-$K$306+1)*INDEX($N$310:$AL$310,1,AE$5-$K$306+1),0)-$I$306*((AE$5=Inputs!$C$12)*$C$308*$D$306+(AE$5=Inputs!$C$13)*$D$308*($D$306+Inputs!$C$14))+$I$306*((AE$5=Inputs!$C$15+$K$306)*$E$308*$I$308+(AE$5=Inputs!$C$16+$K$306)*$F$308*$J$308+(AE$5=Inputs!$C$17)*$G$308*$H$306*$H$308)</f>
        <v>6.0025</v>
      </c>
      <c r="AF311" s="42" t="n">
        <f aca="false">-($D$306+$J$306)*(AF$5=0)+IF(AND(AF$5-$K$306&gt;=1,AF$5-$K$306&lt;=Inputs!$C$13),INDEX($N$309:$AL$309,1,AF$5-$K$306+1)*INDEX($N$310:$AL$310,1,AF$5-$K$306+1),0)-$I$306*((AF$5=Inputs!$C$12)*$C$308*$D$306+(AF$5=Inputs!$C$13)*$D$308*($D$306+Inputs!$C$14))+$I$306*((AF$5=Inputs!$C$15+$K$306)*$E$308*$I$308+(AF$5=Inputs!$C$16+$K$306)*$F$308*$J$308+(AF$5=Inputs!$C$17)*$G$308*$H$306*$H$308)</f>
        <v>6.0025</v>
      </c>
      <c r="AG311" s="42" t="n">
        <f aca="false">-($D$306+$J$306)*(AG$5=0)+IF(AND(AG$5-$K$306&gt;=1,AG$5-$K$306&lt;=Inputs!$C$13),INDEX($N$309:$AL$309,1,AG$5-$K$306+1)*INDEX($N$310:$AL$310,1,AG$5-$K$306+1),0)-$I$306*((AG$5=Inputs!$C$12)*$C$308*$D$306+(AG$5=Inputs!$C$13)*$D$308*($D$306+Inputs!$C$14))+$I$306*((AG$5=Inputs!$C$15+$K$306)*$E$308*$I$308+(AG$5=Inputs!$C$16+$K$306)*$F$308*$J$308+(AG$5=Inputs!$C$17)*$G$308*$H$306*$H$308)</f>
        <v>6.0025</v>
      </c>
      <c r="AH311" s="42" t="n">
        <f aca="false">-($D$306+$J$306)*(AH$5=0)+IF(AND(AH$5-$K$306&gt;=1,AH$5-$K$306&lt;=Inputs!$C$13),INDEX($N$309:$AL$309,1,AH$5-$K$306+1)*INDEX($N$310:$AL$310,1,AH$5-$K$306+1),0)-$I$306*((AH$5=Inputs!$C$12)*$C$308*$D$306+(AH$5=Inputs!$C$13)*$D$308*($D$306+Inputs!$C$14))+$I$306*((AH$5=Inputs!$C$15+$K$306)*$E$308*$I$308+(AH$5=Inputs!$C$16+$K$306)*$F$308*$J$308+(AH$5=Inputs!$C$17)*$G$308*$H$306*$H$308)</f>
        <v>4.28750000000001</v>
      </c>
      <c r="AI311" s="42" t="n">
        <f aca="false">-($D$306+$J$306)*(AI$5=0)+IF(AND(AI$5-$K$306&gt;=1,AI$5-$K$306&lt;=Inputs!$C$13),INDEX($N$309:$AL$309,1,AI$5-$K$306+1)*INDEX($N$310:$AL$310,1,AI$5-$K$306+1),0)-$I$306*((AI$5=Inputs!$C$12)*$C$308*$D$306+(AI$5=Inputs!$C$13)*$D$308*($D$306+Inputs!$C$14))+$I$306*((AI$5=Inputs!$C$15+$K$306)*$E$308*$I$308+(AI$5=Inputs!$C$16+$K$306)*$F$308*$J$308+(AI$5=Inputs!$C$17)*$G$308*$H$306*$H$308)</f>
        <v>4.28749999999998</v>
      </c>
      <c r="AJ311" s="42" t="n">
        <f aca="false">-($D$306+$J$306)*(AJ$5=0)+IF(AND(AJ$5-$K$306&gt;=1,AJ$5-$K$306&lt;=Inputs!$C$13),INDEX($N$309:$AL$309,1,AJ$5-$K$306+1)*INDEX($N$310:$AL$310,1,AJ$5-$K$306+1),0)-$I$306*((AJ$5=Inputs!$C$12)*$C$308*$D$306+(AJ$5=Inputs!$C$13)*$D$308*($D$306+Inputs!$C$14))+$I$306*((AJ$5=Inputs!$C$15+$K$306)*$E$308*$I$308+(AJ$5=Inputs!$C$16+$K$306)*$F$308*$J$308+(AJ$5=Inputs!$C$17)*$G$308*$H$306*$H$308)</f>
        <v>4.28749999999998</v>
      </c>
      <c r="AK311" s="42" t="n">
        <f aca="false">-($D$306+$J$306)*(AK$5=0)+IF(AND(AK$5-$K$306&gt;=1,AK$5-$K$306&lt;=Inputs!$C$13),INDEX($N$309:$AL$309,1,AK$5-$K$306+1)*INDEX($N$310:$AL$310,1,AK$5-$K$306+1),0)-$I$306*((AK$5=Inputs!$C$12)*$C$308*$D$306+(AK$5=Inputs!$C$13)*$D$308*($D$306+Inputs!$C$14))+$I$306*((AK$5=Inputs!$C$15+$K$306)*$E$308*$I$308+(AK$5=Inputs!$C$16+$K$306)*$F$308*$J$308+(AK$5=Inputs!$C$17)*$G$308*$H$306*$H$308)</f>
        <v>4.28750000000001</v>
      </c>
      <c r="AL311" s="42" t="n">
        <f aca="false">-($D$306+$J$306)*(AL$5=0)+IF(AND(AL$5-$K$306&gt;=1,AL$5-$K$306&lt;=Inputs!$C$13),INDEX($N$309:$AL$309,1,AL$5-$K$306+1)*INDEX($N$310:$AL$310,1,AL$5-$K$306+1),0)-$I$306*((AL$5=Inputs!$C$12)*$C$308*$D$306+(AL$5=Inputs!$C$13)*$D$308*($D$306+Inputs!$C$14))+$I$306*((AL$5=Inputs!$C$15+$K$306)*$E$308*$I$308+(AL$5=Inputs!$C$16+$K$306)*$F$308*$J$308+(AL$5=Inputs!$C$17)*$G$308*$H$306*$H$308)</f>
        <v>4.28750000000001</v>
      </c>
      <c r="AM311" s="42" t="n">
        <f aca="false">-($D$306+$J$306)*(AM$5=0)+IF(AND(AM$5-$K$306&gt;=1,AM$5-$K$306&lt;=Inputs!$C$13),INDEX($N$309:$AL$309,1,AM$5-$K$306+1)*INDEX($N$310:$AL$310,1,AM$5-$K$306+1),0)-$I$306*((AM$5=Inputs!$C$12)*$C$308*$D$306+(AM$5=Inputs!$C$13)*$D$308*($D$306+Inputs!$C$14))+$I$306*((AM$5=Inputs!$C$15+$K$306)*$E$308*$I$308+(AM$5=Inputs!$C$16+$K$306)*$F$308*$J$308+(AM$5=Inputs!$C$17)*$G$308*$H$306*$H$308)</f>
        <v>4.28749999999998</v>
      </c>
      <c r="AN311" s="42" t="n">
        <f aca="false">-($D$306+$J$306)*(AN$5=0)+IF(AND(AN$5-$K$306&gt;=1,AN$5-$K$306&lt;=Inputs!$C$13),INDEX($N$309:$AL$309,1,AN$5-$K$306+1)*INDEX($N$310:$AL$310,1,AN$5-$K$306+1),0)-$I$306*((AN$5=Inputs!$C$12)*$C$308*$D$306+(AN$5=Inputs!$C$13)*$D$308*($D$306+Inputs!$C$14))+$I$306*((AN$5=Inputs!$C$15+$K$306)*$E$308*$I$308+(AN$5=Inputs!$C$16+$K$306)*$F$308*$J$308+(AN$5=Inputs!$C$17)*$G$308*$H$306*$H$308)</f>
        <v>0</v>
      </c>
      <c r="AO311" s="42" t="n">
        <f aca="false">-($D$306+$J$306)*(AO$5=0)+IF(AND(AO$5-$K$306&gt;=1,AO$5-$K$306&lt;=Inputs!$C$13),INDEX($N$309:$AL$309,1,AO$5-$K$306+1)*INDEX($N$310:$AL$310,1,AO$5-$K$306+1),0)-$I$306*((AO$5=Inputs!$C$12)*$C$308*$D$306+(AO$5=Inputs!$C$13)*$D$308*($D$306+Inputs!$C$14))+$I$306*((AO$5=Inputs!$C$15+$K$306)*$E$308*$I$308+(AO$5=Inputs!$C$16+$K$306)*$F$308*$J$308+(AO$5=Inputs!$C$17)*$G$308*$H$306*$H$308)</f>
        <v>0</v>
      </c>
      <c r="AP311" s="42" t="n">
        <f aca="false">-($D$306+$J$306)*(AP$5=0)+IF(AND(AP$5-$K$306&gt;=1,AP$5-$K$306&lt;=Inputs!$C$13),INDEX($N$309:$AL$309,1,AP$5-$K$306+1)*INDEX($N$310:$AL$310,1,AP$5-$K$306+1),0)-$I$306*((AP$5=Inputs!$C$12)*$C$308*$D$306+(AP$5=Inputs!$C$13)*$D$308*($D$306+Inputs!$C$14))+$I$306*((AP$5=Inputs!$C$15+$K$306)*$E$308*$I$308+(AP$5=Inputs!$C$16+$K$306)*$F$308*$J$308+(AP$5=Inputs!$C$17)*$G$308*$H$306*$H$308)</f>
        <v>0</v>
      </c>
      <c r="AQ311" s="42" t="n">
        <f aca="false">-($D$306+$J$306)*(AQ$5=0)+IF(AND(AQ$5-$K$306&gt;=1,AQ$5-$K$306&lt;=Inputs!$C$13),INDEX($N$309:$AL$309,1,AQ$5-$K$306+1)*INDEX($N$310:$AL$310,1,AQ$5-$K$306+1),0)-$I$306*((AQ$5=Inputs!$C$12)*$C$308*$D$306+(AQ$5=Inputs!$C$13)*$D$308*($D$306+Inputs!$C$14))+$I$306*((AQ$5=Inputs!$C$15+$K$306)*$E$308*$I$308+(AQ$5=Inputs!$C$16+$K$306)*$F$308*$J$308+(AQ$5=Inputs!$C$17)*$G$308*$H$306*$H$308)</f>
        <v>0</v>
      </c>
      <c r="AR311" s="42" t="n">
        <f aca="false">-($D$306+$J$306)*(AR$5=0)+IF(AND(AR$5-$K$306&gt;=1,AR$5-$K$306&lt;=Inputs!$C$13),INDEX($N$309:$AL$309,1,AR$5-$K$306+1)*INDEX($N$310:$AL$310,1,AR$5-$K$306+1),0)-$I$306*((AR$5=Inputs!$C$12)*$C$308*$D$306+(AR$5=Inputs!$C$13)*$D$308*($D$306+Inputs!$C$14))+$I$306*((AR$5=Inputs!$C$15+$K$306)*$E$308*$I$308+(AR$5=Inputs!$C$16+$K$306)*$F$308*$J$308+(AR$5=Inputs!$C$17)*$G$308*$H$306*$H$308)</f>
        <v>0</v>
      </c>
      <c r="AS311" s="42" t="n">
        <f aca="false">-($D$306+$J$306)*(AS$5=0)+IF(AND(AS$5-$K$306&gt;=1,AS$5-$K$306&lt;=Inputs!$C$13),INDEX($N$309:$AL$309,1,AS$5-$K$306+1)*INDEX($N$310:$AL$310,1,AS$5-$K$306+1),0)-$I$306*((AS$5=Inputs!$C$12)*$C$308*$D$306+(AS$5=Inputs!$C$13)*$D$308*($D$306+Inputs!$C$14))+$I$306*((AS$5=Inputs!$C$15+$K$306)*$E$308*$I$308+(AS$5=Inputs!$C$16+$K$306)*$F$308*$J$308+(AS$5=Inputs!$C$17)*$G$308*$H$306*$H$308)</f>
        <v>0</v>
      </c>
      <c r="AT311" s="42" t="n">
        <f aca="false">-($D$306+$J$306)*(AT$5=0)+IF(AND(AT$5-$K$306&gt;=1,AT$5-$K$306&lt;=Inputs!$C$13),INDEX($N$309:$AL$309,1,AT$5-$K$306+1)*INDEX($N$310:$AL$310,1,AT$5-$K$306+1),0)-$I$306*((AT$5=Inputs!$C$12)*$C$308*$D$306+(AT$5=Inputs!$C$13)*$D$308*($D$306+Inputs!$C$14))+$I$306*((AT$5=Inputs!$C$15+$K$306)*$E$308*$I$308+(AT$5=Inputs!$C$16+$K$306)*$F$308*$J$308+(AT$5=Inputs!$C$17)*$G$308*$H$306*$H$308)</f>
        <v>0</v>
      </c>
      <c r="AU311" s="42" t="n">
        <f aca="false">-($D$306+$J$306)*(AU$5=0)+IF(AND(AU$5-$K$306&gt;=1,AU$5-$K$306&lt;=Inputs!$C$13),INDEX($N$309:$AL$309,1,AU$5-$K$306+1)*INDEX($N$310:$AL$310,1,AU$5-$K$306+1),0)-$I$306*((AU$5=Inputs!$C$12)*$C$308*$D$306+(AU$5=Inputs!$C$13)*$D$308*($D$306+Inputs!$C$14))+$I$306*((AU$5=Inputs!$C$15+$K$306)*$E$308*$I$308+(AU$5=Inputs!$C$16+$K$306)*$F$308*$J$308+(AU$5=Inputs!$C$17)*$G$308*$H$306*$H$308)</f>
        <v>0</v>
      </c>
      <c r="AV311" s="42" t="n">
        <f aca="false">-($D$306+$J$306)*(AV$5=0)+IF(AND(AV$5-$K$306&gt;=1,AV$5-$K$306&lt;=Inputs!$C$13),INDEX($N$309:$AL$309,1,AV$5-$K$306+1)*INDEX($N$310:$AL$310,1,AV$5-$K$306+1),0)-$I$306*((AV$5=Inputs!$C$12)*$C$308*$D$306+(AV$5=Inputs!$C$13)*$D$308*($D$306+Inputs!$C$14))+$I$306*((AV$5=Inputs!$C$15+$K$306)*$E$308*$I$308+(AV$5=Inputs!$C$16+$K$306)*$F$308*$J$308+(AV$5=Inputs!$C$17)*$G$308*$H$306*$H$308)</f>
        <v>0</v>
      </c>
      <c r="AW311" s="42" t="n">
        <f aca="false">-($D$306+$J$306)*(AW$5=0)+IF(AND(AW$5-$K$306&gt;=1,AW$5-$K$306&lt;=Inputs!$C$13),INDEX($N$309:$AL$309,1,AW$5-$K$306+1)*INDEX($N$310:$AL$310,1,AW$5-$K$306+1),0)-$I$306*((AW$5=Inputs!$C$12)*$C$308*$D$306+(AW$5=Inputs!$C$13)*$D$308*($D$306+Inputs!$C$14))+$I$306*((AW$5=Inputs!$C$15+$K$306)*$E$308*$I$308+(AW$5=Inputs!$C$16+$K$306)*$F$308*$J$308+(AW$5=Inputs!$C$17)*$G$308*$H$306*$H$308)</f>
        <v>0</v>
      </c>
      <c r="AX311" s="42" t="n">
        <f aca="false">-($D$306+$J$306)*(AX$5=0)+IF(AND(AX$5-$K$306&gt;=1,AX$5-$K$306&lt;=Inputs!$C$13),INDEX($N$309:$AL$309,1,AX$5-$K$306+1)*INDEX($N$310:$AL$310,1,AX$5-$K$306+1),0)-$I$306*((AX$5=Inputs!$C$12)*$C$308*$D$306+(AX$5=Inputs!$C$13)*$D$308*($D$306+Inputs!$C$14))+$I$306*((AX$5=Inputs!$C$15+$K$306)*$E$308*$I$308+(AX$5=Inputs!$C$16+$K$306)*$F$308*$J$308+(AX$5=Inputs!$C$17)*$G$308*$H$306*$H$308)</f>
        <v>0</v>
      </c>
      <c r="AY311" s="42" t="n">
        <f aca="false">-($D$306+$J$306)*(AY$5=0)+IF(AND(AY$5-$K$306&gt;=1,AY$5-$K$306&lt;=Inputs!$C$13),INDEX($N$309:$AL$309,1,AY$5-$K$306+1)*INDEX($N$310:$AL$310,1,AY$5-$K$306+1),0)-$I$306*((AY$5=Inputs!$C$12)*$C$308*$D$306+(AY$5=Inputs!$C$13)*$D$308*($D$306+Inputs!$C$14))+$I$306*((AY$5=Inputs!$C$15+$K$306)*$E$308*$I$308+(AY$5=Inputs!$C$16+$K$306)*$F$308*$J$308+(AY$5=Inputs!$C$17)*$G$308*$H$306*$H$308)</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AY1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12" min="3" style="0" width="12.5"/>
    <col collapsed="false" customWidth="true" hidden="false" outlineLevel="0" max="13" min="13" style="0" width="2"/>
    <col collapsed="false" customWidth="true" hidden="false" outlineLevel="0" max="51" min="14" style="0" width="10.5"/>
  </cols>
  <sheetData>
    <row r="1" customFormat="false" ht="6" hidden="false" customHeight="true" outlineLevel="0" collapsed="false"/>
    <row r="2" customFormat="false" ht="17.35" hidden="false" customHeight="false" outlineLevel="0" collapsed="false">
      <c r="B2" s="5" t="s">
        <v>221</v>
      </c>
    </row>
    <row r="3" customFormat="false" ht="15" hidden="false" customHeight="false" outlineLevel="0" collapsed="false">
      <c r="B3" s="6" t="s">
        <v>222</v>
      </c>
    </row>
    <row r="5" customFormat="false" ht="15" hidden="false" customHeight="false" outlineLevel="0" collapsed="false">
      <c r="B5" s="7" t="s">
        <v>167</v>
      </c>
      <c r="N5" s="24" t="n">
        <v>0</v>
      </c>
      <c r="O5" s="24" t="n">
        <v>1</v>
      </c>
      <c r="P5" s="24" t="n">
        <v>2</v>
      </c>
      <c r="Q5" s="24" t="n">
        <v>3</v>
      </c>
      <c r="R5" s="24" t="n">
        <v>4</v>
      </c>
      <c r="S5" s="24" t="n">
        <v>5</v>
      </c>
      <c r="T5" s="24" t="n">
        <v>6</v>
      </c>
      <c r="U5" s="24" t="n">
        <v>7</v>
      </c>
      <c r="V5" s="24" t="n">
        <v>8</v>
      </c>
      <c r="W5" s="24" t="n">
        <v>9</v>
      </c>
      <c r="X5" s="24" t="n">
        <v>10</v>
      </c>
      <c r="Y5" s="24" t="n">
        <v>11</v>
      </c>
      <c r="Z5" s="24" t="n">
        <v>12</v>
      </c>
      <c r="AA5" s="24" t="n">
        <v>13</v>
      </c>
      <c r="AB5" s="24" t="n">
        <v>14</v>
      </c>
      <c r="AC5" s="24" t="n">
        <v>15</v>
      </c>
      <c r="AD5" s="24" t="n">
        <v>16</v>
      </c>
      <c r="AE5" s="24" t="n">
        <v>17</v>
      </c>
      <c r="AF5" s="24" t="n">
        <v>18</v>
      </c>
      <c r="AG5" s="24" t="n">
        <v>19</v>
      </c>
      <c r="AH5" s="24" t="n">
        <v>20</v>
      </c>
      <c r="AI5" s="24" t="n">
        <v>21</v>
      </c>
      <c r="AJ5" s="24" t="n">
        <v>22</v>
      </c>
      <c r="AK5" s="24" t="n">
        <v>23</v>
      </c>
      <c r="AL5" s="24" t="n">
        <v>24</v>
      </c>
      <c r="AM5" s="24" t="n">
        <v>25</v>
      </c>
      <c r="AN5" s="24" t="n">
        <v>26</v>
      </c>
      <c r="AO5" s="24" t="n">
        <v>27</v>
      </c>
      <c r="AP5" s="24" t="n">
        <v>28</v>
      </c>
      <c r="AQ5" s="24" t="n">
        <v>29</v>
      </c>
      <c r="AR5" s="24" t="n">
        <v>30</v>
      </c>
      <c r="AS5" s="24" t="n">
        <v>31</v>
      </c>
      <c r="AT5" s="24" t="n">
        <v>32</v>
      </c>
      <c r="AU5" s="24" t="n">
        <v>33</v>
      </c>
      <c r="AV5" s="24" t="n">
        <v>34</v>
      </c>
      <c r="AW5" s="24" t="n">
        <v>35</v>
      </c>
      <c r="AX5" s="24" t="n">
        <v>36</v>
      </c>
      <c r="AY5" s="24" t="n">
        <v>37</v>
      </c>
    </row>
    <row r="7" customFormat="false" ht="15" hidden="false" customHeight="false" outlineLevel="0" collapsed="false">
      <c r="B7" s="7" t="s">
        <v>223</v>
      </c>
      <c r="C7" s="8"/>
      <c r="D7" s="8"/>
      <c r="E7" s="8"/>
      <c r="F7" s="8"/>
      <c r="G7" s="8"/>
      <c r="H7" s="8"/>
      <c r="I7" s="8"/>
      <c r="J7" s="8"/>
      <c r="K7" s="8"/>
      <c r="L7" s="8"/>
    </row>
    <row r="8" customFormat="false" ht="30" hidden="false" customHeight="true" outlineLevel="0" collapsed="false">
      <c r="B8" s="37"/>
      <c r="C8" s="38" t="s">
        <v>169</v>
      </c>
      <c r="D8" s="38" t="s">
        <v>170</v>
      </c>
      <c r="E8" s="38" t="s">
        <v>171</v>
      </c>
      <c r="F8" s="38" t="s">
        <v>43</v>
      </c>
      <c r="G8" s="38" t="s">
        <v>44</v>
      </c>
      <c r="H8" s="38" t="s">
        <v>45</v>
      </c>
      <c r="I8" s="38" t="s">
        <v>172</v>
      </c>
      <c r="J8" s="38" t="s">
        <v>90</v>
      </c>
      <c r="K8" s="38" t="s">
        <v>89</v>
      </c>
      <c r="L8" s="38" t="s">
        <v>173</v>
      </c>
    </row>
    <row r="9" customFormat="false" ht="15" hidden="false" customHeight="false" outlineLevel="0" collapsed="false">
      <c r="B9" s="39" t="s">
        <v>174</v>
      </c>
      <c r="C9" s="10" t="n">
        <v>0.0425</v>
      </c>
      <c r="D9" s="30" t="n">
        <f aca="false">Inputs!$E$23</f>
        <v>4200</v>
      </c>
      <c r="E9" s="26" t="n">
        <f aca="false">Inputs!$F$23</f>
        <v>0.985</v>
      </c>
      <c r="F9" s="25" t="n">
        <f aca="false">Inputs!$G$23</f>
        <v>0.8</v>
      </c>
      <c r="G9" s="25" t="n">
        <f aca="false">Inputs!$H$23</f>
        <v>0.95</v>
      </c>
      <c r="H9" s="25" t="n">
        <f aca="false">Inputs!$I$23</f>
        <v>0.9</v>
      </c>
      <c r="I9" s="22" t="n">
        <f aca="false">Inputs!$J$23</f>
        <v>1</v>
      </c>
      <c r="J9" s="23" t="n">
        <f aca="false">Inputs!$C$9</f>
        <v>10</v>
      </c>
      <c r="K9" s="22" t="n">
        <f aca="false">Inputs!$C$10</f>
        <v>1</v>
      </c>
      <c r="L9" s="22" t="n">
        <f aca="false">1</f>
        <v>1</v>
      </c>
    </row>
    <row r="10" customFormat="false" ht="30" hidden="false" customHeight="true" outlineLevel="0" collapsed="false">
      <c r="B10" s="37"/>
      <c r="C10" s="38" t="s">
        <v>175</v>
      </c>
      <c r="D10" s="38" t="s">
        <v>176</v>
      </c>
      <c r="E10" s="38" t="s">
        <v>177</v>
      </c>
      <c r="F10" s="38" t="s">
        <v>178</v>
      </c>
      <c r="G10" s="38" t="s">
        <v>112</v>
      </c>
      <c r="H10" s="38" t="s">
        <v>179</v>
      </c>
      <c r="I10" s="38" t="s">
        <v>180</v>
      </c>
      <c r="J10" s="38" t="s">
        <v>181</v>
      </c>
      <c r="K10" s="38" t="s">
        <v>182</v>
      </c>
      <c r="L10" s="38" t="s">
        <v>183</v>
      </c>
    </row>
    <row r="11" customFormat="false" ht="15" hidden="false" customHeight="false" outlineLevel="0" collapsed="false">
      <c r="B11" s="39" t="s">
        <v>184</v>
      </c>
      <c r="C11" s="40" t="n">
        <f aca="false">1-$E$9*CHOOSE($L$9,INDEX(Timing!$C$7:$AA$7,1,Inputs!$C$12+1),INDEX(Timing!$C$8:$AA$8,1,Inputs!$C$12+1))</f>
        <v>0.2514</v>
      </c>
      <c r="D11" s="40" t="n">
        <f aca="false">1-$E$9*CHOOSE($L$9,INDEX(Timing!$C$7:$AA$7,1,Inputs!$C$13+1),INDEX(Timing!$C$8:$AA$8,1,Inputs!$C$13+1))</f>
        <v>0.015</v>
      </c>
      <c r="E11" s="40" t="n">
        <f aca="false">$I$9*$D$11*$F$9</f>
        <v>0.012</v>
      </c>
      <c r="F11" s="40" t="n">
        <f aca="false">$I$9*($D$11-$E$11)*$G$9</f>
        <v>0.00285</v>
      </c>
      <c r="G11" s="40" t="n">
        <f aca="false">$I$9*($D$11-$E$11-$F$11)</f>
        <v>0.00015</v>
      </c>
      <c r="H11" s="23" t="n">
        <f aca="false">$I$9*(3*$D$9+Inputs!$C$14)</f>
        <v>14400</v>
      </c>
      <c r="I11" s="23" t="n">
        <f aca="false">$I$9*($D$9*(1+IF($C$9&lt;=0,0,MAX($C$9*Inputs!$C$15/12,Inputs!$C$8)))+$D$9*(1+Inputs!$C$11*(Inputs!$C$15-Inputs!$C$12)/12)+$D$9*(1+Inputs!$C$11*(Inputs!$C$15-Inputs!$C$13)/12)+Inputs!$C$14)</f>
        <v>15935.625</v>
      </c>
      <c r="J11" s="23" t="n">
        <f aca="false">$I$9*($D$9*(1+IF($C$9&lt;=0,0,MAX($C$9*Inputs!$C$16/12,Inputs!$C$8)))+$D$9*(1+Inputs!$C$11*(Inputs!$C$16-Inputs!$C$12)/12)+$D$9*(1+Inputs!$C$11*(Inputs!$C$16-Inputs!$C$13)/12)+Inputs!$C$14)</f>
        <v>16358.25</v>
      </c>
      <c r="K11" s="40" t="n">
        <f aca="false">IRR($N$14:$AY$14,0.005)</f>
        <v>0.00648645181355995</v>
      </c>
      <c r="L11" s="41" t="n">
        <f aca="false">(1+$K$11)^12-1</f>
        <v>0.080675235454337</v>
      </c>
    </row>
    <row r="12" customFormat="false" ht="15" hidden="false" customHeight="false" outlineLevel="0" collapsed="false">
      <c r="B12" s="9" t="s">
        <v>185</v>
      </c>
      <c r="N12" s="40" t="n">
        <f aca="false">0</f>
        <v>0</v>
      </c>
      <c r="O12" s="40" t="n">
        <f aca="false">$E$9*(CHOOSE($L$9,Timing!D$7,Timing!D$8)-CHOOSE($L$9,Timing!C$7,Timing!C$8))</f>
        <v>0.1182</v>
      </c>
      <c r="P12" s="40" t="n">
        <f aca="false">$E$9*(CHOOSE($L$9,Timing!E$7,Timing!E$8)-CHOOSE($L$9,Timing!D$7,Timing!D$8))</f>
        <v>0.0985</v>
      </c>
      <c r="Q12" s="40" t="n">
        <f aca="false">$E$9*(CHOOSE($L$9,Timing!F$7,Timing!F$8)-CHOOSE($L$9,Timing!E$7,Timing!E$8))</f>
        <v>0.08865</v>
      </c>
      <c r="R12" s="40" t="n">
        <f aca="false">$E$9*(CHOOSE($L$9,Timing!G$7,Timing!G$8)-CHOOSE($L$9,Timing!F$7,Timing!F$8))</f>
        <v>0.06895</v>
      </c>
      <c r="S12" s="40" t="n">
        <f aca="false">$E$9*(CHOOSE($L$9,Timing!H$7,Timing!H$8)-CHOOSE($L$9,Timing!G$7,Timing!G$8))</f>
        <v>0.06895</v>
      </c>
      <c r="T12" s="40" t="n">
        <f aca="false">$E$9*(CHOOSE($L$9,Timing!I$7,Timing!I$8)-CHOOSE($L$9,Timing!H$7,Timing!H$8))</f>
        <v>0.06895</v>
      </c>
      <c r="U12" s="40" t="n">
        <f aca="false">$E$9*(CHOOSE($L$9,Timing!J$7,Timing!J$8)-CHOOSE($L$9,Timing!I$7,Timing!I$8))</f>
        <v>0.0426833333333333</v>
      </c>
      <c r="V12" s="40" t="n">
        <f aca="false">$E$9*(CHOOSE($L$9,Timing!K$7,Timing!K$8)-CHOOSE($L$9,Timing!J$7,Timing!J$8))</f>
        <v>0.0426833333333333</v>
      </c>
      <c r="W12" s="40" t="n">
        <f aca="false">$E$9*(CHOOSE($L$9,Timing!L$7,Timing!L$8)-CHOOSE($L$9,Timing!K$7,Timing!K$8))</f>
        <v>0.0426833333333333</v>
      </c>
      <c r="X12" s="40" t="n">
        <f aca="false">$E$9*(CHOOSE($L$9,Timing!M$7,Timing!M$8)-CHOOSE($L$9,Timing!L$7,Timing!L$8))</f>
        <v>0.0361166666666666</v>
      </c>
      <c r="Y12" s="40" t="n">
        <f aca="false">$E$9*(CHOOSE($L$9,Timing!N$7,Timing!N$8)-CHOOSE($L$9,Timing!M$7,Timing!M$8))</f>
        <v>0.0361166666666667</v>
      </c>
      <c r="Z12" s="40" t="n">
        <f aca="false">$E$9*(CHOOSE($L$9,Timing!O$7,Timing!O$8)-CHOOSE($L$9,Timing!N$7,Timing!N$8))</f>
        <v>0.0361166666666666</v>
      </c>
      <c r="AA12" s="40" t="n">
        <f aca="false">$E$9*(CHOOSE($L$9,Timing!P$7,Timing!P$8)-CHOOSE($L$9,Timing!O$7,Timing!O$8))</f>
        <v>0.0229833333333333</v>
      </c>
      <c r="AB12" s="40" t="n">
        <f aca="false">$E$9*(CHOOSE($L$9,Timing!Q$7,Timing!Q$8)-CHOOSE($L$9,Timing!P$7,Timing!P$8))</f>
        <v>0.0229833333333333</v>
      </c>
      <c r="AC12" s="40" t="n">
        <f aca="false">$E$9*(CHOOSE($L$9,Timing!R$7,Timing!R$8)-CHOOSE($L$9,Timing!Q$7,Timing!Q$8))</f>
        <v>0.0229833333333334</v>
      </c>
      <c r="AD12" s="40" t="n">
        <f aca="false">$E$9*(CHOOSE($L$9,Timing!S$7,Timing!S$8)-CHOOSE($L$9,Timing!R$7,Timing!R$8))</f>
        <v>0.0229833333333333</v>
      </c>
      <c r="AE12" s="40" t="n">
        <f aca="false">$E$9*(CHOOSE($L$9,Timing!T$7,Timing!T$8)-CHOOSE($L$9,Timing!S$7,Timing!S$8))</f>
        <v>0.0229833333333333</v>
      </c>
      <c r="AF12" s="40" t="n">
        <f aca="false">$E$9*(CHOOSE($L$9,Timing!U$7,Timing!U$8)-CHOOSE($L$9,Timing!T$7,Timing!T$8))</f>
        <v>0.0229833333333333</v>
      </c>
      <c r="AG12" s="40" t="n">
        <f aca="false">$E$9*(CHOOSE($L$9,Timing!V$7,Timing!V$8)-CHOOSE($L$9,Timing!U$7,Timing!U$8))</f>
        <v>0.0164166666666667</v>
      </c>
      <c r="AH12" s="40" t="n">
        <f aca="false">$E$9*(CHOOSE($L$9,Timing!W$7,Timing!W$8)-CHOOSE($L$9,Timing!V$7,Timing!V$8))</f>
        <v>0.0164166666666666</v>
      </c>
      <c r="AI12" s="40" t="n">
        <f aca="false">$E$9*(CHOOSE($L$9,Timing!X$7,Timing!X$8)-CHOOSE($L$9,Timing!W$7,Timing!W$8))</f>
        <v>0.0164166666666666</v>
      </c>
      <c r="AJ12" s="40" t="n">
        <f aca="false">$E$9*(CHOOSE($L$9,Timing!Y$7,Timing!Y$8)-CHOOSE($L$9,Timing!X$7,Timing!X$8))</f>
        <v>0.0164166666666667</v>
      </c>
      <c r="AK12" s="40" t="n">
        <f aca="false">$E$9*(CHOOSE($L$9,Timing!Z$7,Timing!Z$8)-CHOOSE($L$9,Timing!Y$7,Timing!Y$8))</f>
        <v>0.0164166666666667</v>
      </c>
      <c r="AL12" s="40" t="n">
        <f aca="false">$E$9*(CHOOSE($L$9,Timing!AA$7,Timing!AA$8)-CHOOSE($L$9,Timing!Z$7,Timing!Z$8))</f>
        <v>0.0164166666666666</v>
      </c>
    </row>
    <row r="13" customFormat="false" ht="15" hidden="false" customHeight="false" outlineLevel="0" collapsed="false">
      <c r="B13" s="9" t="s">
        <v>186</v>
      </c>
      <c r="N13" s="42" t="n">
        <f aca="false">0</f>
        <v>0</v>
      </c>
      <c r="O13" s="42" t="n">
        <f aca="false">$D$9*(1+IF($C$9&lt;=0,0,MAX($C$9*O$5/12,Inputs!$C$8)))+$I$9*(O$5&gt;Inputs!$C$12)*$D$9*(1+Inputs!$C$11*(O$5-Inputs!$C$12)/12)</f>
        <v>4410</v>
      </c>
      <c r="P13" s="42" t="n">
        <f aca="false">$D$9*(1+IF($C$9&lt;=0,0,MAX($C$9*P$5/12,Inputs!$C$8)))+$I$9*(P$5&gt;Inputs!$C$12)*$D$9*(1+Inputs!$C$11*(P$5-Inputs!$C$12)/12)</f>
        <v>4410</v>
      </c>
      <c r="Q13" s="42" t="n">
        <f aca="false">$D$9*(1+IF($C$9&lt;=0,0,MAX($C$9*Q$5/12,Inputs!$C$8)))+$I$9*(Q$5&gt;Inputs!$C$12)*$D$9*(1+Inputs!$C$11*(Q$5-Inputs!$C$12)/12)</f>
        <v>4410</v>
      </c>
      <c r="R13" s="42" t="n">
        <f aca="false">$D$9*(1+IF($C$9&lt;=0,0,MAX($C$9*R$5/12,Inputs!$C$8)))+$I$9*(R$5&gt;Inputs!$C$12)*$D$9*(1+Inputs!$C$11*(R$5-Inputs!$C$12)/12)</f>
        <v>4410</v>
      </c>
      <c r="S13" s="42" t="n">
        <f aca="false">$D$9*(1+IF($C$9&lt;=0,0,MAX($C$9*S$5/12,Inputs!$C$8)))+$I$9*(S$5&gt;Inputs!$C$12)*$D$9*(1+Inputs!$C$11*(S$5-Inputs!$C$12)/12)</f>
        <v>4410</v>
      </c>
      <c r="T13" s="42" t="n">
        <f aca="false">$D$9*(1+IF($C$9&lt;=0,0,MAX($C$9*T$5/12,Inputs!$C$8)))+$I$9*(T$5&gt;Inputs!$C$12)*$D$9*(1+Inputs!$C$11*(T$5-Inputs!$C$12)/12)</f>
        <v>4410</v>
      </c>
      <c r="U13" s="42" t="n">
        <f aca="false">$D$9*(1+IF($C$9&lt;=0,0,MAX($C$9*U$5/12,Inputs!$C$8)))+$I$9*(U$5&gt;Inputs!$C$12)*$D$9*(1+Inputs!$C$11*(U$5-Inputs!$C$12)/12)</f>
        <v>4410</v>
      </c>
      <c r="V13" s="42" t="n">
        <f aca="false">$D$9*(1+IF($C$9&lt;=0,0,MAX($C$9*V$5/12,Inputs!$C$8)))+$I$9*(V$5&gt;Inputs!$C$12)*$D$9*(1+Inputs!$C$11*(V$5-Inputs!$C$12)/12)</f>
        <v>4410</v>
      </c>
      <c r="W13" s="42" t="n">
        <f aca="false">$D$9*(1+IF($C$9&lt;=0,0,MAX($C$9*W$5/12,Inputs!$C$8)))+$I$9*(W$5&gt;Inputs!$C$12)*$D$9*(1+Inputs!$C$11*(W$5-Inputs!$C$12)/12)</f>
        <v>4410</v>
      </c>
      <c r="X13" s="42" t="n">
        <f aca="false">$D$9*(1+IF($C$9&lt;=0,0,MAX($C$9*X$5/12,Inputs!$C$8)))+$I$9*(X$5&gt;Inputs!$C$12)*$D$9*(1+Inputs!$C$11*(X$5-Inputs!$C$12)/12)</f>
        <v>4410</v>
      </c>
      <c r="Y13" s="42" t="n">
        <f aca="false">$D$9*(1+IF($C$9&lt;=0,0,MAX($C$9*Y$5/12,Inputs!$C$8)))+$I$9*(Y$5&gt;Inputs!$C$12)*$D$9*(1+Inputs!$C$11*(Y$5-Inputs!$C$12)/12)</f>
        <v>4410</v>
      </c>
      <c r="Z13" s="42" t="n">
        <f aca="false">$D$9*(1+IF($C$9&lt;=0,0,MAX($C$9*Z$5/12,Inputs!$C$8)))+$I$9*(Z$5&gt;Inputs!$C$12)*$D$9*(1+Inputs!$C$11*(Z$5-Inputs!$C$12)/12)</f>
        <v>4410</v>
      </c>
      <c r="AA13" s="42" t="n">
        <f aca="false">$D$9*(1+IF($C$9&lt;=0,0,MAX($C$9*AA$5/12,Inputs!$C$8)))+$I$9*(AA$5&gt;Inputs!$C$12)*$D$9*(1+Inputs!$C$11*(AA$5-Inputs!$C$12)/12)</f>
        <v>8673</v>
      </c>
      <c r="AB13" s="42" t="n">
        <f aca="false">$D$9*(1+IF($C$9&lt;=0,0,MAX($C$9*AB$5/12,Inputs!$C$8)))+$I$9*(AB$5&gt;Inputs!$C$12)*$D$9*(1+Inputs!$C$11*(AB$5-Inputs!$C$12)/12)</f>
        <v>8736</v>
      </c>
      <c r="AC13" s="42" t="n">
        <f aca="false">$D$9*(1+IF($C$9&lt;=0,0,MAX($C$9*AC$5/12,Inputs!$C$8)))+$I$9*(AC$5&gt;Inputs!$C$12)*$D$9*(1+Inputs!$C$11*(AC$5-Inputs!$C$12)/12)</f>
        <v>8812.125</v>
      </c>
      <c r="AD13" s="42" t="n">
        <f aca="false">$D$9*(1+IF($C$9&lt;=0,0,MAX($C$9*AD$5/12,Inputs!$C$8)))+$I$9*(AD$5&gt;Inputs!$C$12)*$D$9*(1+Inputs!$C$11*(AD$5-Inputs!$C$12)/12)</f>
        <v>8890</v>
      </c>
      <c r="AE13" s="42" t="n">
        <f aca="false">$D$9*(1+IF($C$9&lt;=0,0,MAX($C$9*AE$5/12,Inputs!$C$8)))+$I$9*(AE$5&gt;Inputs!$C$12)*$D$9*(1+Inputs!$C$11*(AE$5-Inputs!$C$12)/12)</f>
        <v>8967.875</v>
      </c>
      <c r="AF13" s="42" t="n">
        <f aca="false">$D$9*(1+IF($C$9&lt;=0,0,MAX($C$9*AF$5/12,Inputs!$C$8)))+$I$9*(AF$5&gt;Inputs!$C$12)*$D$9*(1+Inputs!$C$11*(AF$5-Inputs!$C$12)/12)</f>
        <v>9045.75</v>
      </c>
      <c r="AG13" s="42" t="n">
        <f aca="false">$D$9*(1+IF($C$9&lt;=0,0,MAX($C$9*AG$5/12,Inputs!$C$8)))+$I$9*(AG$5&gt;Inputs!$C$12)*$D$9*(1+Inputs!$C$11*(AG$5-Inputs!$C$12)/12)</f>
        <v>9123.625</v>
      </c>
      <c r="AH13" s="42" t="n">
        <f aca="false">$D$9*(1+IF($C$9&lt;=0,0,MAX($C$9*AH$5/12,Inputs!$C$8)))+$I$9*(AH$5&gt;Inputs!$C$12)*$D$9*(1+Inputs!$C$11*(AH$5-Inputs!$C$12)/12)</f>
        <v>9201.5</v>
      </c>
      <c r="AI13" s="42" t="n">
        <f aca="false">$D$9*(1+IF($C$9&lt;=0,0,MAX($C$9*AI$5/12,Inputs!$C$8)))+$I$9*(AI$5&gt;Inputs!$C$12)*$D$9*(1+Inputs!$C$11*(AI$5-Inputs!$C$12)/12)</f>
        <v>9279.375</v>
      </c>
      <c r="AJ13" s="42" t="n">
        <f aca="false">$D$9*(1+IF($C$9&lt;=0,0,MAX($C$9*AJ$5/12,Inputs!$C$8)))+$I$9*(AJ$5&gt;Inputs!$C$12)*$D$9*(1+Inputs!$C$11*(AJ$5-Inputs!$C$12)/12)</f>
        <v>9357.25</v>
      </c>
      <c r="AK13" s="42" t="n">
        <f aca="false">$D$9*(1+IF($C$9&lt;=0,0,MAX($C$9*AK$5/12,Inputs!$C$8)))+$I$9*(AK$5&gt;Inputs!$C$12)*$D$9*(1+Inputs!$C$11*(AK$5-Inputs!$C$12)/12)</f>
        <v>9435.125</v>
      </c>
      <c r="AL13" s="42" t="n">
        <f aca="false">$D$9*(1+IF($C$9&lt;=0,0,MAX($C$9*AL$5/12,Inputs!$C$8)))+$I$9*(AL$5&gt;Inputs!$C$12)*$D$9*(1+Inputs!$C$11*(AL$5-Inputs!$C$12)/12)</f>
        <v>9513</v>
      </c>
    </row>
    <row r="14" customFormat="false" ht="15" hidden="false" customHeight="false" outlineLevel="0" collapsed="false">
      <c r="B14" s="31" t="s">
        <v>187</v>
      </c>
      <c r="N14" s="42" t="n">
        <f aca="false">-($D$9+$J$9)*(N$5=0)+IF(AND(N$5-$K$9&gt;=1,N$5-$K$9&lt;=Inputs!$C$13),INDEX($N$12:$AL$12,1,N$5-$K$9+1)*INDEX($N$13:$AL$13,1,N$5-$K$9+1),0)-$I$9*((N$5=Inputs!$C$12)*$C$11*$D$9+(N$5=Inputs!$C$13)*$D$11*($D$9+Inputs!$C$14))+$I$9*((N$5=Inputs!$C$15+$K$9)*$E$11*$I$11+(N$5=Inputs!$C$16+$K$9)*$F$11*$J$11+(N$5=Inputs!$C$17)*$G$11*$H$9*$H$11)</f>
        <v>-4210</v>
      </c>
      <c r="O14" s="42" t="n">
        <f aca="false">-($D$9+$J$9)*(O$5=0)+IF(AND(O$5-$K$9&gt;=1,O$5-$K$9&lt;=Inputs!$C$13),INDEX($N$12:$AL$12,1,O$5-$K$9+1)*INDEX($N$13:$AL$13,1,O$5-$K$9+1),0)-$I$9*((O$5=Inputs!$C$12)*$C$11*$D$9+(O$5=Inputs!$C$13)*$D$11*($D$9+Inputs!$C$14))+$I$9*((O$5=Inputs!$C$15+$K$9)*$E$11*$I$11+(O$5=Inputs!$C$16+$K$9)*$F$11*$J$11+(O$5=Inputs!$C$17)*$G$11*$H$9*$H$11)</f>
        <v>0</v>
      </c>
      <c r="P14" s="42" t="n">
        <f aca="false">-($D$9+$J$9)*(P$5=0)+IF(AND(P$5-$K$9&gt;=1,P$5-$K$9&lt;=Inputs!$C$13),INDEX($N$12:$AL$12,1,P$5-$K$9+1)*INDEX($N$13:$AL$13,1,P$5-$K$9+1),0)-$I$9*((P$5=Inputs!$C$12)*$C$11*$D$9+(P$5=Inputs!$C$13)*$D$11*($D$9+Inputs!$C$14))+$I$9*((P$5=Inputs!$C$15+$K$9)*$E$11*$I$11+(P$5=Inputs!$C$16+$K$9)*$F$11*$J$11+(P$5=Inputs!$C$17)*$G$11*$H$9*$H$11)</f>
        <v>521.262</v>
      </c>
      <c r="Q14" s="42" t="n">
        <f aca="false">-($D$9+$J$9)*(Q$5=0)+IF(AND(Q$5-$K$9&gt;=1,Q$5-$K$9&lt;=Inputs!$C$13),INDEX($N$12:$AL$12,1,Q$5-$K$9+1)*INDEX($N$13:$AL$13,1,Q$5-$K$9+1),0)-$I$9*((Q$5=Inputs!$C$12)*$C$11*$D$9+(Q$5=Inputs!$C$13)*$D$11*($D$9+Inputs!$C$14))+$I$9*((Q$5=Inputs!$C$15+$K$9)*$E$11*$I$11+(Q$5=Inputs!$C$16+$K$9)*$F$11*$J$11+(Q$5=Inputs!$C$17)*$G$11*$H$9*$H$11)</f>
        <v>434.385</v>
      </c>
      <c r="R14" s="42" t="n">
        <f aca="false">-($D$9+$J$9)*(R$5=0)+IF(AND(R$5-$K$9&gt;=1,R$5-$K$9&lt;=Inputs!$C$13),INDEX($N$12:$AL$12,1,R$5-$K$9+1)*INDEX($N$13:$AL$13,1,R$5-$K$9+1),0)-$I$9*((R$5=Inputs!$C$12)*$C$11*$D$9+(R$5=Inputs!$C$13)*$D$11*($D$9+Inputs!$C$14))+$I$9*((R$5=Inputs!$C$15+$K$9)*$E$11*$I$11+(R$5=Inputs!$C$16+$K$9)*$F$11*$J$11+(R$5=Inputs!$C$17)*$G$11*$H$9*$H$11)</f>
        <v>390.9465</v>
      </c>
      <c r="S14" s="42" t="n">
        <f aca="false">-($D$9+$J$9)*(S$5=0)+IF(AND(S$5-$K$9&gt;=1,S$5-$K$9&lt;=Inputs!$C$13),INDEX($N$12:$AL$12,1,S$5-$K$9+1)*INDEX($N$13:$AL$13,1,S$5-$K$9+1),0)-$I$9*((S$5=Inputs!$C$12)*$C$11*$D$9+(S$5=Inputs!$C$13)*$D$11*($D$9+Inputs!$C$14))+$I$9*((S$5=Inputs!$C$15+$K$9)*$E$11*$I$11+(S$5=Inputs!$C$16+$K$9)*$F$11*$J$11+(S$5=Inputs!$C$17)*$G$11*$H$9*$H$11)</f>
        <v>304.0695</v>
      </c>
      <c r="T14" s="42" t="n">
        <f aca="false">-($D$9+$J$9)*(T$5=0)+IF(AND(T$5-$K$9&gt;=1,T$5-$K$9&lt;=Inputs!$C$13),INDEX($N$12:$AL$12,1,T$5-$K$9+1)*INDEX($N$13:$AL$13,1,T$5-$K$9+1),0)-$I$9*((T$5=Inputs!$C$12)*$C$11*$D$9+(T$5=Inputs!$C$13)*$D$11*($D$9+Inputs!$C$14))+$I$9*((T$5=Inputs!$C$15+$K$9)*$E$11*$I$11+(T$5=Inputs!$C$16+$K$9)*$F$11*$J$11+(T$5=Inputs!$C$17)*$G$11*$H$9*$H$11)</f>
        <v>304.0695</v>
      </c>
      <c r="U14" s="42" t="n">
        <f aca="false">-($D$9+$J$9)*(U$5=0)+IF(AND(U$5-$K$9&gt;=1,U$5-$K$9&lt;=Inputs!$C$13),INDEX($N$12:$AL$12,1,U$5-$K$9+1)*INDEX($N$13:$AL$13,1,U$5-$K$9+1),0)-$I$9*((U$5=Inputs!$C$12)*$C$11*$D$9+(U$5=Inputs!$C$13)*$D$11*($D$9+Inputs!$C$14))+$I$9*((U$5=Inputs!$C$15+$K$9)*$E$11*$I$11+(U$5=Inputs!$C$16+$K$9)*$F$11*$J$11+(U$5=Inputs!$C$17)*$G$11*$H$9*$H$11)</f>
        <v>304.0695</v>
      </c>
      <c r="V14" s="42" t="n">
        <f aca="false">-($D$9+$J$9)*(V$5=0)+IF(AND(V$5-$K$9&gt;=1,V$5-$K$9&lt;=Inputs!$C$13),INDEX($N$12:$AL$12,1,V$5-$K$9+1)*INDEX($N$13:$AL$13,1,V$5-$K$9+1),0)-$I$9*((V$5=Inputs!$C$12)*$C$11*$D$9+(V$5=Inputs!$C$13)*$D$11*($D$9+Inputs!$C$14))+$I$9*((V$5=Inputs!$C$15+$K$9)*$E$11*$I$11+(V$5=Inputs!$C$16+$K$9)*$F$11*$J$11+(V$5=Inputs!$C$17)*$G$11*$H$9*$H$11)</f>
        <v>188.2335</v>
      </c>
      <c r="W14" s="42" t="n">
        <f aca="false">-($D$9+$J$9)*(W$5=0)+IF(AND(W$5-$K$9&gt;=1,W$5-$K$9&lt;=Inputs!$C$13),INDEX($N$12:$AL$12,1,W$5-$K$9+1)*INDEX($N$13:$AL$13,1,W$5-$K$9+1),0)-$I$9*((W$5=Inputs!$C$12)*$C$11*$D$9+(W$5=Inputs!$C$13)*$D$11*($D$9+Inputs!$C$14))+$I$9*((W$5=Inputs!$C$15+$K$9)*$E$11*$I$11+(W$5=Inputs!$C$16+$K$9)*$F$11*$J$11+(W$5=Inputs!$C$17)*$G$11*$H$9*$H$11)</f>
        <v>188.2335</v>
      </c>
      <c r="X14" s="42" t="n">
        <f aca="false">-($D$9+$J$9)*(X$5=0)+IF(AND(X$5-$K$9&gt;=1,X$5-$K$9&lt;=Inputs!$C$13),INDEX($N$12:$AL$12,1,X$5-$K$9+1)*INDEX($N$13:$AL$13,1,X$5-$K$9+1),0)-$I$9*((X$5=Inputs!$C$12)*$C$11*$D$9+(X$5=Inputs!$C$13)*$D$11*($D$9+Inputs!$C$14))+$I$9*((X$5=Inputs!$C$15+$K$9)*$E$11*$I$11+(X$5=Inputs!$C$16+$K$9)*$F$11*$J$11+(X$5=Inputs!$C$17)*$G$11*$H$9*$H$11)</f>
        <v>188.2335</v>
      </c>
      <c r="Y14" s="42" t="n">
        <f aca="false">-($D$9+$J$9)*(Y$5=0)+IF(AND(Y$5-$K$9&gt;=1,Y$5-$K$9&lt;=Inputs!$C$13),INDEX($N$12:$AL$12,1,Y$5-$K$9+1)*INDEX($N$13:$AL$13,1,Y$5-$K$9+1),0)-$I$9*((Y$5=Inputs!$C$12)*$C$11*$D$9+(Y$5=Inputs!$C$13)*$D$11*($D$9+Inputs!$C$14))+$I$9*((Y$5=Inputs!$C$15+$K$9)*$E$11*$I$11+(Y$5=Inputs!$C$16+$K$9)*$F$11*$J$11+(Y$5=Inputs!$C$17)*$G$11*$H$9*$H$11)</f>
        <v>159.2745</v>
      </c>
      <c r="Z14" s="42" t="n">
        <f aca="false">-($D$9+$J$9)*(Z$5=0)+IF(AND(Z$5-$K$9&gt;=1,Z$5-$K$9&lt;=Inputs!$C$13),INDEX($N$12:$AL$12,1,Z$5-$K$9+1)*INDEX($N$13:$AL$13,1,Z$5-$K$9+1),0)-$I$9*((Z$5=Inputs!$C$12)*$C$11*$D$9+(Z$5=Inputs!$C$13)*$D$11*($D$9+Inputs!$C$14))+$I$9*((Z$5=Inputs!$C$15+$K$9)*$E$11*$I$11+(Z$5=Inputs!$C$16+$K$9)*$F$11*$J$11+(Z$5=Inputs!$C$17)*$G$11*$H$9*$H$11)</f>
        <v>-896.6055</v>
      </c>
      <c r="AA14" s="42" t="n">
        <f aca="false">-($D$9+$J$9)*(AA$5=0)+IF(AND(AA$5-$K$9&gt;=1,AA$5-$K$9&lt;=Inputs!$C$13),INDEX($N$12:$AL$12,1,AA$5-$K$9+1)*INDEX($N$13:$AL$13,1,AA$5-$K$9+1),0)-$I$9*((AA$5=Inputs!$C$12)*$C$11*$D$9+(AA$5=Inputs!$C$13)*$D$11*($D$9+Inputs!$C$14))+$I$9*((AA$5=Inputs!$C$15+$K$9)*$E$11*$I$11+(AA$5=Inputs!$C$16+$K$9)*$F$11*$J$11+(AA$5=Inputs!$C$17)*$G$11*$H$9*$H$11)</f>
        <v>159.2745</v>
      </c>
      <c r="AB14" s="42" t="n">
        <f aca="false">-($D$9+$J$9)*(AB$5=0)+IF(AND(AB$5-$K$9&gt;=1,AB$5-$K$9&lt;=Inputs!$C$13),INDEX($N$12:$AL$12,1,AB$5-$K$9+1)*INDEX($N$13:$AL$13,1,AB$5-$K$9+1),0)-$I$9*((AB$5=Inputs!$C$12)*$C$11*$D$9+(AB$5=Inputs!$C$13)*$D$11*($D$9+Inputs!$C$14))+$I$9*((AB$5=Inputs!$C$15+$K$9)*$E$11*$I$11+(AB$5=Inputs!$C$16+$K$9)*$F$11*$J$11+(AB$5=Inputs!$C$17)*$G$11*$H$9*$H$11)</f>
        <v>199.33445</v>
      </c>
      <c r="AC14" s="42" t="n">
        <f aca="false">-($D$9+$J$9)*(AC$5=0)+IF(AND(AC$5-$K$9&gt;=1,AC$5-$K$9&lt;=Inputs!$C$13),INDEX($N$12:$AL$12,1,AC$5-$K$9+1)*INDEX($N$13:$AL$13,1,AC$5-$K$9+1),0)-$I$9*((AC$5=Inputs!$C$12)*$C$11*$D$9+(AC$5=Inputs!$C$13)*$D$11*($D$9+Inputs!$C$14))+$I$9*((AC$5=Inputs!$C$15+$K$9)*$E$11*$I$11+(AC$5=Inputs!$C$16+$K$9)*$F$11*$J$11+(AC$5=Inputs!$C$17)*$G$11*$H$9*$H$11)</f>
        <v>200.7824</v>
      </c>
      <c r="AD14" s="42" t="n">
        <f aca="false">-($D$9+$J$9)*(AD$5=0)+IF(AND(AD$5-$K$9&gt;=1,AD$5-$K$9&lt;=Inputs!$C$13),INDEX($N$12:$AL$12,1,AD$5-$K$9+1)*INDEX($N$13:$AL$13,1,AD$5-$K$9+1),0)-$I$9*((AD$5=Inputs!$C$12)*$C$11*$D$9+(AD$5=Inputs!$C$13)*$D$11*($D$9+Inputs!$C$14))+$I$9*((AD$5=Inputs!$C$15+$K$9)*$E$11*$I$11+(AD$5=Inputs!$C$16+$K$9)*$F$11*$J$11+(AD$5=Inputs!$C$17)*$G$11*$H$9*$H$11)</f>
        <v>202.532006250001</v>
      </c>
      <c r="AE14" s="42" t="n">
        <f aca="false">-($D$9+$J$9)*(AE$5=0)+IF(AND(AE$5-$K$9&gt;=1,AE$5-$K$9&lt;=Inputs!$C$13),INDEX($N$12:$AL$12,1,AE$5-$K$9+1)*INDEX($N$13:$AL$13,1,AE$5-$K$9+1),0)-$I$9*((AE$5=Inputs!$C$12)*$C$11*$D$9+(AE$5=Inputs!$C$13)*$D$11*($D$9+Inputs!$C$14))+$I$9*((AE$5=Inputs!$C$15+$K$9)*$E$11*$I$11+(AE$5=Inputs!$C$16+$K$9)*$F$11*$J$11+(AE$5=Inputs!$C$17)*$G$11*$H$9*$H$11)</f>
        <v>204.321833333333</v>
      </c>
      <c r="AF14" s="42" t="n">
        <f aca="false">-($D$9+$J$9)*(AF$5=0)+IF(AND(AF$5-$K$9&gt;=1,AF$5-$K$9&lt;=Inputs!$C$13),INDEX($N$12:$AL$12,1,AF$5-$K$9+1)*INDEX($N$13:$AL$13,1,AF$5-$K$9+1),0)-$I$9*((AF$5=Inputs!$C$12)*$C$11*$D$9+(AF$5=Inputs!$C$13)*$D$11*($D$9+Inputs!$C$14))+$I$9*((AF$5=Inputs!$C$15+$K$9)*$E$11*$I$11+(AF$5=Inputs!$C$16+$K$9)*$F$11*$J$11+(AF$5=Inputs!$C$17)*$G$11*$H$9*$H$11)</f>
        <v>206.111660416667</v>
      </c>
      <c r="AG14" s="42" t="n">
        <f aca="false">-($D$9+$J$9)*(AG$5=0)+IF(AND(AG$5-$K$9&gt;=1,AG$5-$K$9&lt;=Inputs!$C$13),INDEX($N$12:$AL$12,1,AG$5-$K$9+1)*INDEX($N$13:$AL$13,1,AG$5-$K$9+1),0)-$I$9*((AG$5=Inputs!$C$12)*$C$11*$D$9+(AG$5=Inputs!$C$13)*$D$11*($D$9+Inputs!$C$14))+$I$9*((AG$5=Inputs!$C$15+$K$9)*$E$11*$I$11+(AG$5=Inputs!$C$16+$K$9)*$F$11*$J$11+(AG$5=Inputs!$C$17)*$G$11*$H$9*$H$11)</f>
        <v>207.9014875</v>
      </c>
      <c r="AH14" s="42" t="n">
        <f aca="false">-($D$9+$J$9)*(AH$5=0)+IF(AND(AH$5-$K$9&gt;=1,AH$5-$K$9&lt;=Inputs!$C$13),INDEX($N$12:$AL$12,1,AH$5-$K$9+1)*INDEX($N$13:$AL$13,1,AH$5-$K$9+1),0)-$I$9*((AH$5=Inputs!$C$12)*$C$11*$D$9+(AH$5=Inputs!$C$13)*$D$11*($D$9+Inputs!$C$14))+$I$9*((AH$5=Inputs!$C$15+$K$9)*$E$11*$I$11+(AH$5=Inputs!$C$16+$K$9)*$F$11*$J$11+(AH$5=Inputs!$C$17)*$G$11*$H$9*$H$11)</f>
        <v>149.779510416667</v>
      </c>
      <c r="AI14" s="42" t="n">
        <f aca="false">-($D$9+$J$9)*(AI$5=0)+IF(AND(AI$5-$K$9&gt;=1,AI$5-$K$9&lt;=Inputs!$C$13),INDEX($N$12:$AL$12,1,AI$5-$K$9+1)*INDEX($N$13:$AL$13,1,AI$5-$K$9+1),0)-$I$9*((AI$5=Inputs!$C$12)*$C$11*$D$9+(AI$5=Inputs!$C$13)*$D$11*($D$9+Inputs!$C$14))+$I$9*((AI$5=Inputs!$C$15+$K$9)*$E$11*$I$11+(AI$5=Inputs!$C$16+$K$9)*$F$11*$J$11+(AI$5=Inputs!$C$17)*$G$11*$H$9*$H$11)</f>
        <v>151.057958333333</v>
      </c>
      <c r="AJ14" s="42" t="n">
        <f aca="false">-($D$9+$J$9)*(AJ$5=0)+IF(AND(AJ$5-$K$9&gt;=1,AJ$5-$K$9&lt;=Inputs!$C$13),INDEX($N$12:$AL$12,1,AJ$5-$K$9+1)*INDEX($N$13:$AL$13,1,AJ$5-$K$9+1),0)-$I$9*((AJ$5=Inputs!$C$12)*$C$11*$D$9+(AJ$5=Inputs!$C$13)*$D$11*($D$9+Inputs!$C$14))+$I$9*((AJ$5=Inputs!$C$15+$K$9)*$E$11*$I$11+(AJ$5=Inputs!$C$16+$K$9)*$F$11*$J$11+(AJ$5=Inputs!$C$17)*$G$11*$H$9*$H$11)</f>
        <v>152.336406249999</v>
      </c>
      <c r="AK14" s="42" t="n">
        <f aca="false">-($D$9+$J$9)*(AK$5=0)+IF(AND(AK$5-$K$9&gt;=1,AK$5-$K$9&lt;=Inputs!$C$13),INDEX($N$12:$AL$12,1,AK$5-$K$9+1)*INDEX($N$13:$AL$13,1,AK$5-$K$9+1),0)-$I$9*((AK$5=Inputs!$C$12)*$C$11*$D$9+(AK$5=Inputs!$C$13)*$D$11*($D$9+Inputs!$C$14))+$I$9*((AK$5=Inputs!$C$15+$K$9)*$E$11*$I$11+(AK$5=Inputs!$C$16+$K$9)*$F$11*$J$11+(AK$5=Inputs!$C$17)*$G$11*$H$9*$H$11)</f>
        <v>153.614854166667</v>
      </c>
      <c r="AL14" s="42" t="n">
        <f aca="false">-($D$9+$J$9)*(AL$5=0)+IF(AND(AL$5-$K$9&gt;=1,AL$5-$K$9&lt;=Inputs!$C$13),INDEX($N$12:$AL$12,1,AL$5-$K$9+1)*INDEX($N$13:$AL$13,1,AL$5-$K$9+1),0)-$I$9*((AL$5=Inputs!$C$12)*$C$11*$D$9+(AL$5=Inputs!$C$13)*$D$11*($D$9+Inputs!$C$14))+$I$9*((AL$5=Inputs!$C$15+$K$9)*$E$11*$I$11+(AL$5=Inputs!$C$16+$K$9)*$F$11*$J$11+(AL$5=Inputs!$C$17)*$G$11*$H$9*$H$11)</f>
        <v>64.8933020833337</v>
      </c>
      <c r="AM14" s="42" t="n">
        <f aca="false">-($D$9+$J$9)*(AM$5=0)+IF(AND(AM$5-$K$9&gt;=1,AM$5-$K$9&lt;=Inputs!$C$13),INDEX($N$12:$AL$12,1,AM$5-$K$9+1)*INDEX($N$13:$AL$13,1,AM$5-$K$9+1),0)-$I$9*((AM$5=Inputs!$C$12)*$C$11*$D$9+(AM$5=Inputs!$C$13)*$D$11*($D$9+Inputs!$C$14))+$I$9*((AM$5=Inputs!$C$15+$K$9)*$E$11*$I$11+(AM$5=Inputs!$C$16+$K$9)*$F$11*$J$11+(AM$5=Inputs!$C$17)*$G$11*$H$9*$H$11)</f>
        <v>156.171749999999</v>
      </c>
      <c r="AN14" s="42" t="n">
        <f aca="false">-($D$9+$J$9)*(AN$5=0)+IF(AND(AN$5-$K$9&gt;=1,AN$5-$K$9&lt;=Inputs!$C$13),INDEX($N$12:$AL$12,1,AN$5-$K$9+1)*INDEX($N$13:$AL$13,1,AN$5-$K$9+1),0)-$I$9*((AN$5=Inputs!$C$12)*$C$11*$D$9+(AN$5=Inputs!$C$13)*$D$11*($D$9+Inputs!$C$14))+$I$9*((AN$5=Inputs!$C$15+$K$9)*$E$11*$I$11+(AN$5=Inputs!$C$16+$K$9)*$F$11*$J$11+(AN$5=Inputs!$C$17)*$G$11*$H$9*$H$11)</f>
        <v>0</v>
      </c>
      <c r="AO14" s="42" t="n">
        <f aca="false">-($D$9+$J$9)*(AO$5=0)+IF(AND(AO$5-$K$9&gt;=1,AO$5-$K$9&lt;=Inputs!$C$13),INDEX($N$12:$AL$12,1,AO$5-$K$9+1)*INDEX($N$13:$AL$13,1,AO$5-$K$9+1),0)-$I$9*((AO$5=Inputs!$C$12)*$C$11*$D$9+(AO$5=Inputs!$C$13)*$D$11*($D$9+Inputs!$C$14))+$I$9*((AO$5=Inputs!$C$15+$K$9)*$E$11*$I$11+(AO$5=Inputs!$C$16+$K$9)*$F$11*$J$11+(AO$5=Inputs!$C$17)*$G$11*$H$9*$H$11)</f>
        <v>0</v>
      </c>
      <c r="AP14" s="42" t="n">
        <f aca="false">-($D$9+$J$9)*(AP$5=0)+IF(AND(AP$5-$K$9&gt;=1,AP$5-$K$9&lt;=Inputs!$C$13),INDEX($N$12:$AL$12,1,AP$5-$K$9+1)*INDEX($N$13:$AL$13,1,AP$5-$K$9+1),0)-$I$9*((AP$5=Inputs!$C$12)*$C$11*$D$9+(AP$5=Inputs!$C$13)*$D$11*($D$9+Inputs!$C$14))+$I$9*((AP$5=Inputs!$C$15+$K$9)*$E$11*$I$11+(AP$5=Inputs!$C$16+$K$9)*$F$11*$J$11+(AP$5=Inputs!$C$17)*$G$11*$H$9*$H$11)</f>
        <v>191.2275</v>
      </c>
      <c r="AQ14" s="42" t="n">
        <f aca="false">-($D$9+$J$9)*(AQ$5=0)+IF(AND(AQ$5-$K$9&gt;=1,AQ$5-$K$9&lt;=Inputs!$C$13),INDEX($N$12:$AL$12,1,AQ$5-$K$9+1)*INDEX($N$13:$AL$13,1,AQ$5-$K$9+1),0)-$I$9*((AQ$5=Inputs!$C$12)*$C$11*$D$9+(AQ$5=Inputs!$C$13)*$D$11*($D$9+Inputs!$C$14))+$I$9*((AQ$5=Inputs!$C$15+$K$9)*$E$11*$I$11+(AQ$5=Inputs!$C$16+$K$9)*$F$11*$J$11+(AQ$5=Inputs!$C$17)*$G$11*$H$9*$H$11)</f>
        <v>0</v>
      </c>
      <c r="AR14" s="42" t="n">
        <f aca="false">-($D$9+$J$9)*(AR$5=0)+IF(AND(AR$5-$K$9&gt;=1,AR$5-$K$9&lt;=Inputs!$C$13),INDEX($N$12:$AL$12,1,AR$5-$K$9+1)*INDEX($N$13:$AL$13,1,AR$5-$K$9+1),0)-$I$9*((AR$5=Inputs!$C$12)*$C$11*$D$9+(AR$5=Inputs!$C$13)*$D$11*($D$9+Inputs!$C$14))+$I$9*((AR$5=Inputs!$C$15+$K$9)*$E$11*$I$11+(AR$5=Inputs!$C$16+$K$9)*$F$11*$J$11+(AR$5=Inputs!$C$17)*$G$11*$H$9*$H$11)</f>
        <v>0</v>
      </c>
      <c r="AS14" s="42" t="n">
        <f aca="false">-($D$9+$J$9)*(AS$5=0)+IF(AND(AS$5-$K$9&gt;=1,AS$5-$K$9&lt;=Inputs!$C$13),INDEX($N$12:$AL$12,1,AS$5-$K$9+1)*INDEX($N$13:$AL$13,1,AS$5-$K$9+1),0)-$I$9*((AS$5=Inputs!$C$12)*$C$11*$D$9+(AS$5=Inputs!$C$13)*$D$11*($D$9+Inputs!$C$14))+$I$9*((AS$5=Inputs!$C$15+$K$9)*$E$11*$I$11+(AS$5=Inputs!$C$16+$K$9)*$F$11*$J$11+(AS$5=Inputs!$C$17)*$G$11*$H$9*$H$11)</f>
        <v>46.6210125</v>
      </c>
      <c r="AT14" s="42" t="n">
        <f aca="false">-($D$9+$J$9)*(AT$5=0)+IF(AND(AT$5-$K$9&gt;=1,AT$5-$K$9&lt;=Inputs!$C$13),INDEX($N$12:$AL$12,1,AT$5-$K$9+1)*INDEX($N$13:$AL$13,1,AT$5-$K$9+1),0)-$I$9*((AT$5=Inputs!$C$12)*$C$11*$D$9+(AT$5=Inputs!$C$13)*$D$11*($D$9+Inputs!$C$14))+$I$9*((AT$5=Inputs!$C$15+$K$9)*$E$11*$I$11+(AT$5=Inputs!$C$16+$K$9)*$F$11*$J$11+(AT$5=Inputs!$C$17)*$G$11*$H$9*$H$11)</f>
        <v>0</v>
      </c>
      <c r="AU14" s="42" t="n">
        <f aca="false">-($D$9+$J$9)*(AU$5=0)+IF(AND(AU$5-$K$9&gt;=1,AU$5-$K$9&lt;=Inputs!$C$13),INDEX($N$12:$AL$12,1,AU$5-$K$9+1)*INDEX($N$13:$AL$13,1,AU$5-$K$9+1),0)-$I$9*((AU$5=Inputs!$C$12)*$C$11*$D$9+(AU$5=Inputs!$C$13)*$D$11*($D$9+Inputs!$C$14))+$I$9*((AU$5=Inputs!$C$15+$K$9)*$E$11*$I$11+(AU$5=Inputs!$C$16+$K$9)*$F$11*$J$11+(AU$5=Inputs!$C$17)*$G$11*$H$9*$H$11)</f>
        <v>0</v>
      </c>
      <c r="AV14" s="42" t="n">
        <f aca="false">-($D$9+$J$9)*(AV$5=0)+IF(AND(AV$5-$K$9&gt;=1,AV$5-$K$9&lt;=Inputs!$C$13),INDEX($N$12:$AL$12,1,AV$5-$K$9+1)*INDEX($N$13:$AL$13,1,AV$5-$K$9+1),0)-$I$9*((AV$5=Inputs!$C$12)*$C$11*$D$9+(AV$5=Inputs!$C$13)*$D$11*($D$9+Inputs!$C$14))+$I$9*((AV$5=Inputs!$C$15+$K$9)*$E$11*$I$11+(AV$5=Inputs!$C$16+$K$9)*$F$11*$J$11+(AV$5=Inputs!$C$17)*$G$11*$H$9*$H$11)</f>
        <v>0</v>
      </c>
      <c r="AW14" s="42" t="n">
        <f aca="false">-($D$9+$J$9)*(AW$5=0)+IF(AND(AW$5-$K$9&gt;=1,AW$5-$K$9&lt;=Inputs!$C$13),INDEX($N$12:$AL$12,1,AW$5-$K$9+1)*INDEX($N$13:$AL$13,1,AW$5-$K$9+1),0)-$I$9*((AW$5=Inputs!$C$12)*$C$11*$D$9+(AW$5=Inputs!$C$13)*$D$11*($D$9+Inputs!$C$14))+$I$9*((AW$5=Inputs!$C$15+$K$9)*$E$11*$I$11+(AW$5=Inputs!$C$16+$K$9)*$F$11*$J$11+(AW$5=Inputs!$C$17)*$G$11*$H$9*$H$11)</f>
        <v>0</v>
      </c>
      <c r="AX14" s="42" t="n">
        <f aca="false">-($D$9+$J$9)*(AX$5=0)+IF(AND(AX$5-$K$9&gt;=1,AX$5-$K$9&lt;=Inputs!$C$13),INDEX($N$12:$AL$12,1,AX$5-$K$9+1)*INDEX($N$13:$AL$13,1,AX$5-$K$9+1),0)-$I$9*((AX$5=Inputs!$C$12)*$C$11*$D$9+(AX$5=Inputs!$C$13)*$D$11*($D$9+Inputs!$C$14))+$I$9*((AX$5=Inputs!$C$15+$K$9)*$E$11*$I$11+(AX$5=Inputs!$C$16+$K$9)*$F$11*$J$11+(AX$5=Inputs!$C$17)*$G$11*$H$9*$H$11)</f>
        <v>1.94400000000001</v>
      </c>
      <c r="AY14" s="42" t="n">
        <f aca="false">-($D$9+$J$9)*(AY$5=0)+IF(AND(AY$5-$K$9&gt;=1,AY$5-$K$9&lt;=Inputs!$C$13),INDEX($N$12:$AL$12,1,AY$5-$K$9+1)*INDEX($N$13:$AL$13,1,AY$5-$K$9+1),0)-$I$9*((AY$5=Inputs!$C$12)*$C$11*$D$9+(AY$5=Inputs!$C$13)*$D$11*($D$9+Inputs!$C$14))+$I$9*((AY$5=Inputs!$C$15+$K$9)*$E$11*$I$11+(AY$5=Inputs!$C$16+$K$9)*$F$11*$J$11+(AY$5=Inputs!$C$17)*$G$11*$H$9*$H$11)</f>
        <v>0</v>
      </c>
    </row>
    <row r="16" customFormat="false" ht="15" hidden="false" customHeight="false" outlineLevel="0" collapsed="false">
      <c r="B16" s="7" t="s">
        <v>224</v>
      </c>
      <c r="C16" s="8"/>
      <c r="D16" s="8"/>
      <c r="E16" s="8"/>
      <c r="F16" s="8"/>
      <c r="G16" s="8"/>
      <c r="H16" s="8"/>
      <c r="I16" s="8"/>
      <c r="J16" s="8"/>
      <c r="K16" s="8"/>
      <c r="L16" s="8"/>
    </row>
    <row r="17" customFormat="false" ht="30" hidden="false" customHeight="true" outlineLevel="0" collapsed="false">
      <c r="B17" s="37"/>
      <c r="C17" s="38" t="s">
        <v>169</v>
      </c>
      <c r="D17" s="38" t="s">
        <v>170</v>
      </c>
      <c r="E17" s="38" t="s">
        <v>171</v>
      </c>
      <c r="F17" s="38" t="s">
        <v>43</v>
      </c>
      <c r="G17" s="38" t="s">
        <v>44</v>
      </c>
      <c r="H17" s="38" t="s">
        <v>45</v>
      </c>
      <c r="I17" s="38" t="s">
        <v>172</v>
      </c>
      <c r="J17" s="38" t="s">
        <v>90</v>
      </c>
      <c r="K17" s="38" t="s">
        <v>89</v>
      </c>
      <c r="L17" s="38" t="s">
        <v>173</v>
      </c>
    </row>
    <row r="18" customFormat="false" ht="15" hidden="false" customHeight="false" outlineLevel="0" collapsed="false">
      <c r="B18" s="39" t="s">
        <v>174</v>
      </c>
      <c r="C18" s="26" t="n">
        <f aca="false">MAX(0,Bid_Floor!$C$9-Inputs!$C$7)</f>
        <v>0.04</v>
      </c>
      <c r="D18" s="30" t="n">
        <f aca="false">Inputs!$E$23</f>
        <v>4200</v>
      </c>
      <c r="E18" s="26" t="n">
        <f aca="false">Inputs!$F$23</f>
        <v>0.985</v>
      </c>
      <c r="F18" s="25" t="n">
        <f aca="false">Inputs!$G$23</f>
        <v>0.8</v>
      </c>
      <c r="G18" s="25" t="n">
        <f aca="false">Inputs!$H$23</f>
        <v>0.95</v>
      </c>
      <c r="H18" s="25" t="n">
        <f aca="false">Inputs!$I$23</f>
        <v>0.9</v>
      </c>
      <c r="I18" s="22" t="n">
        <f aca="false">Inputs!$J$23</f>
        <v>1</v>
      </c>
      <c r="J18" s="23" t="n">
        <f aca="false">Inputs!$C$9</f>
        <v>10</v>
      </c>
      <c r="K18" s="22" t="n">
        <f aca="false">Inputs!$C$10</f>
        <v>1</v>
      </c>
      <c r="L18" s="22" t="n">
        <f aca="false">1</f>
        <v>1</v>
      </c>
    </row>
    <row r="19" customFormat="false" ht="30" hidden="false" customHeight="true" outlineLevel="0" collapsed="false">
      <c r="B19" s="37"/>
      <c r="C19" s="38" t="s">
        <v>175</v>
      </c>
      <c r="D19" s="38" t="s">
        <v>176</v>
      </c>
      <c r="E19" s="38" t="s">
        <v>177</v>
      </c>
      <c r="F19" s="38" t="s">
        <v>178</v>
      </c>
      <c r="G19" s="38" t="s">
        <v>112</v>
      </c>
      <c r="H19" s="38" t="s">
        <v>179</v>
      </c>
      <c r="I19" s="38" t="s">
        <v>180</v>
      </c>
      <c r="J19" s="38" t="s">
        <v>181</v>
      </c>
      <c r="K19" s="38" t="s">
        <v>182</v>
      </c>
      <c r="L19" s="38" t="s">
        <v>183</v>
      </c>
    </row>
    <row r="20" customFormat="false" ht="15" hidden="false" customHeight="false" outlineLevel="0" collapsed="false">
      <c r="B20" s="39" t="s">
        <v>184</v>
      </c>
      <c r="C20" s="40" t="n">
        <f aca="false">1-$E$18*CHOOSE($L$18,INDEX(Timing!$C$7:$AA$7,1,Inputs!$C$12+1),INDEX(Timing!$C$8:$AA$8,1,Inputs!$C$12+1))</f>
        <v>0.2514</v>
      </c>
      <c r="D20" s="40" t="n">
        <f aca="false">1-$E$18*CHOOSE($L$18,INDEX(Timing!$C$7:$AA$7,1,Inputs!$C$13+1),INDEX(Timing!$C$8:$AA$8,1,Inputs!$C$13+1))</f>
        <v>0.015</v>
      </c>
      <c r="E20" s="40" t="n">
        <f aca="false">$I$18*$D$20*$F$18</f>
        <v>0.012</v>
      </c>
      <c r="F20" s="40" t="n">
        <f aca="false">$I$18*($D$20-$E$20)*$G$18</f>
        <v>0.00285</v>
      </c>
      <c r="G20" s="40" t="n">
        <f aca="false">$I$18*($D$20-$E$20-$F$20)</f>
        <v>0.00015</v>
      </c>
      <c r="H20" s="23" t="n">
        <f aca="false">$I$18*(3*$D$18+Inputs!$C$14)</f>
        <v>14400</v>
      </c>
      <c r="I20" s="23" t="n">
        <f aca="false">$I$18*($D$18*(1+IF($C$18&lt;=0,0,MAX($C$18*Inputs!$C$15/12,Inputs!$C$8)))+$D$18*(1+Inputs!$C$11*(Inputs!$C$15-Inputs!$C$12)/12)+$D$18*(1+Inputs!$C$11*(Inputs!$C$15-Inputs!$C$13)/12)+Inputs!$C$14)</f>
        <v>15912</v>
      </c>
      <c r="J20" s="23" t="n">
        <f aca="false">$I$18*($D$18*(1+IF($C$18&lt;=0,0,MAX($C$18*Inputs!$C$16/12,Inputs!$C$8)))+$D$18*(1+Inputs!$C$11*(Inputs!$C$16-Inputs!$C$12)/12)+$D$18*(1+Inputs!$C$11*(Inputs!$C$16-Inputs!$C$13)/12)+Inputs!$C$14)</f>
        <v>16332</v>
      </c>
      <c r="K20" s="40" t="n">
        <f aca="false">IRR($N$23:$AY$23,0.005)</f>
        <v>0.00642077892555254</v>
      </c>
      <c r="L20" s="41" t="n">
        <f aca="false">(1+$K$20)^12-1</f>
        <v>0.079829374892368</v>
      </c>
    </row>
    <row r="21" customFormat="false" ht="15" hidden="false" customHeight="false" outlineLevel="0" collapsed="false">
      <c r="B21" s="9" t="s">
        <v>185</v>
      </c>
      <c r="N21" s="40" t="n">
        <f aca="false">0</f>
        <v>0</v>
      </c>
      <c r="O21" s="40" t="n">
        <f aca="false">$E$18*(CHOOSE($L$18,Timing!D$7,Timing!D$8)-CHOOSE($L$18,Timing!C$7,Timing!C$8))</f>
        <v>0.1182</v>
      </c>
      <c r="P21" s="40" t="n">
        <f aca="false">$E$18*(CHOOSE($L$18,Timing!E$7,Timing!E$8)-CHOOSE($L$18,Timing!D$7,Timing!D$8))</f>
        <v>0.0985</v>
      </c>
      <c r="Q21" s="40" t="n">
        <f aca="false">$E$18*(CHOOSE($L$18,Timing!F$7,Timing!F$8)-CHOOSE($L$18,Timing!E$7,Timing!E$8))</f>
        <v>0.08865</v>
      </c>
      <c r="R21" s="40" t="n">
        <f aca="false">$E$18*(CHOOSE($L$18,Timing!G$7,Timing!G$8)-CHOOSE($L$18,Timing!F$7,Timing!F$8))</f>
        <v>0.06895</v>
      </c>
      <c r="S21" s="40" t="n">
        <f aca="false">$E$18*(CHOOSE($L$18,Timing!H$7,Timing!H$8)-CHOOSE($L$18,Timing!G$7,Timing!G$8))</f>
        <v>0.06895</v>
      </c>
      <c r="T21" s="40" t="n">
        <f aca="false">$E$18*(CHOOSE($L$18,Timing!I$7,Timing!I$8)-CHOOSE($L$18,Timing!H$7,Timing!H$8))</f>
        <v>0.06895</v>
      </c>
      <c r="U21" s="40" t="n">
        <f aca="false">$E$18*(CHOOSE($L$18,Timing!J$7,Timing!J$8)-CHOOSE($L$18,Timing!I$7,Timing!I$8))</f>
        <v>0.0426833333333333</v>
      </c>
      <c r="V21" s="40" t="n">
        <f aca="false">$E$18*(CHOOSE($L$18,Timing!K$7,Timing!K$8)-CHOOSE($L$18,Timing!J$7,Timing!J$8))</f>
        <v>0.0426833333333333</v>
      </c>
      <c r="W21" s="40" t="n">
        <f aca="false">$E$18*(CHOOSE($L$18,Timing!L$7,Timing!L$8)-CHOOSE($L$18,Timing!K$7,Timing!K$8))</f>
        <v>0.0426833333333333</v>
      </c>
      <c r="X21" s="40" t="n">
        <f aca="false">$E$18*(CHOOSE($L$18,Timing!M$7,Timing!M$8)-CHOOSE($L$18,Timing!L$7,Timing!L$8))</f>
        <v>0.0361166666666666</v>
      </c>
      <c r="Y21" s="40" t="n">
        <f aca="false">$E$18*(CHOOSE($L$18,Timing!N$7,Timing!N$8)-CHOOSE($L$18,Timing!M$7,Timing!M$8))</f>
        <v>0.0361166666666667</v>
      </c>
      <c r="Z21" s="40" t="n">
        <f aca="false">$E$18*(CHOOSE($L$18,Timing!O$7,Timing!O$8)-CHOOSE($L$18,Timing!N$7,Timing!N$8))</f>
        <v>0.0361166666666666</v>
      </c>
      <c r="AA21" s="40" t="n">
        <f aca="false">$E$18*(CHOOSE($L$18,Timing!P$7,Timing!P$8)-CHOOSE($L$18,Timing!O$7,Timing!O$8))</f>
        <v>0.0229833333333333</v>
      </c>
      <c r="AB21" s="40" t="n">
        <f aca="false">$E$18*(CHOOSE($L$18,Timing!Q$7,Timing!Q$8)-CHOOSE($L$18,Timing!P$7,Timing!P$8))</f>
        <v>0.0229833333333333</v>
      </c>
      <c r="AC21" s="40" t="n">
        <f aca="false">$E$18*(CHOOSE($L$18,Timing!R$7,Timing!R$8)-CHOOSE($L$18,Timing!Q$7,Timing!Q$8))</f>
        <v>0.0229833333333334</v>
      </c>
      <c r="AD21" s="40" t="n">
        <f aca="false">$E$18*(CHOOSE($L$18,Timing!S$7,Timing!S$8)-CHOOSE($L$18,Timing!R$7,Timing!R$8))</f>
        <v>0.0229833333333333</v>
      </c>
      <c r="AE21" s="40" t="n">
        <f aca="false">$E$18*(CHOOSE($L$18,Timing!T$7,Timing!T$8)-CHOOSE($L$18,Timing!S$7,Timing!S$8))</f>
        <v>0.0229833333333333</v>
      </c>
      <c r="AF21" s="40" t="n">
        <f aca="false">$E$18*(CHOOSE($L$18,Timing!U$7,Timing!U$8)-CHOOSE($L$18,Timing!T$7,Timing!T$8))</f>
        <v>0.0229833333333333</v>
      </c>
      <c r="AG21" s="40" t="n">
        <f aca="false">$E$18*(CHOOSE($L$18,Timing!V$7,Timing!V$8)-CHOOSE($L$18,Timing!U$7,Timing!U$8))</f>
        <v>0.0164166666666667</v>
      </c>
      <c r="AH21" s="40" t="n">
        <f aca="false">$E$18*(CHOOSE($L$18,Timing!W$7,Timing!W$8)-CHOOSE($L$18,Timing!V$7,Timing!V$8))</f>
        <v>0.0164166666666666</v>
      </c>
      <c r="AI21" s="40" t="n">
        <f aca="false">$E$18*(CHOOSE($L$18,Timing!X$7,Timing!X$8)-CHOOSE($L$18,Timing!W$7,Timing!W$8))</f>
        <v>0.0164166666666666</v>
      </c>
      <c r="AJ21" s="40" t="n">
        <f aca="false">$E$18*(CHOOSE($L$18,Timing!Y$7,Timing!Y$8)-CHOOSE($L$18,Timing!X$7,Timing!X$8))</f>
        <v>0.0164166666666667</v>
      </c>
      <c r="AK21" s="40" t="n">
        <f aca="false">$E$18*(CHOOSE($L$18,Timing!Z$7,Timing!Z$8)-CHOOSE($L$18,Timing!Y$7,Timing!Y$8))</f>
        <v>0.0164166666666667</v>
      </c>
      <c r="AL21" s="40" t="n">
        <f aca="false">$E$18*(CHOOSE($L$18,Timing!AA$7,Timing!AA$8)-CHOOSE($L$18,Timing!Z$7,Timing!Z$8))</f>
        <v>0.0164166666666666</v>
      </c>
    </row>
    <row r="22" customFormat="false" ht="15" hidden="false" customHeight="false" outlineLevel="0" collapsed="false">
      <c r="B22" s="9" t="s">
        <v>186</v>
      </c>
      <c r="N22" s="42" t="n">
        <f aca="false">0</f>
        <v>0</v>
      </c>
      <c r="O22" s="42" t="n">
        <f aca="false">$D$18*(1+IF($C$18&lt;=0,0,MAX($C$18*O$5/12,Inputs!$C$8)))+$I$18*(O$5&gt;Inputs!$C$12)*$D$18*(1+Inputs!$C$11*(O$5-Inputs!$C$12)/12)</f>
        <v>4410</v>
      </c>
      <c r="P22" s="42" t="n">
        <f aca="false">$D$18*(1+IF($C$18&lt;=0,0,MAX($C$18*P$5/12,Inputs!$C$8)))+$I$18*(P$5&gt;Inputs!$C$12)*$D$18*(1+Inputs!$C$11*(P$5-Inputs!$C$12)/12)</f>
        <v>4410</v>
      </c>
      <c r="Q22" s="42" t="n">
        <f aca="false">$D$18*(1+IF($C$18&lt;=0,0,MAX($C$18*Q$5/12,Inputs!$C$8)))+$I$18*(Q$5&gt;Inputs!$C$12)*$D$18*(1+Inputs!$C$11*(Q$5-Inputs!$C$12)/12)</f>
        <v>4410</v>
      </c>
      <c r="R22" s="42" t="n">
        <f aca="false">$D$18*(1+IF($C$18&lt;=0,0,MAX($C$18*R$5/12,Inputs!$C$8)))+$I$18*(R$5&gt;Inputs!$C$12)*$D$18*(1+Inputs!$C$11*(R$5-Inputs!$C$12)/12)</f>
        <v>4410</v>
      </c>
      <c r="S22" s="42" t="n">
        <f aca="false">$D$18*(1+IF($C$18&lt;=0,0,MAX($C$18*S$5/12,Inputs!$C$8)))+$I$18*(S$5&gt;Inputs!$C$12)*$D$18*(1+Inputs!$C$11*(S$5-Inputs!$C$12)/12)</f>
        <v>4410</v>
      </c>
      <c r="T22" s="42" t="n">
        <f aca="false">$D$18*(1+IF($C$18&lt;=0,0,MAX($C$18*T$5/12,Inputs!$C$8)))+$I$18*(T$5&gt;Inputs!$C$12)*$D$18*(1+Inputs!$C$11*(T$5-Inputs!$C$12)/12)</f>
        <v>4410</v>
      </c>
      <c r="U22" s="42" t="n">
        <f aca="false">$D$18*(1+IF($C$18&lt;=0,0,MAX($C$18*U$5/12,Inputs!$C$8)))+$I$18*(U$5&gt;Inputs!$C$12)*$D$18*(1+Inputs!$C$11*(U$5-Inputs!$C$12)/12)</f>
        <v>4410</v>
      </c>
      <c r="V22" s="42" t="n">
        <f aca="false">$D$18*(1+IF($C$18&lt;=0,0,MAX($C$18*V$5/12,Inputs!$C$8)))+$I$18*(V$5&gt;Inputs!$C$12)*$D$18*(1+Inputs!$C$11*(V$5-Inputs!$C$12)/12)</f>
        <v>4410</v>
      </c>
      <c r="W22" s="42" t="n">
        <f aca="false">$D$18*(1+IF($C$18&lt;=0,0,MAX($C$18*W$5/12,Inputs!$C$8)))+$I$18*(W$5&gt;Inputs!$C$12)*$D$18*(1+Inputs!$C$11*(W$5-Inputs!$C$12)/12)</f>
        <v>4410</v>
      </c>
      <c r="X22" s="42" t="n">
        <f aca="false">$D$18*(1+IF($C$18&lt;=0,0,MAX($C$18*X$5/12,Inputs!$C$8)))+$I$18*(X$5&gt;Inputs!$C$12)*$D$18*(1+Inputs!$C$11*(X$5-Inputs!$C$12)/12)</f>
        <v>4410</v>
      </c>
      <c r="Y22" s="42" t="n">
        <f aca="false">$D$18*(1+IF($C$18&lt;=0,0,MAX($C$18*Y$5/12,Inputs!$C$8)))+$I$18*(Y$5&gt;Inputs!$C$12)*$D$18*(1+Inputs!$C$11*(Y$5-Inputs!$C$12)/12)</f>
        <v>4410</v>
      </c>
      <c r="Z22" s="42" t="n">
        <f aca="false">$D$18*(1+IF($C$18&lt;=0,0,MAX($C$18*Z$5/12,Inputs!$C$8)))+$I$18*(Z$5&gt;Inputs!$C$12)*$D$18*(1+Inputs!$C$11*(Z$5-Inputs!$C$12)/12)</f>
        <v>4410</v>
      </c>
      <c r="AA22" s="42" t="n">
        <f aca="false">$D$18*(1+IF($C$18&lt;=0,0,MAX($C$18*AA$5/12,Inputs!$C$8)))+$I$18*(AA$5&gt;Inputs!$C$12)*$D$18*(1+Inputs!$C$11*(AA$5-Inputs!$C$12)/12)</f>
        <v>8673</v>
      </c>
      <c r="AB22" s="42" t="n">
        <f aca="false">$D$18*(1+IF($C$18&lt;=0,0,MAX($C$18*AB$5/12,Inputs!$C$8)))+$I$18*(AB$5&gt;Inputs!$C$12)*$D$18*(1+Inputs!$C$11*(AB$5-Inputs!$C$12)/12)</f>
        <v>8736</v>
      </c>
      <c r="AC22" s="42" t="n">
        <f aca="false">$D$18*(1+IF($C$18&lt;=0,0,MAX($C$18*AC$5/12,Inputs!$C$8)))+$I$18*(AC$5&gt;Inputs!$C$12)*$D$18*(1+Inputs!$C$11*(AC$5-Inputs!$C$12)/12)</f>
        <v>8799</v>
      </c>
      <c r="AD22" s="42" t="n">
        <f aca="false">$D$18*(1+IF($C$18&lt;=0,0,MAX($C$18*AD$5/12,Inputs!$C$8)))+$I$18*(AD$5&gt;Inputs!$C$12)*$D$18*(1+Inputs!$C$11*(AD$5-Inputs!$C$12)/12)</f>
        <v>8876</v>
      </c>
      <c r="AE22" s="42" t="n">
        <f aca="false">$D$18*(1+IF($C$18&lt;=0,0,MAX($C$18*AE$5/12,Inputs!$C$8)))+$I$18*(AE$5&gt;Inputs!$C$12)*$D$18*(1+Inputs!$C$11*(AE$5-Inputs!$C$12)/12)</f>
        <v>8953</v>
      </c>
      <c r="AF22" s="42" t="n">
        <f aca="false">$D$18*(1+IF($C$18&lt;=0,0,MAX($C$18*AF$5/12,Inputs!$C$8)))+$I$18*(AF$5&gt;Inputs!$C$12)*$D$18*(1+Inputs!$C$11*(AF$5-Inputs!$C$12)/12)</f>
        <v>9030</v>
      </c>
      <c r="AG22" s="42" t="n">
        <f aca="false">$D$18*(1+IF($C$18&lt;=0,0,MAX($C$18*AG$5/12,Inputs!$C$8)))+$I$18*(AG$5&gt;Inputs!$C$12)*$D$18*(1+Inputs!$C$11*(AG$5-Inputs!$C$12)/12)</f>
        <v>9107</v>
      </c>
      <c r="AH22" s="42" t="n">
        <f aca="false">$D$18*(1+IF($C$18&lt;=0,0,MAX($C$18*AH$5/12,Inputs!$C$8)))+$I$18*(AH$5&gt;Inputs!$C$12)*$D$18*(1+Inputs!$C$11*(AH$5-Inputs!$C$12)/12)</f>
        <v>9184</v>
      </c>
      <c r="AI22" s="42" t="n">
        <f aca="false">$D$18*(1+IF($C$18&lt;=0,0,MAX($C$18*AI$5/12,Inputs!$C$8)))+$I$18*(AI$5&gt;Inputs!$C$12)*$D$18*(1+Inputs!$C$11*(AI$5-Inputs!$C$12)/12)</f>
        <v>9261</v>
      </c>
      <c r="AJ22" s="42" t="n">
        <f aca="false">$D$18*(1+IF($C$18&lt;=0,0,MAX($C$18*AJ$5/12,Inputs!$C$8)))+$I$18*(AJ$5&gt;Inputs!$C$12)*$D$18*(1+Inputs!$C$11*(AJ$5-Inputs!$C$12)/12)</f>
        <v>9338</v>
      </c>
      <c r="AK22" s="42" t="n">
        <f aca="false">$D$18*(1+IF($C$18&lt;=0,0,MAX($C$18*AK$5/12,Inputs!$C$8)))+$I$18*(AK$5&gt;Inputs!$C$12)*$D$18*(1+Inputs!$C$11*(AK$5-Inputs!$C$12)/12)</f>
        <v>9415</v>
      </c>
      <c r="AL22" s="42" t="n">
        <f aca="false">$D$18*(1+IF($C$18&lt;=0,0,MAX($C$18*AL$5/12,Inputs!$C$8)))+$I$18*(AL$5&gt;Inputs!$C$12)*$D$18*(1+Inputs!$C$11*(AL$5-Inputs!$C$12)/12)</f>
        <v>9492</v>
      </c>
    </row>
    <row r="23" customFormat="false" ht="15" hidden="false" customHeight="false" outlineLevel="0" collapsed="false">
      <c r="B23" s="31" t="s">
        <v>187</v>
      </c>
      <c r="N23" s="42" t="n">
        <f aca="false">-($D$18+$J$18)*(N$5=0)+IF(AND(N$5-$K$18&gt;=1,N$5-$K$18&lt;=Inputs!$C$13),INDEX($N$21:$AL$21,1,N$5-$K$18+1)*INDEX($N$22:$AL$22,1,N$5-$K$18+1),0)-$I$18*((N$5=Inputs!$C$12)*$C$20*$D$18+(N$5=Inputs!$C$13)*$D$20*($D$18+Inputs!$C$14))+$I$18*((N$5=Inputs!$C$15+$K$18)*$E$20*$I$20+(N$5=Inputs!$C$16+$K$18)*$F$20*$J$20+(N$5=Inputs!$C$17)*$G$20*$H$18*$H$20)</f>
        <v>-4210</v>
      </c>
      <c r="O23" s="42" t="n">
        <f aca="false">-($D$18+$J$18)*(O$5=0)+IF(AND(O$5-$K$18&gt;=1,O$5-$K$18&lt;=Inputs!$C$13),INDEX($N$21:$AL$21,1,O$5-$K$18+1)*INDEX($N$22:$AL$22,1,O$5-$K$18+1),0)-$I$18*((O$5=Inputs!$C$12)*$C$20*$D$18+(O$5=Inputs!$C$13)*$D$20*($D$18+Inputs!$C$14))+$I$18*((O$5=Inputs!$C$15+$K$18)*$E$20*$I$20+(O$5=Inputs!$C$16+$K$18)*$F$20*$J$20+(O$5=Inputs!$C$17)*$G$20*$H$18*$H$20)</f>
        <v>0</v>
      </c>
      <c r="P23" s="42" t="n">
        <f aca="false">-($D$18+$J$18)*(P$5=0)+IF(AND(P$5-$K$18&gt;=1,P$5-$K$18&lt;=Inputs!$C$13),INDEX($N$21:$AL$21,1,P$5-$K$18+1)*INDEX($N$22:$AL$22,1,P$5-$K$18+1),0)-$I$18*((P$5=Inputs!$C$12)*$C$20*$D$18+(P$5=Inputs!$C$13)*$D$20*($D$18+Inputs!$C$14))+$I$18*((P$5=Inputs!$C$15+$K$18)*$E$20*$I$20+(P$5=Inputs!$C$16+$K$18)*$F$20*$J$20+(P$5=Inputs!$C$17)*$G$20*$H$18*$H$20)</f>
        <v>521.262</v>
      </c>
      <c r="Q23" s="42" t="n">
        <f aca="false">-($D$18+$J$18)*(Q$5=0)+IF(AND(Q$5-$K$18&gt;=1,Q$5-$K$18&lt;=Inputs!$C$13),INDEX($N$21:$AL$21,1,Q$5-$K$18+1)*INDEX($N$22:$AL$22,1,Q$5-$K$18+1),0)-$I$18*((Q$5=Inputs!$C$12)*$C$20*$D$18+(Q$5=Inputs!$C$13)*$D$20*($D$18+Inputs!$C$14))+$I$18*((Q$5=Inputs!$C$15+$K$18)*$E$20*$I$20+(Q$5=Inputs!$C$16+$K$18)*$F$20*$J$20+(Q$5=Inputs!$C$17)*$G$20*$H$18*$H$20)</f>
        <v>434.385</v>
      </c>
      <c r="R23" s="42" t="n">
        <f aca="false">-($D$18+$J$18)*(R$5=0)+IF(AND(R$5-$K$18&gt;=1,R$5-$K$18&lt;=Inputs!$C$13),INDEX($N$21:$AL$21,1,R$5-$K$18+1)*INDEX($N$22:$AL$22,1,R$5-$K$18+1),0)-$I$18*((R$5=Inputs!$C$12)*$C$20*$D$18+(R$5=Inputs!$C$13)*$D$20*($D$18+Inputs!$C$14))+$I$18*((R$5=Inputs!$C$15+$K$18)*$E$20*$I$20+(R$5=Inputs!$C$16+$K$18)*$F$20*$J$20+(R$5=Inputs!$C$17)*$G$20*$H$18*$H$20)</f>
        <v>390.9465</v>
      </c>
      <c r="S23" s="42" t="n">
        <f aca="false">-($D$18+$J$18)*(S$5=0)+IF(AND(S$5-$K$18&gt;=1,S$5-$K$18&lt;=Inputs!$C$13),INDEX($N$21:$AL$21,1,S$5-$K$18+1)*INDEX($N$22:$AL$22,1,S$5-$K$18+1),0)-$I$18*((S$5=Inputs!$C$12)*$C$20*$D$18+(S$5=Inputs!$C$13)*$D$20*($D$18+Inputs!$C$14))+$I$18*((S$5=Inputs!$C$15+$K$18)*$E$20*$I$20+(S$5=Inputs!$C$16+$K$18)*$F$20*$J$20+(S$5=Inputs!$C$17)*$G$20*$H$18*$H$20)</f>
        <v>304.0695</v>
      </c>
      <c r="T23" s="42" t="n">
        <f aca="false">-($D$18+$J$18)*(T$5=0)+IF(AND(T$5-$K$18&gt;=1,T$5-$K$18&lt;=Inputs!$C$13),INDEX($N$21:$AL$21,1,T$5-$K$18+1)*INDEX($N$22:$AL$22,1,T$5-$K$18+1),0)-$I$18*((T$5=Inputs!$C$12)*$C$20*$D$18+(T$5=Inputs!$C$13)*$D$20*($D$18+Inputs!$C$14))+$I$18*((T$5=Inputs!$C$15+$K$18)*$E$20*$I$20+(T$5=Inputs!$C$16+$K$18)*$F$20*$J$20+(T$5=Inputs!$C$17)*$G$20*$H$18*$H$20)</f>
        <v>304.0695</v>
      </c>
      <c r="U23" s="42" t="n">
        <f aca="false">-($D$18+$J$18)*(U$5=0)+IF(AND(U$5-$K$18&gt;=1,U$5-$K$18&lt;=Inputs!$C$13),INDEX($N$21:$AL$21,1,U$5-$K$18+1)*INDEX($N$22:$AL$22,1,U$5-$K$18+1),0)-$I$18*((U$5=Inputs!$C$12)*$C$20*$D$18+(U$5=Inputs!$C$13)*$D$20*($D$18+Inputs!$C$14))+$I$18*((U$5=Inputs!$C$15+$K$18)*$E$20*$I$20+(U$5=Inputs!$C$16+$K$18)*$F$20*$J$20+(U$5=Inputs!$C$17)*$G$20*$H$18*$H$20)</f>
        <v>304.0695</v>
      </c>
      <c r="V23" s="42" t="n">
        <f aca="false">-($D$18+$J$18)*(V$5=0)+IF(AND(V$5-$K$18&gt;=1,V$5-$K$18&lt;=Inputs!$C$13),INDEX($N$21:$AL$21,1,V$5-$K$18+1)*INDEX($N$22:$AL$22,1,V$5-$K$18+1),0)-$I$18*((V$5=Inputs!$C$12)*$C$20*$D$18+(V$5=Inputs!$C$13)*$D$20*($D$18+Inputs!$C$14))+$I$18*((V$5=Inputs!$C$15+$K$18)*$E$20*$I$20+(V$5=Inputs!$C$16+$K$18)*$F$20*$J$20+(V$5=Inputs!$C$17)*$G$20*$H$18*$H$20)</f>
        <v>188.2335</v>
      </c>
      <c r="W23" s="42" t="n">
        <f aca="false">-($D$18+$J$18)*(W$5=0)+IF(AND(W$5-$K$18&gt;=1,W$5-$K$18&lt;=Inputs!$C$13),INDEX($N$21:$AL$21,1,W$5-$K$18+1)*INDEX($N$22:$AL$22,1,W$5-$K$18+1),0)-$I$18*((W$5=Inputs!$C$12)*$C$20*$D$18+(W$5=Inputs!$C$13)*$D$20*($D$18+Inputs!$C$14))+$I$18*((W$5=Inputs!$C$15+$K$18)*$E$20*$I$20+(W$5=Inputs!$C$16+$K$18)*$F$20*$J$20+(W$5=Inputs!$C$17)*$G$20*$H$18*$H$20)</f>
        <v>188.2335</v>
      </c>
      <c r="X23" s="42" t="n">
        <f aca="false">-($D$18+$J$18)*(X$5=0)+IF(AND(X$5-$K$18&gt;=1,X$5-$K$18&lt;=Inputs!$C$13),INDEX($N$21:$AL$21,1,X$5-$K$18+1)*INDEX($N$22:$AL$22,1,X$5-$K$18+1),0)-$I$18*((X$5=Inputs!$C$12)*$C$20*$D$18+(X$5=Inputs!$C$13)*$D$20*($D$18+Inputs!$C$14))+$I$18*((X$5=Inputs!$C$15+$K$18)*$E$20*$I$20+(X$5=Inputs!$C$16+$K$18)*$F$20*$J$20+(X$5=Inputs!$C$17)*$G$20*$H$18*$H$20)</f>
        <v>188.2335</v>
      </c>
      <c r="Y23" s="42" t="n">
        <f aca="false">-($D$18+$J$18)*(Y$5=0)+IF(AND(Y$5-$K$18&gt;=1,Y$5-$K$18&lt;=Inputs!$C$13),INDEX($N$21:$AL$21,1,Y$5-$K$18+1)*INDEX($N$22:$AL$22,1,Y$5-$K$18+1),0)-$I$18*((Y$5=Inputs!$C$12)*$C$20*$D$18+(Y$5=Inputs!$C$13)*$D$20*($D$18+Inputs!$C$14))+$I$18*((Y$5=Inputs!$C$15+$K$18)*$E$20*$I$20+(Y$5=Inputs!$C$16+$K$18)*$F$20*$J$20+(Y$5=Inputs!$C$17)*$G$20*$H$18*$H$20)</f>
        <v>159.2745</v>
      </c>
      <c r="Z23" s="42" t="n">
        <f aca="false">-($D$18+$J$18)*(Z$5=0)+IF(AND(Z$5-$K$18&gt;=1,Z$5-$K$18&lt;=Inputs!$C$13),INDEX($N$21:$AL$21,1,Z$5-$K$18+1)*INDEX($N$22:$AL$22,1,Z$5-$K$18+1),0)-$I$18*((Z$5=Inputs!$C$12)*$C$20*$D$18+(Z$5=Inputs!$C$13)*$D$20*($D$18+Inputs!$C$14))+$I$18*((Z$5=Inputs!$C$15+$K$18)*$E$20*$I$20+(Z$5=Inputs!$C$16+$K$18)*$F$20*$J$20+(Z$5=Inputs!$C$17)*$G$20*$H$18*$H$20)</f>
        <v>-896.6055</v>
      </c>
      <c r="AA23" s="42" t="n">
        <f aca="false">-($D$18+$J$18)*(AA$5=0)+IF(AND(AA$5-$K$18&gt;=1,AA$5-$K$18&lt;=Inputs!$C$13),INDEX($N$21:$AL$21,1,AA$5-$K$18+1)*INDEX($N$22:$AL$22,1,AA$5-$K$18+1),0)-$I$18*((AA$5=Inputs!$C$12)*$C$20*$D$18+(AA$5=Inputs!$C$13)*$D$20*($D$18+Inputs!$C$14))+$I$18*((AA$5=Inputs!$C$15+$K$18)*$E$20*$I$20+(AA$5=Inputs!$C$16+$K$18)*$F$20*$J$20+(AA$5=Inputs!$C$17)*$G$20*$H$18*$H$20)</f>
        <v>159.2745</v>
      </c>
      <c r="AB23" s="42" t="n">
        <f aca="false">-($D$18+$J$18)*(AB$5=0)+IF(AND(AB$5-$K$18&gt;=1,AB$5-$K$18&lt;=Inputs!$C$13),INDEX($N$21:$AL$21,1,AB$5-$K$18+1)*INDEX($N$22:$AL$22,1,AB$5-$K$18+1),0)-$I$18*((AB$5=Inputs!$C$12)*$C$20*$D$18+(AB$5=Inputs!$C$13)*$D$20*($D$18+Inputs!$C$14))+$I$18*((AB$5=Inputs!$C$15+$K$18)*$E$20*$I$20+(AB$5=Inputs!$C$16+$K$18)*$F$20*$J$20+(AB$5=Inputs!$C$17)*$G$20*$H$18*$H$20)</f>
        <v>199.33445</v>
      </c>
      <c r="AC23" s="42" t="n">
        <f aca="false">-($D$18+$J$18)*(AC$5=0)+IF(AND(AC$5-$K$18&gt;=1,AC$5-$K$18&lt;=Inputs!$C$13),INDEX($N$21:$AL$21,1,AC$5-$K$18+1)*INDEX($N$22:$AL$22,1,AC$5-$K$18+1),0)-$I$18*((AC$5=Inputs!$C$12)*$C$20*$D$18+(AC$5=Inputs!$C$13)*$D$20*($D$18+Inputs!$C$14))+$I$18*((AC$5=Inputs!$C$15+$K$18)*$E$20*$I$20+(AC$5=Inputs!$C$16+$K$18)*$F$20*$J$20+(AC$5=Inputs!$C$17)*$G$20*$H$18*$H$20)</f>
        <v>200.7824</v>
      </c>
      <c r="AD23" s="42" t="n">
        <f aca="false">-($D$18+$J$18)*(AD$5=0)+IF(AND(AD$5-$K$18&gt;=1,AD$5-$K$18&lt;=Inputs!$C$13),INDEX($N$21:$AL$21,1,AD$5-$K$18+1)*INDEX($N$22:$AL$22,1,AD$5-$K$18+1),0)-$I$18*((AD$5=Inputs!$C$12)*$C$20*$D$18+(AD$5=Inputs!$C$13)*$D$20*($D$18+Inputs!$C$14))+$I$18*((AD$5=Inputs!$C$15+$K$18)*$E$20*$I$20+(AD$5=Inputs!$C$16+$K$18)*$F$20*$J$20+(AD$5=Inputs!$C$17)*$G$20*$H$18*$H$20)</f>
        <v>202.230350000001</v>
      </c>
      <c r="AE23" s="42" t="n">
        <f aca="false">-($D$18+$J$18)*(AE$5=0)+IF(AND(AE$5-$K$18&gt;=1,AE$5-$K$18&lt;=Inputs!$C$13),INDEX($N$21:$AL$21,1,AE$5-$K$18+1)*INDEX($N$22:$AL$22,1,AE$5-$K$18+1),0)-$I$18*((AE$5=Inputs!$C$12)*$C$20*$D$18+(AE$5=Inputs!$C$13)*$D$20*($D$18+Inputs!$C$14))+$I$18*((AE$5=Inputs!$C$15+$K$18)*$E$20*$I$20+(AE$5=Inputs!$C$16+$K$18)*$F$20*$J$20+(AE$5=Inputs!$C$17)*$G$20*$H$18*$H$20)</f>
        <v>204.000066666667</v>
      </c>
      <c r="AF23" s="42" t="n">
        <f aca="false">-($D$18+$J$18)*(AF$5=0)+IF(AND(AF$5-$K$18&gt;=1,AF$5-$K$18&lt;=Inputs!$C$13),INDEX($N$21:$AL$21,1,AF$5-$K$18+1)*INDEX($N$22:$AL$22,1,AF$5-$K$18+1),0)-$I$18*((AF$5=Inputs!$C$12)*$C$20*$D$18+(AF$5=Inputs!$C$13)*$D$20*($D$18+Inputs!$C$14))+$I$18*((AF$5=Inputs!$C$15+$K$18)*$E$20*$I$20+(AF$5=Inputs!$C$16+$K$18)*$F$20*$J$20+(AF$5=Inputs!$C$17)*$G$20*$H$18*$H$20)</f>
        <v>205.769783333333</v>
      </c>
      <c r="AG23" s="42" t="n">
        <f aca="false">-($D$18+$J$18)*(AG$5=0)+IF(AND(AG$5-$K$18&gt;=1,AG$5-$K$18&lt;=Inputs!$C$13),INDEX($N$21:$AL$21,1,AG$5-$K$18+1)*INDEX($N$22:$AL$22,1,AG$5-$K$18+1),0)-$I$18*((AG$5=Inputs!$C$12)*$C$20*$D$18+(AG$5=Inputs!$C$13)*$D$20*($D$18+Inputs!$C$14))+$I$18*((AG$5=Inputs!$C$15+$K$18)*$E$20*$I$20+(AG$5=Inputs!$C$16+$K$18)*$F$20*$J$20+(AG$5=Inputs!$C$17)*$G$20*$H$18*$H$20)</f>
        <v>207.5395</v>
      </c>
      <c r="AH23" s="42" t="n">
        <f aca="false">-($D$18+$J$18)*(AH$5=0)+IF(AND(AH$5-$K$18&gt;=1,AH$5-$K$18&lt;=Inputs!$C$13),INDEX($N$21:$AL$21,1,AH$5-$K$18+1)*INDEX($N$22:$AL$22,1,AH$5-$K$18+1),0)-$I$18*((AH$5=Inputs!$C$12)*$C$20*$D$18+(AH$5=Inputs!$C$13)*$D$20*($D$18+Inputs!$C$14))+$I$18*((AH$5=Inputs!$C$15+$K$18)*$E$20*$I$20+(AH$5=Inputs!$C$16+$K$18)*$F$20*$J$20+(AH$5=Inputs!$C$17)*$G$20*$H$18*$H$20)</f>
        <v>149.506583333334</v>
      </c>
      <c r="AI23" s="42" t="n">
        <f aca="false">-($D$18+$J$18)*(AI$5=0)+IF(AND(AI$5-$K$18&gt;=1,AI$5-$K$18&lt;=Inputs!$C$13),INDEX($N$21:$AL$21,1,AI$5-$K$18+1)*INDEX($N$22:$AL$22,1,AI$5-$K$18+1),0)-$I$18*((AI$5=Inputs!$C$12)*$C$20*$D$18+(AI$5=Inputs!$C$13)*$D$20*($D$18+Inputs!$C$14))+$I$18*((AI$5=Inputs!$C$15+$K$18)*$E$20*$I$20+(AI$5=Inputs!$C$16+$K$18)*$F$20*$J$20+(AI$5=Inputs!$C$17)*$G$20*$H$18*$H$20)</f>
        <v>150.770666666666</v>
      </c>
      <c r="AJ23" s="42" t="n">
        <f aca="false">-($D$18+$J$18)*(AJ$5=0)+IF(AND(AJ$5-$K$18&gt;=1,AJ$5-$K$18&lt;=Inputs!$C$13),INDEX($N$21:$AL$21,1,AJ$5-$K$18+1)*INDEX($N$22:$AL$22,1,AJ$5-$K$18+1),0)-$I$18*((AJ$5=Inputs!$C$12)*$C$20*$D$18+(AJ$5=Inputs!$C$13)*$D$20*($D$18+Inputs!$C$14))+$I$18*((AJ$5=Inputs!$C$15+$K$18)*$E$20*$I$20+(AJ$5=Inputs!$C$16+$K$18)*$F$20*$J$20+(AJ$5=Inputs!$C$17)*$G$20*$H$18*$H$20)</f>
        <v>152.034749999999</v>
      </c>
      <c r="AK23" s="42" t="n">
        <f aca="false">-($D$18+$J$18)*(AK$5=0)+IF(AND(AK$5-$K$18&gt;=1,AK$5-$K$18&lt;=Inputs!$C$13),INDEX($N$21:$AL$21,1,AK$5-$K$18+1)*INDEX($N$22:$AL$22,1,AK$5-$K$18+1),0)-$I$18*((AK$5=Inputs!$C$12)*$C$20*$D$18+(AK$5=Inputs!$C$13)*$D$20*($D$18+Inputs!$C$14))+$I$18*((AK$5=Inputs!$C$15+$K$18)*$E$20*$I$20+(AK$5=Inputs!$C$16+$K$18)*$F$20*$J$20+(AK$5=Inputs!$C$17)*$G$20*$H$18*$H$20)</f>
        <v>153.298833333334</v>
      </c>
      <c r="AL23" s="42" t="n">
        <f aca="false">-($D$18+$J$18)*(AL$5=0)+IF(AND(AL$5-$K$18&gt;=1,AL$5-$K$18&lt;=Inputs!$C$13),INDEX($N$21:$AL$21,1,AL$5-$K$18+1)*INDEX($N$22:$AL$22,1,AL$5-$K$18+1),0)-$I$18*((AL$5=Inputs!$C$12)*$C$20*$D$18+(AL$5=Inputs!$C$13)*$D$20*($D$18+Inputs!$C$14))+$I$18*((AL$5=Inputs!$C$15+$K$18)*$E$20*$I$20+(AL$5=Inputs!$C$16+$K$18)*$F$20*$J$20+(AL$5=Inputs!$C$17)*$G$20*$H$18*$H$20)</f>
        <v>64.5629166666671</v>
      </c>
      <c r="AM23" s="42" t="n">
        <f aca="false">-($D$18+$J$18)*(AM$5=0)+IF(AND(AM$5-$K$18&gt;=1,AM$5-$K$18&lt;=Inputs!$C$13),INDEX($N$21:$AL$21,1,AM$5-$K$18+1)*INDEX($N$22:$AL$22,1,AM$5-$K$18+1),0)-$I$18*((AM$5=Inputs!$C$12)*$C$20*$D$18+(AM$5=Inputs!$C$13)*$D$20*($D$18+Inputs!$C$14))+$I$18*((AM$5=Inputs!$C$15+$K$18)*$E$20*$I$20+(AM$5=Inputs!$C$16+$K$18)*$F$20*$J$20+(AM$5=Inputs!$C$17)*$G$20*$H$18*$H$20)</f>
        <v>155.826999999999</v>
      </c>
      <c r="AN23" s="42" t="n">
        <f aca="false">-($D$18+$J$18)*(AN$5=0)+IF(AND(AN$5-$K$18&gt;=1,AN$5-$K$18&lt;=Inputs!$C$13),INDEX($N$21:$AL$21,1,AN$5-$K$18+1)*INDEX($N$22:$AL$22,1,AN$5-$K$18+1),0)-$I$18*((AN$5=Inputs!$C$12)*$C$20*$D$18+(AN$5=Inputs!$C$13)*$D$20*($D$18+Inputs!$C$14))+$I$18*((AN$5=Inputs!$C$15+$K$18)*$E$20*$I$20+(AN$5=Inputs!$C$16+$K$18)*$F$20*$J$20+(AN$5=Inputs!$C$17)*$G$20*$H$18*$H$20)</f>
        <v>0</v>
      </c>
      <c r="AO23" s="42" t="n">
        <f aca="false">-($D$18+$J$18)*(AO$5=0)+IF(AND(AO$5-$K$18&gt;=1,AO$5-$K$18&lt;=Inputs!$C$13),INDEX($N$21:$AL$21,1,AO$5-$K$18+1)*INDEX($N$22:$AL$22,1,AO$5-$K$18+1),0)-$I$18*((AO$5=Inputs!$C$12)*$C$20*$D$18+(AO$5=Inputs!$C$13)*$D$20*($D$18+Inputs!$C$14))+$I$18*((AO$5=Inputs!$C$15+$K$18)*$E$20*$I$20+(AO$5=Inputs!$C$16+$K$18)*$F$20*$J$20+(AO$5=Inputs!$C$17)*$G$20*$H$18*$H$20)</f>
        <v>0</v>
      </c>
      <c r="AP23" s="42" t="n">
        <f aca="false">-($D$18+$J$18)*(AP$5=0)+IF(AND(AP$5-$K$18&gt;=1,AP$5-$K$18&lt;=Inputs!$C$13),INDEX($N$21:$AL$21,1,AP$5-$K$18+1)*INDEX($N$22:$AL$22,1,AP$5-$K$18+1),0)-$I$18*((AP$5=Inputs!$C$12)*$C$20*$D$18+(AP$5=Inputs!$C$13)*$D$20*($D$18+Inputs!$C$14))+$I$18*((AP$5=Inputs!$C$15+$K$18)*$E$20*$I$20+(AP$5=Inputs!$C$16+$K$18)*$F$20*$J$20+(AP$5=Inputs!$C$17)*$G$20*$H$18*$H$20)</f>
        <v>190.944</v>
      </c>
      <c r="AQ23" s="42" t="n">
        <f aca="false">-($D$18+$J$18)*(AQ$5=0)+IF(AND(AQ$5-$K$18&gt;=1,AQ$5-$K$18&lt;=Inputs!$C$13),INDEX($N$21:$AL$21,1,AQ$5-$K$18+1)*INDEX($N$22:$AL$22,1,AQ$5-$K$18+1),0)-$I$18*((AQ$5=Inputs!$C$12)*$C$20*$D$18+(AQ$5=Inputs!$C$13)*$D$20*($D$18+Inputs!$C$14))+$I$18*((AQ$5=Inputs!$C$15+$K$18)*$E$20*$I$20+(AQ$5=Inputs!$C$16+$K$18)*$F$20*$J$20+(AQ$5=Inputs!$C$17)*$G$20*$H$18*$H$20)</f>
        <v>0</v>
      </c>
      <c r="AR23" s="42" t="n">
        <f aca="false">-($D$18+$J$18)*(AR$5=0)+IF(AND(AR$5-$K$18&gt;=1,AR$5-$K$18&lt;=Inputs!$C$13),INDEX($N$21:$AL$21,1,AR$5-$K$18+1)*INDEX($N$22:$AL$22,1,AR$5-$K$18+1),0)-$I$18*((AR$5=Inputs!$C$12)*$C$20*$D$18+(AR$5=Inputs!$C$13)*$D$20*($D$18+Inputs!$C$14))+$I$18*((AR$5=Inputs!$C$15+$K$18)*$E$20*$I$20+(AR$5=Inputs!$C$16+$K$18)*$F$20*$J$20+(AR$5=Inputs!$C$17)*$G$20*$H$18*$H$20)</f>
        <v>0</v>
      </c>
      <c r="AS23" s="42" t="n">
        <f aca="false">-($D$18+$J$18)*(AS$5=0)+IF(AND(AS$5-$K$18&gt;=1,AS$5-$K$18&lt;=Inputs!$C$13),INDEX($N$21:$AL$21,1,AS$5-$K$18+1)*INDEX($N$22:$AL$22,1,AS$5-$K$18+1),0)-$I$18*((AS$5=Inputs!$C$12)*$C$20*$D$18+(AS$5=Inputs!$C$13)*$D$20*($D$18+Inputs!$C$14))+$I$18*((AS$5=Inputs!$C$15+$K$18)*$E$20*$I$20+(AS$5=Inputs!$C$16+$K$18)*$F$20*$J$20+(AS$5=Inputs!$C$17)*$G$20*$H$18*$H$20)</f>
        <v>46.5462</v>
      </c>
      <c r="AT23" s="42" t="n">
        <f aca="false">-($D$18+$J$18)*(AT$5=0)+IF(AND(AT$5-$K$18&gt;=1,AT$5-$K$18&lt;=Inputs!$C$13),INDEX($N$21:$AL$21,1,AT$5-$K$18+1)*INDEX($N$22:$AL$22,1,AT$5-$K$18+1),0)-$I$18*((AT$5=Inputs!$C$12)*$C$20*$D$18+(AT$5=Inputs!$C$13)*$D$20*($D$18+Inputs!$C$14))+$I$18*((AT$5=Inputs!$C$15+$K$18)*$E$20*$I$20+(AT$5=Inputs!$C$16+$K$18)*$F$20*$J$20+(AT$5=Inputs!$C$17)*$G$20*$H$18*$H$20)</f>
        <v>0</v>
      </c>
      <c r="AU23" s="42" t="n">
        <f aca="false">-($D$18+$J$18)*(AU$5=0)+IF(AND(AU$5-$K$18&gt;=1,AU$5-$K$18&lt;=Inputs!$C$13),INDEX($N$21:$AL$21,1,AU$5-$K$18+1)*INDEX($N$22:$AL$22,1,AU$5-$K$18+1),0)-$I$18*((AU$5=Inputs!$C$12)*$C$20*$D$18+(AU$5=Inputs!$C$13)*$D$20*($D$18+Inputs!$C$14))+$I$18*((AU$5=Inputs!$C$15+$K$18)*$E$20*$I$20+(AU$5=Inputs!$C$16+$K$18)*$F$20*$J$20+(AU$5=Inputs!$C$17)*$G$20*$H$18*$H$20)</f>
        <v>0</v>
      </c>
      <c r="AV23" s="42" t="n">
        <f aca="false">-($D$18+$J$18)*(AV$5=0)+IF(AND(AV$5-$K$18&gt;=1,AV$5-$K$18&lt;=Inputs!$C$13),INDEX($N$21:$AL$21,1,AV$5-$K$18+1)*INDEX($N$22:$AL$22,1,AV$5-$K$18+1),0)-$I$18*((AV$5=Inputs!$C$12)*$C$20*$D$18+(AV$5=Inputs!$C$13)*$D$20*($D$18+Inputs!$C$14))+$I$18*((AV$5=Inputs!$C$15+$K$18)*$E$20*$I$20+(AV$5=Inputs!$C$16+$K$18)*$F$20*$J$20+(AV$5=Inputs!$C$17)*$G$20*$H$18*$H$20)</f>
        <v>0</v>
      </c>
      <c r="AW23" s="42" t="n">
        <f aca="false">-($D$18+$J$18)*(AW$5=0)+IF(AND(AW$5-$K$18&gt;=1,AW$5-$K$18&lt;=Inputs!$C$13),INDEX($N$21:$AL$21,1,AW$5-$K$18+1)*INDEX($N$22:$AL$22,1,AW$5-$K$18+1),0)-$I$18*((AW$5=Inputs!$C$12)*$C$20*$D$18+(AW$5=Inputs!$C$13)*$D$20*($D$18+Inputs!$C$14))+$I$18*((AW$5=Inputs!$C$15+$K$18)*$E$20*$I$20+(AW$5=Inputs!$C$16+$K$18)*$F$20*$J$20+(AW$5=Inputs!$C$17)*$G$20*$H$18*$H$20)</f>
        <v>0</v>
      </c>
      <c r="AX23" s="42" t="n">
        <f aca="false">-($D$18+$J$18)*(AX$5=0)+IF(AND(AX$5-$K$18&gt;=1,AX$5-$K$18&lt;=Inputs!$C$13),INDEX($N$21:$AL$21,1,AX$5-$K$18+1)*INDEX($N$22:$AL$22,1,AX$5-$K$18+1),0)-$I$18*((AX$5=Inputs!$C$12)*$C$20*$D$18+(AX$5=Inputs!$C$13)*$D$20*($D$18+Inputs!$C$14))+$I$18*((AX$5=Inputs!$C$15+$K$18)*$E$20*$I$20+(AX$5=Inputs!$C$16+$K$18)*$F$20*$J$20+(AX$5=Inputs!$C$17)*$G$20*$H$18*$H$20)</f>
        <v>1.94400000000001</v>
      </c>
      <c r="AY23" s="42" t="n">
        <f aca="false">-($D$18+$J$18)*(AY$5=0)+IF(AND(AY$5-$K$18&gt;=1,AY$5-$K$18&lt;=Inputs!$C$13),INDEX($N$21:$AL$21,1,AY$5-$K$18+1)*INDEX($N$22:$AL$22,1,AY$5-$K$18+1),0)-$I$18*((AY$5=Inputs!$C$12)*$C$20*$D$18+(AY$5=Inputs!$C$13)*$D$20*($D$18+Inputs!$C$14))+$I$18*((AY$5=Inputs!$C$15+$K$18)*$E$20*$I$20+(AY$5=Inputs!$C$16+$K$18)*$F$20*$J$20+(AY$5=Inputs!$C$17)*$G$20*$H$18*$H$20)</f>
        <v>0</v>
      </c>
    </row>
    <row r="25" customFormat="false" ht="15" hidden="false" customHeight="false" outlineLevel="0" collapsed="false">
      <c r="B25" s="7" t="s">
        <v>225</v>
      </c>
      <c r="C25" s="8"/>
      <c r="D25" s="8"/>
      <c r="E25" s="8"/>
      <c r="F25" s="8"/>
      <c r="G25" s="8"/>
      <c r="H25" s="8"/>
      <c r="I25" s="8"/>
      <c r="J25" s="8"/>
      <c r="K25" s="8"/>
      <c r="L25" s="8"/>
    </row>
    <row r="26" customFormat="false" ht="30" hidden="false" customHeight="true" outlineLevel="0" collapsed="false">
      <c r="B26" s="37"/>
      <c r="C26" s="38" t="s">
        <v>169</v>
      </c>
      <c r="D26" s="38" t="s">
        <v>170</v>
      </c>
      <c r="E26" s="38" t="s">
        <v>171</v>
      </c>
      <c r="F26" s="38" t="s">
        <v>43</v>
      </c>
      <c r="G26" s="38" t="s">
        <v>44</v>
      </c>
      <c r="H26" s="38" t="s">
        <v>45</v>
      </c>
      <c r="I26" s="38" t="s">
        <v>172</v>
      </c>
      <c r="J26" s="38" t="s">
        <v>90</v>
      </c>
      <c r="K26" s="38" t="s">
        <v>89</v>
      </c>
      <c r="L26" s="38" t="s">
        <v>173</v>
      </c>
    </row>
    <row r="27" customFormat="false" ht="15" hidden="false" customHeight="false" outlineLevel="0" collapsed="false">
      <c r="B27" s="39" t="s">
        <v>174</v>
      </c>
      <c r="C27" s="10" t="n">
        <v>0.0475</v>
      </c>
      <c r="D27" s="30" t="n">
        <f aca="false">Inputs!$E$24</f>
        <v>3600</v>
      </c>
      <c r="E27" s="26" t="n">
        <f aca="false">Inputs!$F$24</f>
        <v>0.93</v>
      </c>
      <c r="F27" s="25" t="n">
        <f aca="false">Inputs!$G$24</f>
        <v>0.6</v>
      </c>
      <c r="G27" s="25" t="n">
        <f aca="false">Inputs!$H$24</f>
        <v>0.85</v>
      </c>
      <c r="H27" s="25" t="n">
        <f aca="false">Inputs!$I$24</f>
        <v>0.9</v>
      </c>
      <c r="I27" s="22" t="n">
        <f aca="false">Inputs!$J$24</f>
        <v>1</v>
      </c>
      <c r="J27" s="23" t="n">
        <f aca="false">Inputs!$C$9</f>
        <v>10</v>
      </c>
      <c r="K27" s="22" t="n">
        <f aca="false">Inputs!$C$10</f>
        <v>1</v>
      </c>
      <c r="L27" s="22" t="n">
        <f aca="false">1</f>
        <v>1</v>
      </c>
    </row>
    <row r="28" customFormat="false" ht="30" hidden="false" customHeight="true" outlineLevel="0" collapsed="false">
      <c r="B28" s="37"/>
      <c r="C28" s="38" t="s">
        <v>175</v>
      </c>
      <c r="D28" s="38" t="s">
        <v>176</v>
      </c>
      <c r="E28" s="38" t="s">
        <v>177</v>
      </c>
      <c r="F28" s="38" t="s">
        <v>178</v>
      </c>
      <c r="G28" s="38" t="s">
        <v>112</v>
      </c>
      <c r="H28" s="38" t="s">
        <v>179</v>
      </c>
      <c r="I28" s="38" t="s">
        <v>180</v>
      </c>
      <c r="J28" s="38" t="s">
        <v>181</v>
      </c>
      <c r="K28" s="38" t="s">
        <v>182</v>
      </c>
      <c r="L28" s="38" t="s">
        <v>183</v>
      </c>
    </row>
    <row r="29" customFormat="false" ht="15" hidden="false" customHeight="false" outlineLevel="0" collapsed="false">
      <c r="B29" s="39" t="s">
        <v>184</v>
      </c>
      <c r="C29" s="40" t="n">
        <f aca="false">1-$E$27*CHOOSE($L$27,INDEX(Timing!$C$7:$AA$7,1,Inputs!$C$12+1),INDEX(Timing!$C$8:$AA$8,1,Inputs!$C$12+1))</f>
        <v>0.2932</v>
      </c>
      <c r="D29" s="40" t="n">
        <f aca="false">1-$E$27*CHOOSE($L$27,INDEX(Timing!$C$7:$AA$7,1,Inputs!$C$13+1),INDEX(Timing!$C$8:$AA$8,1,Inputs!$C$13+1))</f>
        <v>0.07</v>
      </c>
      <c r="E29" s="40" t="n">
        <f aca="false">$I$27*$D$29*$F$27</f>
        <v>0.042</v>
      </c>
      <c r="F29" s="40" t="n">
        <f aca="false">$I$27*($D$29-$E$29)*$G$27</f>
        <v>0.0238</v>
      </c>
      <c r="G29" s="40" t="n">
        <f aca="false">$I$27*($D$29-$E$29-$F$29)</f>
        <v>0.0042</v>
      </c>
      <c r="H29" s="23" t="n">
        <f aca="false">$I$27*(3*$D$27+Inputs!$C$14)</f>
        <v>12600</v>
      </c>
      <c r="I29" s="23" t="n">
        <f aca="false">$I$27*($D$27*(1+IF($C$27&lt;=0,0,MAX($C$27*Inputs!$C$15/12,Inputs!$C$8)))+$D$27*(1+Inputs!$C$11*(Inputs!$C$15-Inputs!$C$12)/12)+$D$27*(1+Inputs!$C$11*(Inputs!$C$15-Inputs!$C$13)/12)+Inputs!$C$14)</f>
        <v>13956.75</v>
      </c>
      <c r="J29" s="23" t="n">
        <f aca="false">$I$27*($D$27*(1+IF($C$27&lt;=0,0,MAX($C$27*Inputs!$C$16/12,Inputs!$C$8)))+$D$27*(1+Inputs!$C$11*(Inputs!$C$16-Inputs!$C$12)/12)+$D$27*(1+Inputs!$C$11*(Inputs!$C$16-Inputs!$C$13)/12)+Inputs!$C$14)</f>
        <v>14323.5</v>
      </c>
      <c r="K29" s="40" t="n">
        <f aca="false">IRR($N$32:$AY$32,0.005)</f>
        <v>0.00647302477528465</v>
      </c>
      <c r="L29" s="41" t="n">
        <f aca="false">(1+$K$29)^12-1</f>
        <v>0.0805022470973211</v>
      </c>
    </row>
    <row r="30" customFormat="false" ht="15" hidden="false" customHeight="false" outlineLevel="0" collapsed="false">
      <c r="B30" s="9" t="s">
        <v>185</v>
      </c>
      <c r="N30" s="40" t="n">
        <f aca="false">0</f>
        <v>0</v>
      </c>
      <c r="O30" s="40" t="n">
        <f aca="false">$E$27*(CHOOSE($L$27,Timing!D$7,Timing!D$8)-CHOOSE($L$27,Timing!C$7,Timing!C$8))</f>
        <v>0.1116</v>
      </c>
      <c r="P30" s="40" t="n">
        <f aca="false">$E$27*(CHOOSE($L$27,Timing!E$7,Timing!E$8)-CHOOSE($L$27,Timing!D$7,Timing!D$8))</f>
        <v>0.093</v>
      </c>
      <c r="Q30" s="40" t="n">
        <f aca="false">$E$27*(CHOOSE($L$27,Timing!F$7,Timing!F$8)-CHOOSE($L$27,Timing!E$7,Timing!E$8))</f>
        <v>0.0837</v>
      </c>
      <c r="R30" s="40" t="n">
        <f aca="false">$E$27*(CHOOSE($L$27,Timing!G$7,Timing!G$8)-CHOOSE($L$27,Timing!F$7,Timing!F$8))</f>
        <v>0.0651</v>
      </c>
      <c r="S30" s="40" t="n">
        <f aca="false">$E$27*(CHOOSE($L$27,Timing!H$7,Timing!H$8)-CHOOSE($L$27,Timing!G$7,Timing!G$8))</f>
        <v>0.0651</v>
      </c>
      <c r="T30" s="40" t="n">
        <f aca="false">$E$27*(CHOOSE($L$27,Timing!I$7,Timing!I$8)-CHOOSE($L$27,Timing!H$7,Timing!H$8))</f>
        <v>0.0651</v>
      </c>
      <c r="U30" s="40" t="n">
        <f aca="false">$E$27*(CHOOSE($L$27,Timing!J$7,Timing!J$8)-CHOOSE($L$27,Timing!I$7,Timing!I$8))</f>
        <v>0.0403</v>
      </c>
      <c r="V30" s="40" t="n">
        <f aca="false">$E$27*(CHOOSE($L$27,Timing!K$7,Timing!K$8)-CHOOSE($L$27,Timing!J$7,Timing!J$8))</f>
        <v>0.0403</v>
      </c>
      <c r="W30" s="40" t="n">
        <f aca="false">$E$27*(CHOOSE($L$27,Timing!L$7,Timing!L$8)-CHOOSE($L$27,Timing!K$7,Timing!K$8))</f>
        <v>0.0403</v>
      </c>
      <c r="X30" s="40" t="n">
        <f aca="false">$E$27*(CHOOSE($L$27,Timing!M$7,Timing!M$8)-CHOOSE($L$27,Timing!L$7,Timing!L$8))</f>
        <v>0.0341</v>
      </c>
      <c r="Y30" s="40" t="n">
        <f aca="false">$E$27*(CHOOSE($L$27,Timing!N$7,Timing!N$8)-CHOOSE($L$27,Timing!M$7,Timing!M$8))</f>
        <v>0.0341000000000001</v>
      </c>
      <c r="Z30" s="40" t="n">
        <f aca="false">$E$27*(CHOOSE($L$27,Timing!O$7,Timing!O$8)-CHOOSE($L$27,Timing!N$7,Timing!N$8))</f>
        <v>0.0341</v>
      </c>
      <c r="AA30" s="40" t="n">
        <f aca="false">$E$27*(CHOOSE($L$27,Timing!P$7,Timing!P$8)-CHOOSE($L$27,Timing!O$7,Timing!O$8))</f>
        <v>0.0217</v>
      </c>
      <c r="AB30" s="40" t="n">
        <f aca="false">$E$27*(CHOOSE($L$27,Timing!Q$7,Timing!Q$8)-CHOOSE($L$27,Timing!P$7,Timing!P$8))</f>
        <v>0.0217</v>
      </c>
      <c r="AC30" s="40" t="n">
        <f aca="false">$E$27*(CHOOSE($L$27,Timing!R$7,Timing!R$8)-CHOOSE($L$27,Timing!Q$7,Timing!Q$8))</f>
        <v>0.0217000000000001</v>
      </c>
      <c r="AD30" s="40" t="n">
        <f aca="false">$E$27*(CHOOSE($L$27,Timing!S$7,Timing!S$8)-CHOOSE($L$27,Timing!R$7,Timing!R$8))</f>
        <v>0.0217</v>
      </c>
      <c r="AE30" s="40" t="n">
        <f aca="false">$E$27*(CHOOSE($L$27,Timing!T$7,Timing!T$8)-CHOOSE($L$27,Timing!S$7,Timing!S$8))</f>
        <v>0.0217</v>
      </c>
      <c r="AF30" s="40" t="n">
        <f aca="false">$E$27*(CHOOSE($L$27,Timing!U$7,Timing!U$8)-CHOOSE($L$27,Timing!T$7,Timing!T$8))</f>
        <v>0.0217</v>
      </c>
      <c r="AG30" s="40" t="n">
        <f aca="false">$E$27*(CHOOSE($L$27,Timing!V$7,Timing!V$8)-CHOOSE($L$27,Timing!U$7,Timing!U$8))</f>
        <v>0.0155</v>
      </c>
      <c r="AH30" s="40" t="n">
        <f aca="false">$E$27*(CHOOSE($L$27,Timing!W$7,Timing!W$8)-CHOOSE($L$27,Timing!V$7,Timing!V$8))</f>
        <v>0.0154999999999999</v>
      </c>
      <c r="AI30" s="40" t="n">
        <f aca="false">$E$27*(CHOOSE($L$27,Timing!X$7,Timing!X$8)-CHOOSE($L$27,Timing!W$7,Timing!W$8))</f>
        <v>0.0154999999999999</v>
      </c>
      <c r="AJ30" s="40" t="n">
        <f aca="false">$E$27*(CHOOSE($L$27,Timing!Y$7,Timing!Y$8)-CHOOSE($L$27,Timing!X$7,Timing!X$8))</f>
        <v>0.0155</v>
      </c>
      <c r="AK30" s="40" t="n">
        <f aca="false">$E$27*(CHOOSE($L$27,Timing!Z$7,Timing!Z$8)-CHOOSE($L$27,Timing!Y$7,Timing!Y$8))</f>
        <v>0.0155</v>
      </c>
      <c r="AL30" s="40" t="n">
        <f aca="false">$E$27*(CHOOSE($L$27,Timing!AA$7,Timing!AA$8)-CHOOSE($L$27,Timing!Z$7,Timing!Z$8))</f>
        <v>0.0154999999999999</v>
      </c>
    </row>
    <row r="31" customFormat="false" ht="15" hidden="false" customHeight="false" outlineLevel="0" collapsed="false">
      <c r="B31" s="9" t="s">
        <v>186</v>
      </c>
      <c r="N31" s="42" t="n">
        <f aca="false">0</f>
        <v>0</v>
      </c>
      <c r="O31" s="42" t="n">
        <f aca="false">$D$27*(1+IF($C$27&lt;=0,0,MAX($C$27*O$5/12,Inputs!$C$8)))+$I$27*(O$5&gt;Inputs!$C$12)*$D$27*(1+Inputs!$C$11*(O$5-Inputs!$C$12)/12)</f>
        <v>3780</v>
      </c>
      <c r="P31" s="42" t="n">
        <f aca="false">$D$27*(1+IF($C$27&lt;=0,0,MAX($C$27*P$5/12,Inputs!$C$8)))+$I$27*(P$5&gt;Inputs!$C$12)*$D$27*(1+Inputs!$C$11*(P$5-Inputs!$C$12)/12)</f>
        <v>3780</v>
      </c>
      <c r="Q31" s="42" t="n">
        <f aca="false">$D$27*(1+IF($C$27&lt;=0,0,MAX($C$27*Q$5/12,Inputs!$C$8)))+$I$27*(Q$5&gt;Inputs!$C$12)*$D$27*(1+Inputs!$C$11*(Q$5-Inputs!$C$12)/12)</f>
        <v>3780</v>
      </c>
      <c r="R31" s="42" t="n">
        <f aca="false">$D$27*(1+IF($C$27&lt;=0,0,MAX($C$27*R$5/12,Inputs!$C$8)))+$I$27*(R$5&gt;Inputs!$C$12)*$D$27*(1+Inputs!$C$11*(R$5-Inputs!$C$12)/12)</f>
        <v>3780</v>
      </c>
      <c r="S31" s="42" t="n">
        <f aca="false">$D$27*(1+IF($C$27&lt;=0,0,MAX($C$27*S$5/12,Inputs!$C$8)))+$I$27*(S$5&gt;Inputs!$C$12)*$D$27*(1+Inputs!$C$11*(S$5-Inputs!$C$12)/12)</f>
        <v>3780</v>
      </c>
      <c r="T31" s="42" t="n">
        <f aca="false">$D$27*(1+IF($C$27&lt;=0,0,MAX($C$27*T$5/12,Inputs!$C$8)))+$I$27*(T$5&gt;Inputs!$C$12)*$D$27*(1+Inputs!$C$11*(T$5-Inputs!$C$12)/12)</f>
        <v>3780</v>
      </c>
      <c r="U31" s="42" t="n">
        <f aca="false">$D$27*(1+IF($C$27&lt;=0,0,MAX($C$27*U$5/12,Inputs!$C$8)))+$I$27*(U$5&gt;Inputs!$C$12)*$D$27*(1+Inputs!$C$11*(U$5-Inputs!$C$12)/12)</f>
        <v>3780</v>
      </c>
      <c r="V31" s="42" t="n">
        <f aca="false">$D$27*(1+IF($C$27&lt;=0,0,MAX($C$27*V$5/12,Inputs!$C$8)))+$I$27*(V$5&gt;Inputs!$C$12)*$D$27*(1+Inputs!$C$11*(V$5-Inputs!$C$12)/12)</f>
        <v>3780</v>
      </c>
      <c r="W31" s="42" t="n">
        <f aca="false">$D$27*(1+IF($C$27&lt;=0,0,MAX($C$27*W$5/12,Inputs!$C$8)))+$I$27*(W$5&gt;Inputs!$C$12)*$D$27*(1+Inputs!$C$11*(W$5-Inputs!$C$12)/12)</f>
        <v>3780</v>
      </c>
      <c r="X31" s="42" t="n">
        <f aca="false">$D$27*(1+IF($C$27&lt;=0,0,MAX($C$27*X$5/12,Inputs!$C$8)))+$I$27*(X$5&gt;Inputs!$C$12)*$D$27*(1+Inputs!$C$11*(X$5-Inputs!$C$12)/12)</f>
        <v>3780</v>
      </c>
      <c r="Y31" s="42" t="n">
        <f aca="false">$D$27*(1+IF($C$27&lt;=0,0,MAX($C$27*Y$5/12,Inputs!$C$8)))+$I$27*(Y$5&gt;Inputs!$C$12)*$D$27*(1+Inputs!$C$11*(Y$5-Inputs!$C$12)/12)</f>
        <v>3780</v>
      </c>
      <c r="Z31" s="42" t="n">
        <f aca="false">$D$27*(1+IF($C$27&lt;=0,0,MAX($C$27*Z$5/12,Inputs!$C$8)))+$I$27*(Z$5&gt;Inputs!$C$12)*$D$27*(1+Inputs!$C$11*(Z$5-Inputs!$C$12)/12)</f>
        <v>3780</v>
      </c>
      <c r="AA31" s="42" t="n">
        <f aca="false">$D$27*(1+IF($C$27&lt;=0,0,MAX($C$27*AA$5/12,Inputs!$C$8)))+$I$27*(AA$5&gt;Inputs!$C$12)*$D$27*(1+Inputs!$C$11*(AA$5-Inputs!$C$12)/12)</f>
        <v>7439.25</v>
      </c>
      <c r="AB31" s="42" t="n">
        <f aca="false">$D$27*(1+IF($C$27&lt;=0,0,MAX($C$27*AB$5/12,Inputs!$C$8)))+$I$27*(AB$5&gt;Inputs!$C$12)*$D$27*(1+Inputs!$C$11*(AB$5-Inputs!$C$12)/12)</f>
        <v>7507.5</v>
      </c>
      <c r="AC31" s="42" t="n">
        <f aca="false">$D$27*(1+IF($C$27&lt;=0,0,MAX($C$27*AC$5/12,Inputs!$C$8)))+$I$27*(AC$5&gt;Inputs!$C$12)*$D$27*(1+Inputs!$C$11*(AC$5-Inputs!$C$12)/12)</f>
        <v>7575.75</v>
      </c>
      <c r="AD31" s="42" t="n">
        <f aca="false">$D$27*(1+IF($C$27&lt;=0,0,MAX($C$27*AD$5/12,Inputs!$C$8)))+$I$27*(AD$5&gt;Inputs!$C$12)*$D$27*(1+Inputs!$C$11*(AD$5-Inputs!$C$12)/12)</f>
        <v>7644</v>
      </c>
      <c r="AE31" s="42" t="n">
        <f aca="false">$D$27*(1+IF($C$27&lt;=0,0,MAX($C$27*AE$5/12,Inputs!$C$8)))+$I$27*(AE$5&gt;Inputs!$C$12)*$D$27*(1+Inputs!$C$11*(AE$5-Inputs!$C$12)/12)</f>
        <v>7712.25</v>
      </c>
      <c r="AF31" s="42" t="n">
        <f aca="false">$D$27*(1+IF($C$27&lt;=0,0,MAX($C$27*AF$5/12,Inputs!$C$8)))+$I$27*(AF$5&gt;Inputs!$C$12)*$D$27*(1+Inputs!$C$11*(AF$5-Inputs!$C$12)/12)</f>
        <v>7780.5</v>
      </c>
      <c r="AG31" s="42" t="n">
        <f aca="false">$D$27*(1+IF($C$27&lt;=0,0,MAX($C$27*AG$5/12,Inputs!$C$8)))+$I$27*(AG$5&gt;Inputs!$C$12)*$D$27*(1+Inputs!$C$11*(AG$5-Inputs!$C$12)/12)</f>
        <v>7848.75</v>
      </c>
      <c r="AH31" s="42" t="n">
        <f aca="false">$D$27*(1+IF($C$27&lt;=0,0,MAX($C$27*AH$5/12,Inputs!$C$8)))+$I$27*(AH$5&gt;Inputs!$C$12)*$D$27*(1+Inputs!$C$11*(AH$5-Inputs!$C$12)/12)</f>
        <v>7917</v>
      </c>
      <c r="AI31" s="42" t="n">
        <f aca="false">$D$27*(1+IF($C$27&lt;=0,0,MAX($C$27*AI$5/12,Inputs!$C$8)))+$I$27*(AI$5&gt;Inputs!$C$12)*$D$27*(1+Inputs!$C$11*(AI$5-Inputs!$C$12)/12)</f>
        <v>7985.25</v>
      </c>
      <c r="AJ31" s="42" t="n">
        <f aca="false">$D$27*(1+IF($C$27&lt;=0,0,MAX($C$27*AJ$5/12,Inputs!$C$8)))+$I$27*(AJ$5&gt;Inputs!$C$12)*$D$27*(1+Inputs!$C$11*(AJ$5-Inputs!$C$12)/12)</f>
        <v>8053.5</v>
      </c>
      <c r="AK31" s="42" t="n">
        <f aca="false">$D$27*(1+IF($C$27&lt;=0,0,MAX($C$27*AK$5/12,Inputs!$C$8)))+$I$27*(AK$5&gt;Inputs!$C$12)*$D$27*(1+Inputs!$C$11*(AK$5-Inputs!$C$12)/12)</f>
        <v>8121.75</v>
      </c>
      <c r="AL31" s="42" t="n">
        <f aca="false">$D$27*(1+IF($C$27&lt;=0,0,MAX($C$27*AL$5/12,Inputs!$C$8)))+$I$27*(AL$5&gt;Inputs!$C$12)*$D$27*(1+Inputs!$C$11*(AL$5-Inputs!$C$12)/12)</f>
        <v>8190</v>
      </c>
    </row>
    <row r="32" customFormat="false" ht="15" hidden="false" customHeight="false" outlineLevel="0" collapsed="false">
      <c r="B32" s="31" t="s">
        <v>187</v>
      </c>
      <c r="N32" s="42" t="n">
        <f aca="false">-($D$27+$J$27)*(N$5=0)+IF(AND(N$5-$K$27&gt;=1,N$5-$K$27&lt;=Inputs!$C$13),INDEX($N$30:$AL$30,1,N$5-$K$27+1)*INDEX($N$31:$AL$31,1,N$5-$K$27+1),0)-$I$27*((N$5=Inputs!$C$12)*$C$29*$D$27+(N$5=Inputs!$C$13)*$D$29*($D$27+Inputs!$C$14))+$I$27*((N$5=Inputs!$C$15+$K$27)*$E$29*$I$29+(N$5=Inputs!$C$16+$K$27)*$F$29*$J$29+(N$5=Inputs!$C$17)*$G$29*$H$27*$H$29)</f>
        <v>-3610</v>
      </c>
      <c r="O32" s="42" t="n">
        <f aca="false">-($D$27+$J$27)*(O$5=0)+IF(AND(O$5-$K$27&gt;=1,O$5-$K$27&lt;=Inputs!$C$13),INDEX($N$30:$AL$30,1,O$5-$K$27+1)*INDEX($N$31:$AL$31,1,O$5-$K$27+1),0)-$I$27*((O$5=Inputs!$C$12)*$C$29*$D$27+(O$5=Inputs!$C$13)*$D$29*($D$27+Inputs!$C$14))+$I$27*((O$5=Inputs!$C$15+$K$27)*$E$29*$I$29+(O$5=Inputs!$C$16+$K$27)*$F$29*$J$29+(O$5=Inputs!$C$17)*$G$29*$H$27*$H$29)</f>
        <v>0</v>
      </c>
      <c r="P32" s="42" t="n">
        <f aca="false">-($D$27+$J$27)*(P$5=0)+IF(AND(P$5-$K$27&gt;=1,P$5-$K$27&lt;=Inputs!$C$13),INDEX($N$30:$AL$30,1,P$5-$K$27+1)*INDEX($N$31:$AL$31,1,P$5-$K$27+1),0)-$I$27*((P$5=Inputs!$C$12)*$C$29*$D$27+(P$5=Inputs!$C$13)*$D$29*($D$27+Inputs!$C$14))+$I$27*((P$5=Inputs!$C$15+$K$27)*$E$29*$I$29+(P$5=Inputs!$C$16+$K$27)*$F$29*$J$29+(P$5=Inputs!$C$17)*$G$29*$H$27*$H$29)</f>
        <v>421.848</v>
      </c>
      <c r="Q32" s="42" t="n">
        <f aca="false">-($D$27+$J$27)*(Q$5=0)+IF(AND(Q$5-$K$27&gt;=1,Q$5-$K$27&lt;=Inputs!$C$13),INDEX($N$30:$AL$30,1,Q$5-$K$27+1)*INDEX($N$31:$AL$31,1,Q$5-$K$27+1),0)-$I$27*((Q$5=Inputs!$C$12)*$C$29*$D$27+(Q$5=Inputs!$C$13)*$D$29*($D$27+Inputs!$C$14))+$I$27*((Q$5=Inputs!$C$15+$K$27)*$E$29*$I$29+(Q$5=Inputs!$C$16+$K$27)*$F$29*$J$29+(Q$5=Inputs!$C$17)*$G$29*$H$27*$H$29)</f>
        <v>351.54</v>
      </c>
      <c r="R32" s="42" t="n">
        <f aca="false">-($D$27+$J$27)*(R$5=0)+IF(AND(R$5-$K$27&gt;=1,R$5-$K$27&lt;=Inputs!$C$13),INDEX($N$30:$AL$30,1,R$5-$K$27+1)*INDEX($N$31:$AL$31,1,R$5-$K$27+1),0)-$I$27*((R$5=Inputs!$C$12)*$C$29*$D$27+(R$5=Inputs!$C$13)*$D$29*($D$27+Inputs!$C$14))+$I$27*((R$5=Inputs!$C$15+$K$27)*$E$29*$I$29+(R$5=Inputs!$C$16+$K$27)*$F$29*$J$29+(R$5=Inputs!$C$17)*$G$29*$H$27*$H$29)</f>
        <v>316.386</v>
      </c>
      <c r="S32" s="42" t="n">
        <f aca="false">-($D$27+$J$27)*(S$5=0)+IF(AND(S$5-$K$27&gt;=1,S$5-$K$27&lt;=Inputs!$C$13),INDEX($N$30:$AL$30,1,S$5-$K$27+1)*INDEX($N$31:$AL$31,1,S$5-$K$27+1),0)-$I$27*((S$5=Inputs!$C$12)*$C$29*$D$27+(S$5=Inputs!$C$13)*$D$29*($D$27+Inputs!$C$14))+$I$27*((S$5=Inputs!$C$15+$K$27)*$E$29*$I$29+(S$5=Inputs!$C$16+$K$27)*$F$29*$J$29+(S$5=Inputs!$C$17)*$G$29*$H$27*$H$29)</f>
        <v>246.078</v>
      </c>
      <c r="T32" s="42" t="n">
        <f aca="false">-($D$27+$J$27)*(T$5=0)+IF(AND(T$5-$K$27&gt;=1,T$5-$K$27&lt;=Inputs!$C$13),INDEX($N$30:$AL$30,1,T$5-$K$27+1)*INDEX($N$31:$AL$31,1,T$5-$K$27+1),0)-$I$27*((T$5=Inputs!$C$12)*$C$29*$D$27+(T$5=Inputs!$C$13)*$D$29*($D$27+Inputs!$C$14))+$I$27*((T$5=Inputs!$C$15+$K$27)*$E$29*$I$29+(T$5=Inputs!$C$16+$K$27)*$F$29*$J$29+(T$5=Inputs!$C$17)*$G$29*$H$27*$H$29)</f>
        <v>246.078</v>
      </c>
      <c r="U32" s="42" t="n">
        <f aca="false">-($D$27+$J$27)*(U$5=0)+IF(AND(U$5-$K$27&gt;=1,U$5-$K$27&lt;=Inputs!$C$13),INDEX($N$30:$AL$30,1,U$5-$K$27+1)*INDEX($N$31:$AL$31,1,U$5-$K$27+1),0)-$I$27*((U$5=Inputs!$C$12)*$C$29*$D$27+(U$5=Inputs!$C$13)*$D$29*($D$27+Inputs!$C$14))+$I$27*((U$5=Inputs!$C$15+$K$27)*$E$29*$I$29+(U$5=Inputs!$C$16+$K$27)*$F$29*$J$29+(U$5=Inputs!$C$17)*$G$29*$H$27*$H$29)</f>
        <v>246.078</v>
      </c>
      <c r="V32" s="42" t="n">
        <f aca="false">-($D$27+$J$27)*(V$5=0)+IF(AND(V$5-$K$27&gt;=1,V$5-$K$27&lt;=Inputs!$C$13),INDEX($N$30:$AL$30,1,V$5-$K$27+1)*INDEX($N$31:$AL$31,1,V$5-$K$27+1),0)-$I$27*((V$5=Inputs!$C$12)*$C$29*$D$27+(V$5=Inputs!$C$13)*$D$29*($D$27+Inputs!$C$14))+$I$27*((V$5=Inputs!$C$15+$K$27)*$E$29*$I$29+(V$5=Inputs!$C$16+$K$27)*$F$29*$J$29+(V$5=Inputs!$C$17)*$G$29*$H$27*$H$29)</f>
        <v>152.334</v>
      </c>
      <c r="W32" s="42" t="n">
        <f aca="false">-($D$27+$J$27)*(W$5=0)+IF(AND(W$5-$K$27&gt;=1,W$5-$K$27&lt;=Inputs!$C$13),INDEX($N$30:$AL$30,1,W$5-$K$27+1)*INDEX($N$31:$AL$31,1,W$5-$K$27+1),0)-$I$27*((W$5=Inputs!$C$12)*$C$29*$D$27+(W$5=Inputs!$C$13)*$D$29*($D$27+Inputs!$C$14))+$I$27*((W$5=Inputs!$C$15+$K$27)*$E$29*$I$29+(W$5=Inputs!$C$16+$K$27)*$F$29*$J$29+(W$5=Inputs!$C$17)*$G$29*$H$27*$H$29)</f>
        <v>152.334</v>
      </c>
      <c r="X32" s="42" t="n">
        <f aca="false">-($D$27+$J$27)*(X$5=0)+IF(AND(X$5-$K$27&gt;=1,X$5-$K$27&lt;=Inputs!$C$13),INDEX($N$30:$AL$30,1,X$5-$K$27+1)*INDEX($N$31:$AL$31,1,X$5-$K$27+1),0)-$I$27*((X$5=Inputs!$C$12)*$C$29*$D$27+(X$5=Inputs!$C$13)*$D$29*($D$27+Inputs!$C$14))+$I$27*((X$5=Inputs!$C$15+$K$27)*$E$29*$I$29+(X$5=Inputs!$C$16+$K$27)*$F$29*$J$29+(X$5=Inputs!$C$17)*$G$29*$H$27*$H$29)</f>
        <v>152.334</v>
      </c>
      <c r="Y32" s="42" t="n">
        <f aca="false">-($D$27+$J$27)*(Y$5=0)+IF(AND(Y$5-$K$27&gt;=1,Y$5-$K$27&lt;=Inputs!$C$13),INDEX($N$30:$AL$30,1,Y$5-$K$27+1)*INDEX($N$31:$AL$31,1,Y$5-$K$27+1),0)-$I$27*((Y$5=Inputs!$C$12)*$C$29*$D$27+(Y$5=Inputs!$C$13)*$D$29*($D$27+Inputs!$C$14))+$I$27*((Y$5=Inputs!$C$15+$K$27)*$E$29*$I$29+(Y$5=Inputs!$C$16+$K$27)*$F$29*$J$29+(Y$5=Inputs!$C$17)*$G$29*$H$27*$H$29)</f>
        <v>128.898</v>
      </c>
      <c r="Z32" s="42" t="n">
        <f aca="false">-($D$27+$J$27)*(Z$5=0)+IF(AND(Z$5-$K$27&gt;=1,Z$5-$K$27&lt;=Inputs!$C$13),INDEX($N$30:$AL$30,1,Z$5-$K$27+1)*INDEX($N$31:$AL$31,1,Z$5-$K$27+1),0)-$I$27*((Z$5=Inputs!$C$12)*$C$29*$D$27+(Z$5=Inputs!$C$13)*$D$29*($D$27+Inputs!$C$14))+$I$27*((Z$5=Inputs!$C$15+$K$27)*$E$29*$I$29+(Z$5=Inputs!$C$16+$K$27)*$F$29*$J$29+(Z$5=Inputs!$C$17)*$G$29*$H$27*$H$29)</f>
        <v>-926.622</v>
      </c>
      <c r="AA32" s="42" t="n">
        <f aca="false">-($D$27+$J$27)*(AA$5=0)+IF(AND(AA$5-$K$27&gt;=1,AA$5-$K$27&lt;=Inputs!$C$13),INDEX($N$30:$AL$30,1,AA$5-$K$27+1)*INDEX($N$31:$AL$31,1,AA$5-$K$27+1),0)-$I$27*((AA$5=Inputs!$C$12)*$C$29*$D$27+(AA$5=Inputs!$C$13)*$D$29*($D$27+Inputs!$C$14))+$I$27*((AA$5=Inputs!$C$15+$K$27)*$E$29*$I$29+(AA$5=Inputs!$C$16+$K$27)*$F$29*$J$29+(AA$5=Inputs!$C$17)*$G$29*$H$27*$H$29)</f>
        <v>128.898</v>
      </c>
      <c r="AB32" s="42" t="n">
        <f aca="false">-($D$27+$J$27)*(AB$5=0)+IF(AND(AB$5-$K$27&gt;=1,AB$5-$K$27&lt;=Inputs!$C$13),INDEX($N$30:$AL$30,1,AB$5-$K$27+1)*INDEX($N$31:$AL$31,1,AB$5-$K$27+1),0)-$I$27*((AB$5=Inputs!$C$12)*$C$29*$D$27+(AB$5=Inputs!$C$13)*$D$29*($D$27+Inputs!$C$14))+$I$27*((AB$5=Inputs!$C$15+$K$27)*$E$29*$I$29+(AB$5=Inputs!$C$16+$K$27)*$F$29*$J$29+(AB$5=Inputs!$C$17)*$G$29*$H$27*$H$29)</f>
        <v>161.431725</v>
      </c>
      <c r="AC32" s="42" t="n">
        <f aca="false">-($D$27+$J$27)*(AC$5=0)+IF(AND(AC$5-$K$27&gt;=1,AC$5-$K$27&lt;=Inputs!$C$13),INDEX($N$30:$AL$30,1,AC$5-$K$27+1)*INDEX($N$31:$AL$31,1,AC$5-$K$27+1),0)-$I$27*((AC$5=Inputs!$C$12)*$C$29*$D$27+(AC$5=Inputs!$C$13)*$D$29*($D$27+Inputs!$C$14))+$I$27*((AC$5=Inputs!$C$15+$K$27)*$E$29*$I$29+(AC$5=Inputs!$C$16+$K$27)*$F$29*$J$29+(AC$5=Inputs!$C$17)*$G$29*$H$27*$H$29)</f>
        <v>162.91275</v>
      </c>
      <c r="AD32" s="42" t="n">
        <f aca="false">-($D$27+$J$27)*(AD$5=0)+IF(AND(AD$5-$K$27&gt;=1,AD$5-$K$27&lt;=Inputs!$C$13),INDEX($N$30:$AL$30,1,AD$5-$K$27+1)*INDEX($N$31:$AL$31,1,AD$5-$K$27+1),0)-$I$27*((AD$5=Inputs!$C$12)*$C$29*$D$27+(AD$5=Inputs!$C$13)*$D$29*($D$27+Inputs!$C$14))+$I$27*((AD$5=Inputs!$C$15+$K$27)*$E$29*$I$29+(AD$5=Inputs!$C$16+$K$27)*$F$29*$J$29+(AD$5=Inputs!$C$17)*$G$29*$H$27*$H$29)</f>
        <v>164.393775000001</v>
      </c>
      <c r="AE32" s="42" t="n">
        <f aca="false">-($D$27+$J$27)*(AE$5=0)+IF(AND(AE$5-$K$27&gt;=1,AE$5-$K$27&lt;=Inputs!$C$13),INDEX($N$30:$AL$30,1,AE$5-$K$27+1)*INDEX($N$31:$AL$31,1,AE$5-$K$27+1),0)-$I$27*((AE$5=Inputs!$C$12)*$C$29*$D$27+(AE$5=Inputs!$C$13)*$D$29*($D$27+Inputs!$C$14))+$I$27*((AE$5=Inputs!$C$15+$K$27)*$E$29*$I$29+(AE$5=Inputs!$C$16+$K$27)*$F$29*$J$29+(AE$5=Inputs!$C$17)*$G$29*$H$27*$H$29)</f>
        <v>165.8748</v>
      </c>
      <c r="AF32" s="42" t="n">
        <f aca="false">-($D$27+$J$27)*(AF$5=0)+IF(AND(AF$5-$K$27&gt;=1,AF$5-$K$27&lt;=Inputs!$C$13),INDEX($N$30:$AL$30,1,AF$5-$K$27+1)*INDEX($N$31:$AL$31,1,AF$5-$K$27+1),0)-$I$27*((AF$5=Inputs!$C$12)*$C$29*$D$27+(AF$5=Inputs!$C$13)*$D$29*($D$27+Inputs!$C$14))+$I$27*((AF$5=Inputs!$C$15+$K$27)*$E$29*$I$29+(AF$5=Inputs!$C$16+$K$27)*$F$29*$J$29+(AF$5=Inputs!$C$17)*$G$29*$H$27*$H$29)</f>
        <v>167.355825</v>
      </c>
      <c r="AG32" s="42" t="n">
        <f aca="false">-($D$27+$J$27)*(AG$5=0)+IF(AND(AG$5-$K$27&gt;=1,AG$5-$K$27&lt;=Inputs!$C$13),INDEX($N$30:$AL$30,1,AG$5-$K$27+1)*INDEX($N$31:$AL$31,1,AG$5-$K$27+1),0)-$I$27*((AG$5=Inputs!$C$12)*$C$29*$D$27+(AG$5=Inputs!$C$13)*$D$29*($D$27+Inputs!$C$14))+$I$27*((AG$5=Inputs!$C$15+$K$27)*$E$29*$I$29+(AG$5=Inputs!$C$16+$K$27)*$F$29*$J$29+(AG$5=Inputs!$C$17)*$G$29*$H$27*$H$29)</f>
        <v>168.83685</v>
      </c>
      <c r="AH32" s="42" t="n">
        <f aca="false">-($D$27+$J$27)*(AH$5=0)+IF(AND(AH$5-$K$27&gt;=1,AH$5-$K$27&lt;=Inputs!$C$13),INDEX($N$30:$AL$30,1,AH$5-$K$27+1)*INDEX($N$31:$AL$31,1,AH$5-$K$27+1),0)-$I$27*((AH$5=Inputs!$C$12)*$C$29*$D$27+(AH$5=Inputs!$C$13)*$D$29*($D$27+Inputs!$C$14))+$I$27*((AH$5=Inputs!$C$15+$K$27)*$E$29*$I$29+(AH$5=Inputs!$C$16+$K$27)*$F$29*$J$29+(AH$5=Inputs!$C$17)*$G$29*$H$27*$H$29)</f>
        <v>121.655625</v>
      </c>
      <c r="AI32" s="42" t="n">
        <f aca="false">-($D$27+$J$27)*(AI$5=0)+IF(AND(AI$5-$K$27&gt;=1,AI$5-$K$27&lt;=Inputs!$C$13),INDEX($N$30:$AL$30,1,AI$5-$K$27+1)*INDEX($N$31:$AL$31,1,AI$5-$K$27+1),0)-$I$27*((AI$5=Inputs!$C$12)*$C$29*$D$27+(AI$5=Inputs!$C$13)*$D$29*($D$27+Inputs!$C$14))+$I$27*((AI$5=Inputs!$C$15+$K$27)*$E$29*$I$29+(AI$5=Inputs!$C$16+$K$27)*$F$29*$J$29+(AI$5=Inputs!$C$17)*$G$29*$H$27*$H$29)</f>
        <v>122.7135</v>
      </c>
      <c r="AJ32" s="42" t="n">
        <f aca="false">-($D$27+$J$27)*(AJ$5=0)+IF(AND(AJ$5-$K$27&gt;=1,AJ$5-$K$27&lt;=Inputs!$C$13),INDEX($N$30:$AL$30,1,AJ$5-$K$27+1)*INDEX($N$31:$AL$31,1,AJ$5-$K$27+1),0)-$I$27*((AJ$5=Inputs!$C$12)*$C$29*$D$27+(AJ$5=Inputs!$C$13)*$D$29*($D$27+Inputs!$C$14))+$I$27*((AJ$5=Inputs!$C$15+$K$27)*$E$29*$I$29+(AJ$5=Inputs!$C$16+$K$27)*$F$29*$J$29+(AJ$5=Inputs!$C$17)*$G$29*$H$27*$H$29)</f>
        <v>123.771375</v>
      </c>
      <c r="AK32" s="42" t="n">
        <f aca="false">-($D$27+$J$27)*(AK$5=0)+IF(AND(AK$5-$K$27&gt;=1,AK$5-$K$27&lt;=Inputs!$C$13),INDEX($N$30:$AL$30,1,AK$5-$K$27+1)*INDEX($N$31:$AL$31,1,AK$5-$K$27+1),0)-$I$27*((AK$5=Inputs!$C$12)*$C$29*$D$27+(AK$5=Inputs!$C$13)*$D$29*($D$27+Inputs!$C$14))+$I$27*((AK$5=Inputs!$C$15+$K$27)*$E$29*$I$29+(AK$5=Inputs!$C$16+$K$27)*$F$29*$J$29+(AK$5=Inputs!$C$17)*$G$29*$H$27*$H$29)</f>
        <v>124.82925</v>
      </c>
      <c r="AL32" s="42" t="n">
        <f aca="false">-($D$27+$J$27)*(AL$5=0)+IF(AND(AL$5-$K$27&gt;=1,AL$5-$K$27&lt;=Inputs!$C$13),INDEX($N$30:$AL$30,1,AL$5-$K$27+1)*INDEX($N$31:$AL$31,1,AL$5-$K$27+1),0)-$I$27*((AL$5=Inputs!$C$12)*$C$29*$D$27+(AL$5=Inputs!$C$13)*$D$29*($D$27+Inputs!$C$14))+$I$27*((AL$5=Inputs!$C$15+$K$27)*$E$29*$I$29+(AL$5=Inputs!$C$16+$K$27)*$F$29*$J$29+(AL$5=Inputs!$C$17)*$G$29*$H$27*$H$29)</f>
        <v>-252.112874999999</v>
      </c>
      <c r="AM32" s="42" t="n">
        <f aca="false">-($D$27+$J$27)*(AM$5=0)+IF(AND(AM$5-$K$27&gt;=1,AM$5-$K$27&lt;=Inputs!$C$13),INDEX($N$30:$AL$30,1,AM$5-$K$27+1)*INDEX($N$31:$AL$31,1,AM$5-$K$27+1),0)-$I$27*((AM$5=Inputs!$C$12)*$C$29*$D$27+(AM$5=Inputs!$C$13)*$D$29*($D$27+Inputs!$C$14))+$I$27*((AM$5=Inputs!$C$15+$K$27)*$E$29*$I$29+(AM$5=Inputs!$C$16+$K$27)*$F$29*$J$29+(AM$5=Inputs!$C$17)*$G$29*$H$27*$H$29)</f>
        <v>126.945</v>
      </c>
      <c r="AN32" s="42" t="n">
        <f aca="false">-($D$27+$J$27)*(AN$5=0)+IF(AND(AN$5-$K$27&gt;=1,AN$5-$K$27&lt;=Inputs!$C$13),INDEX($N$30:$AL$30,1,AN$5-$K$27+1)*INDEX($N$31:$AL$31,1,AN$5-$K$27+1),0)-$I$27*((AN$5=Inputs!$C$12)*$C$29*$D$27+(AN$5=Inputs!$C$13)*$D$29*($D$27+Inputs!$C$14))+$I$27*((AN$5=Inputs!$C$15+$K$27)*$E$29*$I$29+(AN$5=Inputs!$C$16+$K$27)*$F$29*$J$29+(AN$5=Inputs!$C$17)*$G$29*$H$27*$H$29)</f>
        <v>0</v>
      </c>
      <c r="AO32" s="42" t="n">
        <f aca="false">-($D$27+$J$27)*(AO$5=0)+IF(AND(AO$5-$K$27&gt;=1,AO$5-$K$27&lt;=Inputs!$C$13),INDEX($N$30:$AL$30,1,AO$5-$K$27+1)*INDEX($N$31:$AL$31,1,AO$5-$K$27+1),0)-$I$27*((AO$5=Inputs!$C$12)*$C$29*$D$27+(AO$5=Inputs!$C$13)*$D$29*($D$27+Inputs!$C$14))+$I$27*((AO$5=Inputs!$C$15+$K$27)*$E$29*$I$29+(AO$5=Inputs!$C$16+$K$27)*$F$29*$J$29+(AO$5=Inputs!$C$17)*$G$29*$H$27*$H$29)</f>
        <v>0</v>
      </c>
      <c r="AP32" s="42" t="n">
        <f aca="false">-($D$27+$J$27)*(AP$5=0)+IF(AND(AP$5-$K$27&gt;=1,AP$5-$K$27&lt;=Inputs!$C$13),INDEX($N$30:$AL$30,1,AP$5-$K$27+1)*INDEX($N$31:$AL$31,1,AP$5-$K$27+1),0)-$I$27*((AP$5=Inputs!$C$12)*$C$29*$D$27+(AP$5=Inputs!$C$13)*$D$29*($D$27+Inputs!$C$14))+$I$27*((AP$5=Inputs!$C$15+$K$27)*$E$29*$I$29+(AP$5=Inputs!$C$16+$K$27)*$F$29*$J$29+(AP$5=Inputs!$C$17)*$G$29*$H$27*$H$29)</f>
        <v>586.1835</v>
      </c>
      <c r="AQ32" s="42" t="n">
        <f aca="false">-($D$27+$J$27)*(AQ$5=0)+IF(AND(AQ$5-$K$27&gt;=1,AQ$5-$K$27&lt;=Inputs!$C$13),INDEX($N$30:$AL$30,1,AQ$5-$K$27+1)*INDEX($N$31:$AL$31,1,AQ$5-$K$27+1),0)-$I$27*((AQ$5=Inputs!$C$12)*$C$29*$D$27+(AQ$5=Inputs!$C$13)*$D$29*($D$27+Inputs!$C$14))+$I$27*((AQ$5=Inputs!$C$15+$K$27)*$E$29*$I$29+(AQ$5=Inputs!$C$16+$K$27)*$F$29*$J$29+(AQ$5=Inputs!$C$17)*$G$29*$H$27*$H$29)</f>
        <v>0</v>
      </c>
      <c r="AR32" s="42" t="n">
        <f aca="false">-($D$27+$J$27)*(AR$5=0)+IF(AND(AR$5-$K$27&gt;=1,AR$5-$K$27&lt;=Inputs!$C$13),INDEX($N$30:$AL$30,1,AR$5-$K$27+1)*INDEX($N$31:$AL$31,1,AR$5-$K$27+1),0)-$I$27*((AR$5=Inputs!$C$12)*$C$29*$D$27+(AR$5=Inputs!$C$13)*$D$29*($D$27+Inputs!$C$14))+$I$27*((AR$5=Inputs!$C$15+$K$27)*$E$29*$I$29+(AR$5=Inputs!$C$16+$K$27)*$F$29*$J$29+(AR$5=Inputs!$C$17)*$G$29*$H$27*$H$29)</f>
        <v>0</v>
      </c>
      <c r="AS32" s="42" t="n">
        <f aca="false">-($D$27+$J$27)*(AS$5=0)+IF(AND(AS$5-$K$27&gt;=1,AS$5-$K$27&lt;=Inputs!$C$13),INDEX($N$30:$AL$30,1,AS$5-$K$27+1)*INDEX($N$31:$AL$31,1,AS$5-$K$27+1),0)-$I$27*((AS$5=Inputs!$C$12)*$C$29*$D$27+(AS$5=Inputs!$C$13)*$D$29*($D$27+Inputs!$C$14))+$I$27*((AS$5=Inputs!$C$15+$K$27)*$E$29*$I$29+(AS$5=Inputs!$C$16+$K$27)*$F$29*$J$29+(AS$5=Inputs!$C$17)*$G$29*$H$27*$H$29)</f>
        <v>340.8993</v>
      </c>
      <c r="AT32" s="42" t="n">
        <f aca="false">-($D$27+$J$27)*(AT$5=0)+IF(AND(AT$5-$K$27&gt;=1,AT$5-$K$27&lt;=Inputs!$C$13),INDEX($N$30:$AL$30,1,AT$5-$K$27+1)*INDEX($N$31:$AL$31,1,AT$5-$K$27+1),0)-$I$27*((AT$5=Inputs!$C$12)*$C$29*$D$27+(AT$5=Inputs!$C$13)*$D$29*($D$27+Inputs!$C$14))+$I$27*((AT$5=Inputs!$C$15+$K$27)*$E$29*$I$29+(AT$5=Inputs!$C$16+$K$27)*$F$29*$J$29+(AT$5=Inputs!$C$17)*$G$29*$H$27*$H$29)</f>
        <v>0</v>
      </c>
      <c r="AU32" s="42" t="n">
        <f aca="false">-($D$27+$J$27)*(AU$5=0)+IF(AND(AU$5-$K$27&gt;=1,AU$5-$K$27&lt;=Inputs!$C$13),INDEX($N$30:$AL$30,1,AU$5-$K$27+1)*INDEX($N$31:$AL$31,1,AU$5-$K$27+1),0)-$I$27*((AU$5=Inputs!$C$12)*$C$29*$D$27+(AU$5=Inputs!$C$13)*$D$29*($D$27+Inputs!$C$14))+$I$27*((AU$5=Inputs!$C$15+$K$27)*$E$29*$I$29+(AU$5=Inputs!$C$16+$K$27)*$F$29*$J$29+(AU$5=Inputs!$C$17)*$G$29*$H$27*$H$29)</f>
        <v>0</v>
      </c>
      <c r="AV32" s="42" t="n">
        <f aca="false">-($D$27+$J$27)*(AV$5=0)+IF(AND(AV$5-$K$27&gt;=1,AV$5-$K$27&lt;=Inputs!$C$13),INDEX($N$30:$AL$30,1,AV$5-$K$27+1)*INDEX($N$31:$AL$31,1,AV$5-$K$27+1),0)-$I$27*((AV$5=Inputs!$C$12)*$C$29*$D$27+(AV$5=Inputs!$C$13)*$D$29*($D$27+Inputs!$C$14))+$I$27*((AV$5=Inputs!$C$15+$K$27)*$E$29*$I$29+(AV$5=Inputs!$C$16+$K$27)*$F$29*$J$29+(AV$5=Inputs!$C$17)*$G$29*$H$27*$H$29)</f>
        <v>0</v>
      </c>
      <c r="AW32" s="42" t="n">
        <f aca="false">-($D$27+$J$27)*(AW$5=0)+IF(AND(AW$5-$K$27&gt;=1,AW$5-$K$27&lt;=Inputs!$C$13),INDEX($N$30:$AL$30,1,AW$5-$K$27+1)*INDEX($N$31:$AL$31,1,AW$5-$K$27+1),0)-$I$27*((AW$5=Inputs!$C$12)*$C$29*$D$27+(AW$5=Inputs!$C$13)*$D$29*($D$27+Inputs!$C$14))+$I$27*((AW$5=Inputs!$C$15+$K$27)*$E$29*$I$29+(AW$5=Inputs!$C$16+$K$27)*$F$29*$J$29+(AW$5=Inputs!$C$17)*$G$29*$H$27*$H$29)</f>
        <v>0</v>
      </c>
      <c r="AX32" s="42" t="n">
        <f aca="false">-($D$27+$J$27)*(AX$5=0)+IF(AND(AX$5-$K$27&gt;=1,AX$5-$K$27&lt;=Inputs!$C$13),INDEX($N$30:$AL$30,1,AX$5-$K$27+1)*INDEX($N$31:$AL$31,1,AX$5-$K$27+1),0)-$I$27*((AX$5=Inputs!$C$12)*$C$29*$D$27+(AX$5=Inputs!$C$13)*$D$29*($D$27+Inputs!$C$14))+$I$27*((AX$5=Inputs!$C$15+$K$27)*$E$29*$I$29+(AX$5=Inputs!$C$16+$K$27)*$F$29*$J$29+(AX$5=Inputs!$C$17)*$G$29*$H$27*$H$29)</f>
        <v>47.628</v>
      </c>
      <c r="AY32" s="42" t="n">
        <f aca="false">-($D$27+$J$27)*(AY$5=0)+IF(AND(AY$5-$K$27&gt;=1,AY$5-$K$27&lt;=Inputs!$C$13),INDEX($N$30:$AL$30,1,AY$5-$K$27+1)*INDEX($N$31:$AL$31,1,AY$5-$K$27+1),0)-$I$27*((AY$5=Inputs!$C$12)*$C$29*$D$27+(AY$5=Inputs!$C$13)*$D$29*($D$27+Inputs!$C$14))+$I$27*((AY$5=Inputs!$C$15+$K$27)*$E$29*$I$29+(AY$5=Inputs!$C$16+$K$27)*$F$29*$J$29+(AY$5=Inputs!$C$17)*$G$29*$H$27*$H$29)</f>
        <v>0</v>
      </c>
    </row>
    <row r="34" customFormat="false" ht="15" hidden="false" customHeight="false" outlineLevel="0" collapsed="false">
      <c r="B34" s="7" t="s">
        <v>226</v>
      </c>
      <c r="C34" s="8"/>
      <c r="D34" s="8"/>
      <c r="E34" s="8"/>
      <c r="F34" s="8"/>
      <c r="G34" s="8"/>
      <c r="H34" s="8"/>
      <c r="I34" s="8"/>
      <c r="J34" s="8"/>
      <c r="K34" s="8"/>
      <c r="L34" s="8"/>
    </row>
    <row r="35" customFormat="false" ht="30" hidden="false" customHeight="true" outlineLevel="0" collapsed="false">
      <c r="B35" s="37"/>
      <c r="C35" s="38" t="s">
        <v>169</v>
      </c>
      <c r="D35" s="38" t="s">
        <v>170</v>
      </c>
      <c r="E35" s="38" t="s">
        <v>171</v>
      </c>
      <c r="F35" s="38" t="s">
        <v>43</v>
      </c>
      <c r="G35" s="38" t="s">
        <v>44</v>
      </c>
      <c r="H35" s="38" t="s">
        <v>45</v>
      </c>
      <c r="I35" s="38" t="s">
        <v>172</v>
      </c>
      <c r="J35" s="38" t="s">
        <v>90</v>
      </c>
      <c r="K35" s="38" t="s">
        <v>89</v>
      </c>
      <c r="L35" s="38" t="s">
        <v>173</v>
      </c>
    </row>
    <row r="36" customFormat="false" ht="15" hidden="false" customHeight="false" outlineLevel="0" collapsed="false">
      <c r="B36" s="39" t="s">
        <v>174</v>
      </c>
      <c r="C36" s="26" t="n">
        <f aca="false">MAX(0,Bid_Floor!$C$27-Inputs!$C$7)</f>
        <v>0.045</v>
      </c>
      <c r="D36" s="30" t="n">
        <f aca="false">Inputs!$E$24</f>
        <v>3600</v>
      </c>
      <c r="E36" s="26" t="n">
        <f aca="false">Inputs!$F$24</f>
        <v>0.93</v>
      </c>
      <c r="F36" s="25" t="n">
        <f aca="false">Inputs!$G$24</f>
        <v>0.6</v>
      </c>
      <c r="G36" s="25" t="n">
        <f aca="false">Inputs!$H$24</f>
        <v>0.85</v>
      </c>
      <c r="H36" s="25" t="n">
        <f aca="false">Inputs!$I$24</f>
        <v>0.9</v>
      </c>
      <c r="I36" s="22" t="n">
        <f aca="false">Inputs!$J$24</f>
        <v>1</v>
      </c>
      <c r="J36" s="23" t="n">
        <f aca="false">Inputs!$C$9</f>
        <v>10</v>
      </c>
      <c r="K36" s="22" t="n">
        <f aca="false">Inputs!$C$10</f>
        <v>1</v>
      </c>
      <c r="L36" s="22" t="n">
        <f aca="false">1</f>
        <v>1</v>
      </c>
    </row>
    <row r="37" customFormat="false" ht="30" hidden="false" customHeight="true" outlineLevel="0" collapsed="false">
      <c r="B37" s="37"/>
      <c r="C37" s="38" t="s">
        <v>175</v>
      </c>
      <c r="D37" s="38" t="s">
        <v>176</v>
      </c>
      <c r="E37" s="38" t="s">
        <v>177</v>
      </c>
      <c r="F37" s="38" t="s">
        <v>178</v>
      </c>
      <c r="G37" s="38" t="s">
        <v>112</v>
      </c>
      <c r="H37" s="38" t="s">
        <v>179</v>
      </c>
      <c r="I37" s="38" t="s">
        <v>180</v>
      </c>
      <c r="J37" s="38" t="s">
        <v>181</v>
      </c>
      <c r="K37" s="38" t="s">
        <v>182</v>
      </c>
      <c r="L37" s="38" t="s">
        <v>183</v>
      </c>
    </row>
    <row r="38" customFormat="false" ht="15" hidden="false" customHeight="false" outlineLevel="0" collapsed="false">
      <c r="B38" s="39" t="s">
        <v>184</v>
      </c>
      <c r="C38" s="40" t="n">
        <f aca="false">1-$E$36*CHOOSE($L$36,INDEX(Timing!$C$7:$AA$7,1,Inputs!$C$12+1),INDEX(Timing!$C$8:$AA$8,1,Inputs!$C$12+1))</f>
        <v>0.2932</v>
      </c>
      <c r="D38" s="40" t="n">
        <f aca="false">1-$E$36*CHOOSE($L$36,INDEX(Timing!$C$7:$AA$7,1,Inputs!$C$13+1),INDEX(Timing!$C$8:$AA$8,1,Inputs!$C$13+1))</f>
        <v>0.07</v>
      </c>
      <c r="E38" s="40" t="n">
        <f aca="false">$I$36*$D$38*$F$36</f>
        <v>0.042</v>
      </c>
      <c r="F38" s="40" t="n">
        <f aca="false">$I$36*($D$38-$E$38)*$G$36</f>
        <v>0.0238</v>
      </c>
      <c r="G38" s="40" t="n">
        <f aca="false">$I$36*($D$38-$E$38-$F$38)</f>
        <v>0.0042</v>
      </c>
      <c r="H38" s="23" t="n">
        <f aca="false">$I$36*(3*$D$36+Inputs!$C$14)</f>
        <v>12600</v>
      </c>
      <c r="I38" s="23" t="n">
        <f aca="false">$I$36*($D$36*(1+IF($C$36&lt;=0,0,MAX($C$36*Inputs!$C$15/12,Inputs!$C$8)))+$D$36*(1+Inputs!$C$11*(Inputs!$C$15-Inputs!$C$12)/12)+$D$36*(1+Inputs!$C$11*(Inputs!$C$15-Inputs!$C$13)/12)+Inputs!$C$14)</f>
        <v>13936.5</v>
      </c>
      <c r="J38" s="23" t="n">
        <f aca="false">$I$36*($D$36*(1+IF($C$36&lt;=0,0,MAX($C$36*Inputs!$C$16/12,Inputs!$C$8)))+$D$36*(1+Inputs!$C$11*(Inputs!$C$16-Inputs!$C$12)/12)+$D$36*(1+Inputs!$C$11*(Inputs!$C$16-Inputs!$C$13)/12)+Inputs!$C$14)</f>
        <v>14301</v>
      </c>
      <c r="K38" s="40" t="n">
        <f aca="false">IRR($N$41:$AY$41,0.005)</f>
        <v>0.0063966178349755</v>
      </c>
      <c r="L38" s="41" t="n">
        <f aca="false">(1+$K$38)^12-1</f>
        <v>0.0795183350812028</v>
      </c>
    </row>
    <row r="39" customFormat="false" ht="15" hidden="false" customHeight="false" outlineLevel="0" collapsed="false">
      <c r="B39" s="9" t="s">
        <v>185</v>
      </c>
      <c r="N39" s="40" t="n">
        <f aca="false">0</f>
        <v>0</v>
      </c>
      <c r="O39" s="40" t="n">
        <f aca="false">$E$36*(CHOOSE($L$36,Timing!D$7,Timing!D$8)-CHOOSE($L$36,Timing!C$7,Timing!C$8))</f>
        <v>0.1116</v>
      </c>
      <c r="P39" s="40" t="n">
        <f aca="false">$E$36*(CHOOSE($L$36,Timing!E$7,Timing!E$8)-CHOOSE($L$36,Timing!D$7,Timing!D$8))</f>
        <v>0.093</v>
      </c>
      <c r="Q39" s="40" t="n">
        <f aca="false">$E$36*(CHOOSE($L$36,Timing!F$7,Timing!F$8)-CHOOSE($L$36,Timing!E$7,Timing!E$8))</f>
        <v>0.0837</v>
      </c>
      <c r="R39" s="40" t="n">
        <f aca="false">$E$36*(CHOOSE($L$36,Timing!G$7,Timing!G$8)-CHOOSE($L$36,Timing!F$7,Timing!F$8))</f>
        <v>0.0651</v>
      </c>
      <c r="S39" s="40" t="n">
        <f aca="false">$E$36*(CHOOSE($L$36,Timing!H$7,Timing!H$8)-CHOOSE($L$36,Timing!G$7,Timing!G$8))</f>
        <v>0.0651</v>
      </c>
      <c r="T39" s="40" t="n">
        <f aca="false">$E$36*(CHOOSE($L$36,Timing!I$7,Timing!I$8)-CHOOSE($L$36,Timing!H$7,Timing!H$8))</f>
        <v>0.0651</v>
      </c>
      <c r="U39" s="40" t="n">
        <f aca="false">$E$36*(CHOOSE($L$36,Timing!J$7,Timing!J$8)-CHOOSE($L$36,Timing!I$7,Timing!I$8))</f>
        <v>0.0403</v>
      </c>
      <c r="V39" s="40" t="n">
        <f aca="false">$E$36*(CHOOSE($L$36,Timing!K$7,Timing!K$8)-CHOOSE($L$36,Timing!J$7,Timing!J$8))</f>
        <v>0.0403</v>
      </c>
      <c r="W39" s="40" t="n">
        <f aca="false">$E$36*(CHOOSE($L$36,Timing!L$7,Timing!L$8)-CHOOSE($L$36,Timing!K$7,Timing!K$8))</f>
        <v>0.0403</v>
      </c>
      <c r="X39" s="40" t="n">
        <f aca="false">$E$36*(CHOOSE($L$36,Timing!M$7,Timing!M$8)-CHOOSE($L$36,Timing!L$7,Timing!L$8))</f>
        <v>0.0341</v>
      </c>
      <c r="Y39" s="40" t="n">
        <f aca="false">$E$36*(CHOOSE($L$36,Timing!N$7,Timing!N$8)-CHOOSE($L$36,Timing!M$7,Timing!M$8))</f>
        <v>0.0341000000000001</v>
      </c>
      <c r="Z39" s="40" t="n">
        <f aca="false">$E$36*(CHOOSE($L$36,Timing!O$7,Timing!O$8)-CHOOSE($L$36,Timing!N$7,Timing!N$8))</f>
        <v>0.0341</v>
      </c>
      <c r="AA39" s="40" t="n">
        <f aca="false">$E$36*(CHOOSE($L$36,Timing!P$7,Timing!P$8)-CHOOSE($L$36,Timing!O$7,Timing!O$8))</f>
        <v>0.0217</v>
      </c>
      <c r="AB39" s="40" t="n">
        <f aca="false">$E$36*(CHOOSE($L$36,Timing!Q$7,Timing!Q$8)-CHOOSE($L$36,Timing!P$7,Timing!P$8))</f>
        <v>0.0217</v>
      </c>
      <c r="AC39" s="40" t="n">
        <f aca="false">$E$36*(CHOOSE($L$36,Timing!R$7,Timing!R$8)-CHOOSE($L$36,Timing!Q$7,Timing!Q$8))</f>
        <v>0.0217000000000001</v>
      </c>
      <c r="AD39" s="40" t="n">
        <f aca="false">$E$36*(CHOOSE($L$36,Timing!S$7,Timing!S$8)-CHOOSE($L$36,Timing!R$7,Timing!R$8))</f>
        <v>0.0217</v>
      </c>
      <c r="AE39" s="40" t="n">
        <f aca="false">$E$36*(CHOOSE($L$36,Timing!T$7,Timing!T$8)-CHOOSE($L$36,Timing!S$7,Timing!S$8))</f>
        <v>0.0217</v>
      </c>
      <c r="AF39" s="40" t="n">
        <f aca="false">$E$36*(CHOOSE($L$36,Timing!U$7,Timing!U$8)-CHOOSE($L$36,Timing!T$7,Timing!T$8))</f>
        <v>0.0217</v>
      </c>
      <c r="AG39" s="40" t="n">
        <f aca="false">$E$36*(CHOOSE($L$36,Timing!V$7,Timing!V$8)-CHOOSE($L$36,Timing!U$7,Timing!U$8))</f>
        <v>0.0155</v>
      </c>
      <c r="AH39" s="40" t="n">
        <f aca="false">$E$36*(CHOOSE($L$36,Timing!W$7,Timing!W$8)-CHOOSE($L$36,Timing!V$7,Timing!V$8))</f>
        <v>0.0154999999999999</v>
      </c>
      <c r="AI39" s="40" t="n">
        <f aca="false">$E$36*(CHOOSE($L$36,Timing!X$7,Timing!X$8)-CHOOSE($L$36,Timing!W$7,Timing!W$8))</f>
        <v>0.0154999999999999</v>
      </c>
      <c r="AJ39" s="40" t="n">
        <f aca="false">$E$36*(CHOOSE($L$36,Timing!Y$7,Timing!Y$8)-CHOOSE($L$36,Timing!X$7,Timing!X$8))</f>
        <v>0.0155</v>
      </c>
      <c r="AK39" s="40" t="n">
        <f aca="false">$E$36*(CHOOSE($L$36,Timing!Z$7,Timing!Z$8)-CHOOSE($L$36,Timing!Y$7,Timing!Y$8))</f>
        <v>0.0155</v>
      </c>
      <c r="AL39" s="40" t="n">
        <f aca="false">$E$36*(CHOOSE($L$36,Timing!AA$7,Timing!AA$8)-CHOOSE($L$36,Timing!Z$7,Timing!Z$8))</f>
        <v>0.0154999999999999</v>
      </c>
    </row>
    <row r="40" customFormat="false" ht="15" hidden="false" customHeight="false" outlineLevel="0" collapsed="false">
      <c r="B40" s="9" t="s">
        <v>186</v>
      </c>
      <c r="N40" s="42" t="n">
        <f aca="false">0</f>
        <v>0</v>
      </c>
      <c r="O40" s="42" t="n">
        <f aca="false">$D$36*(1+IF($C$36&lt;=0,0,MAX($C$36*O$5/12,Inputs!$C$8)))+$I$36*(O$5&gt;Inputs!$C$12)*$D$36*(1+Inputs!$C$11*(O$5-Inputs!$C$12)/12)</f>
        <v>3780</v>
      </c>
      <c r="P40" s="42" t="n">
        <f aca="false">$D$36*(1+IF($C$36&lt;=0,0,MAX($C$36*P$5/12,Inputs!$C$8)))+$I$36*(P$5&gt;Inputs!$C$12)*$D$36*(1+Inputs!$C$11*(P$5-Inputs!$C$12)/12)</f>
        <v>3780</v>
      </c>
      <c r="Q40" s="42" t="n">
        <f aca="false">$D$36*(1+IF($C$36&lt;=0,0,MAX($C$36*Q$5/12,Inputs!$C$8)))+$I$36*(Q$5&gt;Inputs!$C$12)*$D$36*(1+Inputs!$C$11*(Q$5-Inputs!$C$12)/12)</f>
        <v>3780</v>
      </c>
      <c r="R40" s="42" t="n">
        <f aca="false">$D$36*(1+IF($C$36&lt;=0,0,MAX($C$36*R$5/12,Inputs!$C$8)))+$I$36*(R$5&gt;Inputs!$C$12)*$D$36*(1+Inputs!$C$11*(R$5-Inputs!$C$12)/12)</f>
        <v>3780</v>
      </c>
      <c r="S40" s="42" t="n">
        <f aca="false">$D$36*(1+IF($C$36&lt;=0,0,MAX($C$36*S$5/12,Inputs!$C$8)))+$I$36*(S$5&gt;Inputs!$C$12)*$D$36*(1+Inputs!$C$11*(S$5-Inputs!$C$12)/12)</f>
        <v>3780</v>
      </c>
      <c r="T40" s="42" t="n">
        <f aca="false">$D$36*(1+IF($C$36&lt;=0,0,MAX($C$36*T$5/12,Inputs!$C$8)))+$I$36*(T$5&gt;Inputs!$C$12)*$D$36*(1+Inputs!$C$11*(T$5-Inputs!$C$12)/12)</f>
        <v>3780</v>
      </c>
      <c r="U40" s="42" t="n">
        <f aca="false">$D$36*(1+IF($C$36&lt;=0,0,MAX($C$36*U$5/12,Inputs!$C$8)))+$I$36*(U$5&gt;Inputs!$C$12)*$D$36*(1+Inputs!$C$11*(U$5-Inputs!$C$12)/12)</f>
        <v>3780</v>
      </c>
      <c r="V40" s="42" t="n">
        <f aca="false">$D$36*(1+IF($C$36&lt;=0,0,MAX($C$36*V$5/12,Inputs!$C$8)))+$I$36*(V$5&gt;Inputs!$C$12)*$D$36*(1+Inputs!$C$11*(V$5-Inputs!$C$12)/12)</f>
        <v>3780</v>
      </c>
      <c r="W40" s="42" t="n">
        <f aca="false">$D$36*(1+IF($C$36&lt;=0,0,MAX($C$36*W$5/12,Inputs!$C$8)))+$I$36*(W$5&gt;Inputs!$C$12)*$D$36*(1+Inputs!$C$11*(W$5-Inputs!$C$12)/12)</f>
        <v>3780</v>
      </c>
      <c r="X40" s="42" t="n">
        <f aca="false">$D$36*(1+IF($C$36&lt;=0,0,MAX($C$36*X$5/12,Inputs!$C$8)))+$I$36*(X$5&gt;Inputs!$C$12)*$D$36*(1+Inputs!$C$11*(X$5-Inputs!$C$12)/12)</f>
        <v>3780</v>
      </c>
      <c r="Y40" s="42" t="n">
        <f aca="false">$D$36*(1+IF($C$36&lt;=0,0,MAX($C$36*Y$5/12,Inputs!$C$8)))+$I$36*(Y$5&gt;Inputs!$C$12)*$D$36*(1+Inputs!$C$11*(Y$5-Inputs!$C$12)/12)</f>
        <v>3780</v>
      </c>
      <c r="Z40" s="42" t="n">
        <f aca="false">$D$36*(1+IF($C$36&lt;=0,0,MAX($C$36*Z$5/12,Inputs!$C$8)))+$I$36*(Z$5&gt;Inputs!$C$12)*$D$36*(1+Inputs!$C$11*(Z$5-Inputs!$C$12)/12)</f>
        <v>3780</v>
      </c>
      <c r="AA40" s="42" t="n">
        <f aca="false">$D$36*(1+IF($C$36&lt;=0,0,MAX($C$36*AA$5/12,Inputs!$C$8)))+$I$36*(AA$5&gt;Inputs!$C$12)*$D$36*(1+Inputs!$C$11*(AA$5-Inputs!$C$12)/12)</f>
        <v>7434</v>
      </c>
      <c r="AB40" s="42" t="n">
        <f aca="false">$D$36*(1+IF($C$36&lt;=0,0,MAX($C$36*AB$5/12,Inputs!$C$8)))+$I$36*(AB$5&gt;Inputs!$C$12)*$D$36*(1+Inputs!$C$11*(AB$5-Inputs!$C$12)/12)</f>
        <v>7497</v>
      </c>
      <c r="AC40" s="42" t="n">
        <f aca="false">$D$36*(1+IF($C$36&lt;=0,0,MAX($C$36*AC$5/12,Inputs!$C$8)))+$I$36*(AC$5&gt;Inputs!$C$12)*$D$36*(1+Inputs!$C$11*(AC$5-Inputs!$C$12)/12)</f>
        <v>7564.5</v>
      </c>
      <c r="AD40" s="42" t="n">
        <f aca="false">$D$36*(1+IF($C$36&lt;=0,0,MAX($C$36*AD$5/12,Inputs!$C$8)))+$I$36*(AD$5&gt;Inputs!$C$12)*$D$36*(1+Inputs!$C$11*(AD$5-Inputs!$C$12)/12)</f>
        <v>7632</v>
      </c>
      <c r="AE40" s="42" t="n">
        <f aca="false">$D$36*(1+IF($C$36&lt;=0,0,MAX($C$36*AE$5/12,Inputs!$C$8)))+$I$36*(AE$5&gt;Inputs!$C$12)*$D$36*(1+Inputs!$C$11*(AE$5-Inputs!$C$12)/12)</f>
        <v>7699.5</v>
      </c>
      <c r="AF40" s="42" t="n">
        <f aca="false">$D$36*(1+IF($C$36&lt;=0,0,MAX($C$36*AF$5/12,Inputs!$C$8)))+$I$36*(AF$5&gt;Inputs!$C$12)*$D$36*(1+Inputs!$C$11*(AF$5-Inputs!$C$12)/12)</f>
        <v>7767</v>
      </c>
      <c r="AG40" s="42" t="n">
        <f aca="false">$D$36*(1+IF($C$36&lt;=0,0,MAX($C$36*AG$5/12,Inputs!$C$8)))+$I$36*(AG$5&gt;Inputs!$C$12)*$D$36*(1+Inputs!$C$11*(AG$5-Inputs!$C$12)/12)</f>
        <v>7834.5</v>
      </c>
      <c r="AH40" s="42" t="n">
        <f aca="false">$D$36*(1+IF($C$36&lt;=0,0,MAX($C$36*AH$5/12,Inputs!$C$8)))+$I$36*(AH$5&gt;Inputs!$C$12)*$D$36*(1+Inputs!$C$11*(AH$5-Inputs!$C$12)/12)</f>
        <v>7902</v>
      </c>
      <c r="AI40" s="42" t="n">
        <f aca="false">$D$36*(1+IF($C$36&lt;=0,0,MAX($C$36*AI$5/12,Inputs!$C$8)))+$I$36*(AI$5&gt;Inputs!$C$12)*$D$36*(1+Inputs!$C$11*(AI$5-Inputs!$C$12)/12)</f>
        <v>7969.5</v>
      </c>
      <c r="AJ40" s="42" t="n">
        <f aca="false">$D$36*(1+IF($C$36&lt;=0,0,MAX($C$36*AJ$5/12,Inputs!$C$8)))+$I$36*(AJ$5&gt;Inputs!$C$12)*$D$36*(1+Inputs!$C$11*(AJ$5-Inputs!$C$12)/12)</f>
        <v>8037</v>
      </c>
      <c r="AK40" s="42" t="n">
        <f aca="false">$D$36*(1+IF($C$36&lt;=0,0,MAX($C$36*AK$5/12,Inputs!$C$8)))+$I$36*(AK$5&gt;Inputs!$C$12)*$D$36*(1+Inputs!$C$11*(AK$5-Inputs!$C$12)/12)</f>
        <v>8104.5</v>
      </c>
      <c r="AL40" s="42" t="n">
        <f aca="false">$D$36*(1+IF($C$36&lt;=0,0,MAX($C$36*AL$5/12,Inputs!$C$8)))+$I$36*(AL$5&gt;Inputs!$C$12)*$D$36*(1+Inputs!$C$11*(AL$5-Inputs!$C$12)/12)</f>
        <v>8172</v>
      </c>
    </row>
    <row r="41" customFormat="false" ht="15" hidden="false" customHeight="false" outlineLevel="0" collapsed="false">
      <c r="B41" s="31" t="s">
        <v>187</v>
      </c>
      <c r="N41" s="42" t="n">
        <f aca="false">-($D$36+$J$36)*(N$5=0)+IF(AND(N$5-$K$36&gt;=1,N$5-$K$36&lt;=Inputs!$C$13),INDEX($N$39:$AL$39,1,N$5-$K$36+1)*INDEX($N$40:$AL$40,1,N$5-$K$36+1),0)-$I$36*((N$5=Inputs!$C$12)*$C$38*$D$36+(N$5=Inputs!$C$13)*$D$38*($D$36+Inputs!$C$14))+$I$36*((N$5=Inputs!$C$15+$K$36)*$E$38*$I$38+(N$5=Inputs!$C$16+$K$36)*$F$38*$J$38+(N$5=Inputs!$C$17)*$G$38*$H$36*$H$38)</f>
        <v>-3610</v>
      </c>
      <c r="O41" s="42" t="n">
        <f aca="false">-($D$36+$J$36)*(O$5=0)+IF(AND(O$5-$K$36&gt;=1,O$5-$K$36&lt;=Inputs!$C$13),INDEX($N$39:$AL$39,1,O$5-$K$36+1)*INDEX($N$40:$AL$40,1,O$5-$K$36+1),0)-$I$36*((O$5=Inputs!$C$12)*$C$38*$D$36+(O$5=Inputs!$C$13)*$D$38*($D$36+Inputs!$C$14))+$I$36*((O$5=Inputs!$C$15+$K$36)*$E$38*$I$38+(O$5=Inputs!$C$16+$K$36)*$F$38*$J$38+(O$5=Inputs!$C$17)*$G$38*$H$36*$H$38)</f>
        <v>0</v>
      </c>
      <c r="P41" s="42" t="n">
        <f aca="false">-($D$36+$J$36)*(P$5=0)+IF(AND(P$5-$K$36&gt;=1,P$5-$K$36&lt;=Inputs!$C$13),INDEX($N$39:$AL$39,1,P$5-$K$36+1)*INDEX($N$40:$AL$40,1,P$5-$K$36+1),0)-$I$36*((P$5=Inputs!$C$12)*$C$38*$D$36+(P$5=Inputs!$C$13)*$D$38*($D$36+Inputs!$C$14))+$I$36*((P$5=Inputs!$C$15+$K$36)*$E$38*$I$38+(P$5=Inputs!$C$16+$K$36)*$F$38*$J$38+(P$5=Inputs!$C$17)*$G$38*$H$36*$H$38)</f>
        <v>421.848</v>
      </c>
      <c r="Q41" s="42" t="n">
        <f aca="false">-($D$36+$J$36)*(Q$5=0)+IF(AND(Q$5-$K$36&gt;=1,Q$5-$K$36&lt;=Inputs!$C$13),INDEX($N$39:$AL$39,1,Q$5-$K$36+1)*INDEX($N$40:$AL$40,1,Q$5-$K$36+1),0)-$I$36*((Q$5=Inputs!$C$12)*$C$38*$D$36+(Q$5=Inputs!$C$13)*$D$38*($D$36+Inputs!$C$14))+$I$36*((Q$5=Inputs!$C$15+$K$36)*$E$38*$I$38+(Q$5=Inputs!$C$16+$K$36)*$F$38*$J$38+(Q$5=Inputs!$C$17)*$G$38*$H$36*$H$38)</f>
        <v>351.54</v>
      </c>
      <c r="R41" s="42" t="n">
        <f aca="false">-($D$36+$J$36)*(R$5=0)+IF(AND(R$5-$K$36&gt;=1,R$5-$K$36&lt;=Inputs!$C$13),INDEX($N$39:$AL$39,1,R$5-$K$36+1)*INDEX($N$40:$AL$40,1,R$5-$K$36+1),0)-$I$36*((R$5=Inputs!$C$12)*$C$38*$D$36+(R$5=Inputs!$C$13)*$D$38*($D$36+Inputs!$C$14))+$I$36*((R$5=Inputs!$C$15+$K$36)*$E$38*$I$38+(R$5=Inputs!$C$16+$K$36)*$F$38*$J$38+(R$5=Inputs!$C$17)*$G$38*$H$36*$H$38)</f>
        <v>316.386</v>
      </c>
      <c r="S41" s="42" t="n">
        <f aca="false">-($D$36+$J$36)*(S$5=0)+IF(AND(S$5-$K$36&gt;=1,S$5-$K$36&lt;=Inputs!$C$13),INDEX($N$39:$AL$39,1,S$5-$K$36+1)*INDEX($N$40:$AL$40,1,S$5-$K$36+1),0)-$I$36*((S$5=Inputs!$C$12)*$C$38*$D$36+(S$5=Inputs!$C$13)*$D$38*($D$36+Inputs!$C$14))+$I$36*((S$5=Inputs!$C$15+$K$36)*$E$38*$I$38+(S$5=Inputs!$C$16+$K$36)*$F$38*$J$38+(S$5=Inputs!$C$17)*$G$38*$H$36*$H$38)</f>
        <v>246.078</v>
      </c>
      <c r="T41" s="42" t="n">
        <f aca="false">-($D$36+$J$36)*(T$5=0)+IF(AND(T$5-$K$36&gt;=1,T$5-$K$36&lt;=Inputs!$C$13),INDEX($N$39:$AL$39,1,T$5-$K$36+1)*INDEX($N$40:$AL$40,1,T$5-$K$36+1),0)-$I$36*((T$5=Inputs!$C$12)*$C$38*$D$36+(T$5=Inputs!$C$13)*$D$38*($D$36+Inputs!$C$14))+$I$36*((T$5=Inputs!$C$15+$K$36)*$E$38*$I$38+(T$5=Inputs!$C$16+$K$36)*$F$38*$J$38+(T$5=Inputs!$C$17)*$G$38*$H$36*$H$38)</f>
        <v>246.078</v>
      </c>
      <c r="U41" s="42" t="n">
        <f aca="false">-($D$36+$J$36)*(U$5=0)+IF(AND(U$5-$K$36&gt;=1,U$5-$K$36&lt;=Inputs!$C$13),INDEX($N$39:$AL$39,1,U$5-$K$36+1)*INDEX($N$40:$AL$40,1,U$5-$K$36+1),0)-$I$36*((U$5=Inputs!$C$12)*$C$38*$D$36+(U$5=Inputs!$C$13)*$D$38*($D$36+Inputs!$C$14))+$I$36*((U$5=Inputs!$C$15+$K$36)*$E$38*$I$38+(U$5=Inputs!$C$16+$K$36)*$F$38*$J$38+(U$5=Inputs!$C$17)*$G$38*$H$36*$H$38)</f>
        <v>246.078</v>
      </c>
      <c r="V41" s="42" t="n">
        <f aca="false">-($D$36+$J$36)*(V$5=0)+IF(AND(V$5-$K$36&gt;=1,V$5-$K$36&lt;=Inputs!$C$13),INDEX($N$39:$AL$39,1,V$5-$K$36+1)*INDEX($N$40:$AL$40,1,V$5-$K$36+1),0)-$I$36*((V$5=Inputs!$C$12)*$C$38*$D$36+(V$5=Inputs!$C$13)*$D$38*($D$36+Inputs!$C$14))+$I$36*((V$5=Inputs!$C$15+$K$36)*$E$38*$I$38+(V$5=Inputs!$C$16+$K$36)*$F$38*$J$38+(V$5=Inputs!$C$17)*$G$38*$H$36*$H$38)</f>
        <v>152.334</v>
      </c>
      <c r="W41" s="42" t="n">
        <f aca="false">-($D$36+$J$36)*(W$5=0)+IF(AND(W$5-$K$36&gt;=1,W$5-$K$36&lt;=Inputs!$C$13),INDEX($N$39:$AL$39,1,W$5-$K$36+1)*INDEX($N$40:$AL$40,1,W$5-$K$36+1),0)-$I$36*((W$5=Inputs!$C$12)*$C$38*$D$36+(W$5=Inputs!$C$13)*$D$38*($D$36+Inputs!$C$14))+$I$36*((W$5=Inputs!$C$15+$K$36)*$E$38*$I$38+(W$5=Inputs!$C$16+$K$36)*$F$38*$J$38+(W$5=Inputs!$C$17)*$G$38*$H$36*$H$38)</f>
        <v>152.334</v>
      </c>
      <c r="X41" s="42" t="n">
        <f aca="false">-($D$36+$J$36)*(X$5=0)+IF(AND(X$5-$K$36&gt;=1,X$5-$K$36&lt;=Inputs!$C$13),INDEX($N$39:$AL$39,1,X$5-$K$36+1)*INDEX($N$40:$AL$40,1,X$5-$K$36+1),0)-$I$36*((X$5=Inputs!$C$12)*$C$38*$D$36+(X$5=Inputs!$C$13)*$D$38*($D$36+Inputs!$C$14))+$I$36*((X$5=Inputs!$C$15+$K$36)*$E$38*$I$38+(X$5=Inputs!$C$16+$K$36)*$F$38*$J$38+(X$5=Inputs!$C$17)*$G$38*$H$36*$H$38)</f>
        <v>152.334</v>
      </c>
      <c r="Y41" s="42" t="n">
        <f aca="false">-($D$36+$J$36)*(Y$5=0)+IF(AND(Y$5-$K$36&gt;=1,Y$5-$K$36&lt;=Inputs!$C$13),INDEX($N$39:$AL$39,1,Y$5-$K$36+1)*INDEX($N$40:$AL$40,1,Y$5-$K$36+1),0)-$I$36*((Y$5=Inputs!$C$12)*$C$38*$D$36+(Y$5=Inputs!$C$13)*$D$38*($D$36+Inputs!$C$14))+$I$36*((Y$5=Inputs!$C$15+$K$36)*$E$38*$I$38+(Y$5=Inputs!$C$16+$K$36)*$F$38*$J$38+(Y$5=Inputs!$C$17)*$G$38*$H$36*$H$38)</f>
        <v>128.898</v>
      </c>
      <c r="Z41" s="42" t="n">
        <f aca="false">-($D$36+$J$36)*(Z$5=0)+IF(AND(Z$5-$K$36&gt;=1,Z$5-$K$36&lt;=Inputs!$C$13),INDEX($N$39:$AL$39,1,Z$5-$K$36+1)*INDEX($N$40:$AL$40,1,Z$5-$K$36+1),0)-$I$36*((Z$5=Inputs!$C$12)*$C$38*$D$36+(Z$5=Inputs!$C$13)*$D$38*($D$36+Inputs!$C$14))+$I$36*((Z$5=Inputs!$C$15+$K$36)*$E$38*$I$38+(Z$5=Inputs!$C$16+$K$36)*$F$38*$J$38+(Z$5=Inputs!$C$17)*$G$38*$H$36*$H$38)</f>
        <v>-926.622</v>
      </c>
      <c r="AA41" s="42" t="n">
        <f aca="false">-($D$36+$J$36)*(AA$5=0)+IF(AND(AA$5-$K$36&gt;=1,AA$5-$K$36&lt;=Inputs!$C$13),INDEX($N$39:$AL$39,1,AA$5-$K$36+1)*INDEX($N$40:$AL$40,1,AA$5-$K$36+1),0)-$I$36*((AA$5=Inputs!$C$12)*$C$38*$D$36+(AA$5=Inputs!$C$13)*$D$38*($D$36+Inputs!$C$14))+$I$36*((AA$5=Inputs!$C$15+$K$36)*$E$38*$I$38+(AA$5=Inputs!$C$16+$K$36)*$F$38*$J$38+(AA$5=Inputs!$C$17)*$G$38*$H$36*$H$38)</f>
        <v>128.898</v>
      </c>
      <c r="AB41" s="42" t="n">
        <f aca="false">-($D$36+$J$36)*(AB$5=0)+IF(AND(AB$5-$K$36&gt;=1,AB$5-$K$36&lt;=Inputs!$C$13),INDEX($N$39:$AL$39,1,AB$5-$K$36+1)*INDEX($N$40:$AL$40,1,AB$5-$K$36+1),0)-$I$36*((AB$5=Inputs!$C$12)*$C$38*$D$36+(AB$5=Inputs!$C$13)*$D$38*($D$36+Inputs!$C$14))+$I$36*((AB$5=Inputs!$C$15+$K$36)*$E$38*$I$38+(AB$5=Inputs!$C$16+$K$36)*$F$38*$J$38+(AB$5=Inputs!$C$17)*$G$38*$H$36*$H$38)</f>
        <v>161.3178</v>
      </c>
      <c r="AC41" s="42" t="n">
        <f aca="false">-($D$36+$J$36)*(AC$5=0)+IF(AND(AC$5-$K$36&gt;=1,AC$5-$K$36&lt;=Inputs!$C$13),INDEX($N$39:$AL$39,1,AC$5-$K$36+1)*INDEX($N$40:$AL$40,1,AC$5-$K$36+1),0)-$I$36*((AC$5=Inputs!$C$12)*$C$38*$D$36+(AC$5=Inputs!$C$13)*$D$38*($D$36+Inputs!$C$14))+$I$36*((AC$5=Inputs!$C$15+$K$36)*$E$38*$I$38+(AC$5=Inputs!$C$16+$K$36)*$F$38*$J$38+(AC$5=Inputs!$C$17)*$G$38*$H$36*$H$38)</f>
        <v>162.6849</v>
      </c>
      <c r="AD41" s="42" t="n">
        <f aca="false">-($D$36+$J$36)*(AD$5=0)+IF(AND(AD$5-$K$36&gt;=1,AD$5-$K$36&lt;=Inputs!$C$13),INDEX($N$39:$AL$39,1,AD$5-$K$36+1)*INDEX($N$40:$AL$40,1,AD$5-$K$36+1),0)-$I$36*((AD$5=Inputs!$C$12)*$C$38*$D$36+(AD$5=Inputs!$C$13)*$D$38*($D$36+Inputs!$C$14))+$I$36*((AD$5=Inputs!$C$15+$K$36)*$E$38*$I$38+(AD$5=Inputs!$C$16+$K$36)*$F$38*$J$38+(AD$5=Inputs!$C$17)*$G$38*$H$36*$H$38)</f>
        <v>164.149650000001</v>
      </c>
      <c r="AE41" s="42" t="n">
        <f aca="false">-($D$36+$J$36)*(AE$5=0)+IF(AND(AE$5-$K$36&gt;=1,AE$5-$K$36&lt;=Inputs!$C$13),INDEX($N$39:$AL$39,1,AE$5-$K$36+1)*INDEX($N$40:$AL$40,1,AE$5-$K$36+1),0)-$I$36*((AE$5=Inputs!$C$12)*$C$38*$D$36+(AE$5=Inputs!$C$13)*$D$38*($D$36+Inputs!$C$14))+$I$36*((AE$5=Inputs!$C$15+$K$36)*$E$38*$I$38+(AE$5=Inputs!$C$16+$K$36)*$F$38*$J$38+(AE$5=Inputs!$C$17)*$G$38*$H$36*$H$38)</f>
        <v>165.6144</v>
      </c>
      <c r="AF41" s="42" t="n">
        <f aca="false">-($D$36+$J$36)*(AF$5=0)+IF(AND(AF$5-$K$36&gt;=1,AF$5-$K$36&lt;=Inputs!$C$13),INDEX($N$39:$AL$39,1,AF$5-$K$36+1)*INDEX($N$40:$AL$40,1,AF$5-$K$36+1),0)-$I$36*((AF$5=Inputs!$C$12)*$C$38*$D$36+(AF$5=Inputs!$C$13)*$D$38*($D$36+Inputs!$C$14))+$I$36*((AF$5=Inputs!$C$15+$K$36)*$E$38*$I$38+(AF$5=Inputs!$C$16+$K$36)*$F$38*$J$38+(AF$5=Inputs!$C$17)*$G$38*$H$36*$H$38)</f>
        <v>167.07915</v>
      </c>
      <c r="AG41" s="42" t="n">
        <f aca="false">-($D$36+$J$36)*(AG$5=0)+IF(AND(AG$5-$K$36&gt;=1,AG$5-$K$36&lt;=Inputs!$C$13),INDEX($N$39:$AL$39,1,AG$5-$K$36+1)*INDEX($N$40:$AL$40,1,AG$5-$K$36+1),0)-$I$36*((AG$5=Inputs!$C$12)*$C$38*$D$36+(AG$5=Inputs!$C$13)*$D$38*($D$36+Inputs!$C$14))+$I$36*((AG$5=Inputs!$C$15+$K$36)*$E$38*$I$38+(AG$5=Inputs!$C$16+$K$36)*$F$38*$J$38+(AG$5=Inputs!$C$17)*$G$38*$H$36*$H$38)</f>
        <v>168.5439</v>
      </c>
      <c r="AH41" s="42" t="n">
        <f aca="false">-($D$36+$J$36)*(AH$5=0)+IF(AND(AH$5-$K$36&gt;=1,AH$5-$K$36&lt;=Inputs!$C$13),INDEX($N$39:$AL$39,1,AH$5-$K$36+1)*INDEX($N$40:$AL$40,1,AH$5-$K$36+1),0)-$I$36*((AH$5=Inputs!$C$12)*$C$38*$D$36+(AH$5=Inputs!$C$13)*$D$38*($D$36+Inputs!$C$14))+$I$36*((AH$5=Inputs!$C$15+$K$36)*$E$38*$I$38+(AH$5=Inputs!$C$16+$K$36)*$F$38*$J$38+(AH$5=Inputs!$C$17)*$G$38*$H$36*$H$38)</f>
        <v>121.43475</v>
      </c>
      <c r="AI41" s="42" t="n">
        <f aca="false">-($D$36+$J$36)*(AI$5=0)+IF(AND(AI$5-$K$36&gt;=1,AI$5-$K$36&lt;=Inputs!$C$13),INDEX($N$39:$AL$39,1,AI$5-$K$36+1)*INDEX($N$40:$AL$40,1,AI$5-$K$36+1),0)-$I$36*((AI$5=Inputs!$C$12)*$C$38*$D$36+(AI$5=Inputs!$C$13)*$D$38*($D$36+Inputs!$C$14))+$I$36*((AI$5=Inputs!$C$15+$K$36)*$E$38*$I$38+(AI$5=Inputs!$C$16+$K$36)*$F$38*$J$38+(AI$5=Inputs!$C$17)*$G$38*$H$36*$H$38)</f>
        <v>122.481</v>
      </c>
      <c r="AJ41" s="42" t="n">
        <f aca="false">-($D$36+$J$36)*(AJ$5=0)+IF(AND(AJ$5-$K$36&gt;=1,AJ$5-$K$36&lt;=Inputs!$C$13),INDEX($N$39:$AL$39,1,AJ$5-$K$36+1)*INDEX($N$40:$AL$40,1,AJ$5-$K$36+1),0)-$I$36*((AJ$5=Inputs!$C$12)*$C$38*$D$36+(AJ$5=Inputs!$C$13)*$D$38*($D$36+Inputs!$C$14))+$I$36*((AJ$5=Inputs!$C$15+$K$36)*$E$38*$I$38+(AJ$5=Inputs!$C$16+$K$36)*$F$38*$J$38+(AJ$5=Inputs!$C$17)*$G$38*$H$36*$H$38)</f>
        <v>123.52725</v>
      </c>
      <c r="AK41" s="42" t="n">
        <f aca="false">-($D$36+$J$36)*(AK$5=0)+IF(AND(AK$5-$K$36&gt;=1,AK$5-$K$36&lt;=Inputs!$C$13),INDEX($N$39:$AL$39,1,AK$5-$K$36+1)*INDEX($N$40:$AL$40,1,AK$5-$K$36+1),0)-$I$36*((AK$5=Inputs!$C$12)*$C$38*$D$36+(AK$5=Inputs!$C$13)*$D$38*($D$36+Inputs!$C$14))+$I$36*((AK$5=Inputs!$C$15+$K$36)*$E$38*$I$38+(AK$5=Inputs!$C$16+$K$36)*$F$38*$J$38+(AK$5=Inputs!$C$17)*$G$38*$H$36*$H$38)</f>
        <v>124.5735</v>
      </c>
      <c r="AL41" s="42" t="n">
        <f aca="false">-($D$36+$J$36)*(AL$5=0)+IF(AND(AL$5-$K$36&gt;=1,AL$5-$K$36&lt;=Inputs!$C$13),INDEX($N$39:$AL$39,1,AL$5-$K$36+1)*INDEX($N$40:$AL$40,1,AL$5-$K$36+1),0)-$I$36*((AL$5=Inputs!$C$12)*$C$38*$D$36+(AL$5=Inputs!$C$13)*$D$38*($D$36+Inputs!$C$14))+$I$36*((AL$5=Inputs!$C$15+$K$36)*$E$38*$I$38+(AL$5=Inputs!$C$16+$K$36)*$F$38*$J$38+(AL$5=Inputs!$C$17)*$G$38*$H$36*$H$38)</f>
        <v>-252.380249999999</v>
      </c>
      <c r="AM41" s="42" t="n">
        <f aca="false">-($D$36+$J$36)*(AM$5=0)+IF(AND(AM$5-$K$36&gt;=1,AM$5-$K$36&lt;=Inputs!$C$13),INDEX($N$39:$AL$39,1,AM$5-$K$36+1)*INDEX($N$40:$AL$40,1,AM$5-$K$36+1),0)-$I$36*((AM$5=Inputs!$C$12)*$C$38*$D$36+(AM$5=Inputs!$C$13)*$D$38*($D$36+Inputs!$C$14))+$I$36*((AM$5=Inputs!$C$15+$K$36)*$E$38*$I$38+(AM$5=Inputs!$C$16+$K$36)*$F$38*$J$38+(AM$5=Inputs!$C$17)*$G$38*$H$36*$H$38)</f>
        <v>126.666</v>
      </c>
      <c r="AN41" s="42" t="n">
        <f aca="false">-($D$36+$J$36)*(AN$5=0)+IF(AND(AN$5-$K$36&gt;=1,AN$5-$K$36&lt;=Inputs!$C$13),INDEX($N$39:$AL$39,1,AN$5-$K$36+1)*INDEX($N$40:$AL$40,1,AN$5-$K$36+1),0)-$I$36*((AN$5=Inputs!$C$12)*$C$38*$D$36+(AN$5=Inputs!$C$13)*$D$38*($D$36+Inputs!$C$14))+$I$36*((AN$5=Inputs!$C$15+$K$36)*$E$38*$I$38+(AN$5=Inputs!$C$16+$K$36)*$F$38*$J$38+(AN$5=Inputs!$C$17)*$G$38*$H$36*$H$38)</f>
        <v>0</v>
      </c>
      <c r="AO41" s="42" t="n">
        <f aca="false">-($D$36+$J$36)*(AO$5=0)+IF(AND(AO$5-$K$36&gt;=1,AO$5-$K$36&lt;=Inputs!$C$13),INDEX($N$39:$AL$39,1,AO$5-$K$36+1)*INDEX($N$40:$AL$40,1,AO$5-$K$36+1),0)-$I$36*((AO$5=Inputs!$C$12)*$C$38*$D$36+(AO$5=Inputs!$C$13)*$D$38*($D$36+Inputs!$C$14))+$I$36*((AO$5=Inputs!$C$15+$K$36)*$E$38*$I$38+(AO$5=Inputs!$C$16+$K$36)*$F$38*$J$38+(AO$5=Inputs!$C$17)*$G$38*$H$36*$H$38)</f>
        <v>0</v>
      </c>
      <c r="AP41" s="42" t="n">
        <f aca="false">-($D$36+$J$36)*(AP$5=0)+IF(AND(AP$5-$K$36&gt;=1,AP$5-$K$36&lt;=Inputs!$C$13),INDEX($N$39:$AL$39,1,AP$5-$K$36+1)*INDEX($N$40:$AL$40,1,AP$5-$K$36+1),0)-$I$36*((AP$5=Inputs!$C$12)*$C$38*$D$36+(AP$5=Inputs!$C$13)*$D$38*($D$36+Inputs!$C$14))+$I$36*((AP$5=Inputs!$C$15+$K$36)*$E$38*$I$38+(AP$5=Inputs!$C$16+$K$36)*$F$38*$J$38+(AP$5=Inputs!$C$17)*$G$38*$H$36*$H$38)</f>
        <v>585.333</v>
      </c>
      <c r="AQ41" s="42" t="n">
        <f aca="false">-($D$36+$J$36)*(AQ$5=0)+IF(AND(AQ$5-$K$36&gt;=1,AQ$5-$K$36&lt;=Inputs!$C$13),INDEX($N$39:$AL$39,1,AQ$5-$K$36+1)*INDEX($N$40:$AL$40,1,AQ$5-$K$36+1),0)-$I$36*((AQ$5=Inputs!$C$12)*$C$38*$D$36+(AQ$5=Inputs!$C$13)*$D$38*($D$36+Inputs!$C$14))+$I$36*((AQ$5=Inputs!$C$15+$K$36)*$E$38*$I$38+(AQ$5=Inputs!$C$16+$K$36)*$F$38*$J$38+(AQ$5=Inputs!$C$17)*$G$38*$H$36*$H$38)</f>
        <v>0</v>
      </c>
      <c r="AR41" s="42" t="n">
        <f aca="false">-($D$36+$J$36)*(AR$5=0)+IF(AND(AR$5-$K$36&gt;=1,AR$5-$K$36&lt;=Inputs!$C$13),INDEX($N$39:$AL$39,1,AR$5-$K$36+1)*INDEX($N$40:$AL$40,1,AR$5-$K$36+1),0)-$I$36*((AR$5=Inputs!$C$12)*$C$38*$D$36+(AR$5=Inputs!$C$13)*$D$38*($D$36+Inputs!$C$14))+$I$36*((AR$5=Inputs!$C$15+$K$36)*$E$38*$I$38+(AR$5=Inputs!$C$16+$K$36)*$F$38*$J$38+(AR$5=Inputs!$C$17)*$G$38*$H$36*$H$38)</f>
        <v>0</v>
      </c>
      <c r="AS41" s="42" t="n">
        <f aca="false">-($D$36+$J$36)*(AS$5=0)+IF(AND(AS$5-$K$36&gt;=1,AS$5-$K$36&lt;=Inputs!$C$13),INDEX($N$39:$AL$39,1,AS$5-$K$36+1)*INDEX($N$40:$AL$40,1,AS$5-$K$36+1),0)-$I$36*((AS$5=Inputs!$C$12)*$C$38*$D$36+(AS$5=Inputs!$C$13)*$D$38*($D$36+Inputs!$C$14))+$I$36*((AS$5=Inputs!$C$15+$K$36)*$E$38*$I$38+(AS$5=Inputs!$C$16+$K$36)*$F$38*$J$38+(AS$5=Inputs!$C$17)*$G$38*$H$36*$H$38)</f>
        <v>340.3638</v>
      </c>
      <c r="AT41" s="42" t="n">
        <f aca="false">-($D$36+$J$36)*(AT$5=0)+IF(AND(AT$5-$K$36&gt;=1,AT$5-$K$36&lt;=Inputs!$C$13),INDEX($N$39:$AL$39,1,AT$5-$K$36+1)*INDEX($N$40:$AL$40,1,AT$5-$K$36+1),0)-$I$36*((AT$5=Inputs!$C$12)*$C$38*$D$36+(AT$5=Inputs!$C$13)*$D$38*($D$36+Inputs!$C$14))+$I$36*((AT$5=Inputs!$C$15+$K$36)*$E$38*$I$38+(AT$5=Inputs!$C$16+$K$36)*$F$38*$J$38+(AT$5=Inputs!$C$17)*$G$38*$H$36*$H$38)</f>
        <v>0</v>
      </c>
      <c r="AU41" s="42" t="n">
        <f aca="false">-($D$36+$J$36)*(AU$5=0)+IF(AND(AU$5-$K$36&gt;=1,AU$5-$K$36&lt;=Inputs!$C$13),INDEX($N$39:$AL$39,1,AU$5-$K$36+1)*INDEX($N$40:$AL$40,1,AU$5-$K$36+1),0)-$I$36*((AU$5=Inputs!$C$12)*$C$38*$D$36+(AU$5=Inputs!$C$13)*$D$38*($D$36+Inputs!$C$14))+$I$36*((AU$5=Inputs!$C$15+$K$36)*$E$38*$I$38+(AU$5=Inputs!$C$16+$K$36)*$F$38*$J$38+(AU$5=Inputs!$C$17)*$G$38*$H$36*$H$38)</f>
        <v>0</v>
      </c>
      <c r="AV41" s="42" t="n">
        <f aca="false">-($D$36+$J$36)*(AV$5=0)+IF(AND(AV$5-$K$36&gt;=1,AV$5-$K$36&lt;=Inputs!$C$13),INDEX($N$39:$AL$39,1,AV$5-$K$36+1)*INDEX($N$40:$AL$40,1,AV$5-$K$36+1),0)-$I$36*((AV$5=Inputs!$C$12)*$C$38*$D$36+(AV$5=Inputs!$C$13)*$D$38*($D$36+Inputs!$C$14))+$I$36*((AV$5=Inputs!$C$15+$K$36)*$E$38*$I$38+(AV$5=Inputs!$C$16+$K$36)*$F$38*$J$38+(AV$5=Inputs!$C$17)*$G$38*$H$36*$H$38)</f>
        <v>0</v>
      </c>
      <c r="AW41" s="42" t="n">
        <f aca="false">-($D$36+$J$36)*(AW$5=0)+IF(AND(AW$5-$K$36&gt;=1,AW$5-$K$36&lt;=Inputs!$C$13),INDEX($N$39:$AL$39,1,AW$5-$K$36+1)*INDEX($N$40:$AL$40,1,AW$5-$K$36+1),0)-$I$36*((AW$5=Inputs!$C$12)*$C$38*$D$36+(AW$5=Inputs!$C$13)*$D$38*($D$36+Inputs!$C$14))+$I$36*((AW$5=Inputs!$C$15+$K$36)*$E$38*$I$38+(AW$5=Inputs!$C$16+$K$36)*$F$38*$J$38+(AW$5=Inputs!$C$17)*$G$38*$H$36*$H$38)</f>
        <v>0</v>
      </c>
      <c r="AX41" s="42" t="n">
        <f aca="false">-($D$36+$J$36)*(AX$5=0)+IF(AND(AX$5-$K$36&gt;=1,AX$5-$K$36&lt;=Inputs!$C$13),INDEX($N$39:$AL$39,1,AX$5-$K$36+1)*INDEX($N$40:$AL$40,1,AX$5-$K$36+1),0)-$I$36*((AX$5=Inputs!$C$12)*$C$38*$D$36+(AX$5=Inputs!$C$13)*$D$38*($D$36+Inputs!$C$14))+$I$36*((AX$5=Inputs!$C$15+$K$36)*$E$38*$I$38+(AX$5=Inputs!$C$16+$K$36)*$F$38*$J$38+(AX$5=Inputs!$C$17)*$G$38*$H$36*$H$38)</f>
        <v>47.628</v>
      </c>
      <c r="AY41" s="42" t="n">
        <f aca="false">-($D$36+$J$36)*(AY$5=0)+IF(AND(AY$5-$K$36&gt;=1,AY$5-$K$36&lt;=Inputs!$C$13),INDEX($N$39:$AL$39,1,AY$5-$K$36+1)*INDEX($N$40:$AL$40,1,AY$5-$K$36+1),0)-$I$36*((AY$5=Inputs!$C$12)*$C$38*$D$36+(AY$5=Inputs!$C$13)*$D$38*($D$36+Inputs!$C$14))+$I$36*((AY$5=Inputs!$C$15+$K$36)*$E$38*$I$38+(AY$5=Inputs!$C$16+$K$36)*$F$38*$J$38+(AY$5=Inputs!$C$17)*$G$38*$H$36*$H$38)</f>
        <v>0</v>
      </c>
    </row>
    <row r="43" customFormat="false" ht="15" hidden="false" customHeight="false" outlineLevel="0" collapsed="false">
      <c r="B43" s="7" t="s">
        <v>227</v>
      </c>
      <c r="C43" s="8"/>
      <c r="D43" s="8"/>
      <c r="E43" s="8"/>
      <c r="F43" s="8"/>
      <c r="G43" s="8"/>
      <c r="H43" s="8"/>
      <c r="I43" s="8"/>
      <c r="J43" s="8"/>
      <c r="K43" s="8"/>
      <c r="L43" s="8"/>
    </row>
    <row r="44" customFormat="false" ht="30" hidden="false" customHeight="true" outlineLevel="0" collapsed="false">
      <c r="B44" s="37"/>
      <c r="C44" s="38" t="s">
        <v>169</v>
      </c>
      <c r="D44" s="38" t="s">
        <v>170</v>
      </c>
      <c r="E44" s="38" t="s">
        <v>171</v>
      </c>
      <c r="F44" s="38" t="s">
        <v>43</v>
      </c>
      <c r="G44" s="38" t="s">
        <v>44</v>
      </c>
      <c r="H44" s="38" t="s">
        <v>45</v>
      </c>
      <c r="I44" s="38" t="s">
        <v>172</v>
      </c>
      <c r="J44" s="38" t="s">
        <v>90</v>
      </c>
      <c r="K44" s="38" t="s">
        <v>89</v>
      </c>
      <c r="L44" s="38" t="s">
        <v>173</v>
      </c>
    </row>
    <row r="45" customFormat="false" ht="15" hidden="false" customHeight="false" outlineLevel="0" collapsed="false">
      <c r="B45" s="39" t="s">
        <v>174</v>
      </c>
      <c r="C45" s="10" t="n">
        <v>0.045</v>
      </c>
      <c r="D45" s="30" t="n">
        <f aca="false">Inputs!$E$25</f>
        <v>9500</v>
      </c>
      <c r="E45" s="26" t="n">
        <f aca="false">Inputs!$F$25</f>
        <v>0.9</v>
      </c>
      <c r="F45" s="25" t="n">
        <f aca="false">Inputs!$G$25</f>
        <v>0.6</v>
      </c>
      <c r="G45" s="25" t="n">
        <f aca="false">Inputs!$H$25</f>
        <v>0.8</v>
      </c>
      <c r="H45" s="25" t="n">
        <f aca="false">Inputs!$I$25</f>
        <v>0.9</v>
      </c>
      <c r="I45" s="22" t="n">
        <f aca="false">Inputs!$J$25</f>
        <v>1</v>
      </c>
      <c r="J45" s="23" t="n">
        <f aca="false">Inputs!$C$9</f>
        <v>10</v>
      </c>
      <c r="K45" s="22" t="n">
        <f aca="false">Inputs!$C$10</f>
        <v>1</v>
      </c>
      <c r="L45" s="22" t="n">
        <f aca="false">1</f>
        <v>1</v>
      </c>
    </row>
    <row r="46" customFormat="false" ht="30" hidden="false" customHeight="true" outlineLevel="0" collapsed="false">
      <c r="B46" s="37"/>
      <c r="C46" s="38" t="s">
        <v>175</v>
      </c>
      <c r="D46" s="38" t="s">
        <v>176</v>
      </c>
      <c r="E46" s="38" t="s">
        <v>177</v>
      </c>
      <c r="F46" s="38" t="s">
        <v>178</v>
      </c>
      <c r="G46" s="38" t="s">
        <v>112</v>
      </c>
      <c r="H46" s="38" t="s">
        <v>179</v>
      </c>
      <c r="I46" s="38" t="s">
        <v>180</v>
      </c>
      <c r="J46" s="38" t="s">
        <v>181</v>
      </c>
      <c r="K46" s="38" t="s">
        <v>182</v>
      </c>
      <c r="L46" s="38" t="s">
        <v>183</v>
      </c>
    </row>
    <row r="47" customFormat="false" ht="15" hidden="false" customHeight="false" outlineLevel="0" collapsed="false">
      <c r="B47" s="39" t="s">
        <v>184</v>
      </c>
      <c r="C47" s="40" t="n">
        <f aca="false">1-$E$45*CHOOSE($L$45,INDEX(Timing!$C$7:$AA$7,1,Inputs!$C$12+1),INDEX(Timing!$C$8:$AA$8,1,Inputs!$C$12+1))</f>
        <v>0.316</v>
      </c>
      <c r="D47" s="40" t="n">
        <f aca="false">1-$E$45*CHOOSE($L$45,INDEX(Timing!$C$7:$AA$7,1,Inputs!$C$13+1),INDEX(Timing!$C$8:$AA$8,1,Inputs!$C$13+1))</f>
        <v>0.1</v>
      </c>
      <c r="E47" s="40" t="n">
        <f aca="false">$I$45*$D$47*$F$45</f>
        <v>0.06</v>
      </c>
      <c r="F47" s="40" t="n">
        <f aca="false">$I$45*($D$47-$E$47)*$G$45</f>
        <v>0.032</v>
      </c>
      <c r="G47" s="40" t="n">
        <f aca="false">$I$45*($D$47-$E$47-$F$47)</f>
        <v>0.008</v>
      </c>
      <c r="H47" s="23" t="n">
        <f aca="false">$I$45*(3*$D$45+Inputs!$C$14)</f>
        <v>30300</v>
      </c>
      <c r="I47" s="23" t="n">
        <f aca="false">$I$45*($D$45*(1+IF($C$45&lt;=0,0,MAX($C$45*Inputs!$C$15/12,Inputs!$C$8)))+$D$45*(1+Inputs!$C$11*(Inputs!$C$15-Inputs!$C$12)/12)+$D$45*(1+Inputs!$C$11*(Inputs!$C$15-Inputs!$C$13)/12)+Inputs!$C$14)</f>
        <v>33826.875</v>
      </c>
      <c r="J47" s="23" t="n">
        <f aca="false">$I$45*($D$45*(1+IF($C$45&lt;=0,0,MAX($C$45*Inputs!$C$16/12,Inputs!$C$8)))+$D$45*(1+Inputs!$C$11*(Inputs!$C$16-Inputs!$C$12)/12)+$D$45*(1+Inputs!$C$11*(Inputs!$C$16-Inputs!$C$13)/12)+Inputs!$C$14)</f>
        <v>34788.75</v>
      </c>
      <c r="K47" s="40" t="n">
        <f aca="false">IRR($N$50:$AY$50,0.005)</f>
        <v>0.00645613203098003</v>
      </c>
      <c r="L47" s="41" t="n">
        <f aca="false">(1+$K$47)^12-1</f>
        <v>0.0802846440870781</v>
      </c>
    </row>
    <row r="48" customFormat="false" ht="15" hidden="false" customHeight="false" outlineLevel="0" collapsed="false">
      <c r="B48" s="9" t="s">
        <v>185</v>
      </c>
      <c r="N48" s="40" t="n">
        <f aca="false">0</f>
        <v>0</v>
      </c>
      <c r="O48" s="40" t="n">
        <f aca="false">$E$45*(CHOOSE($L$45,Timing!D$7,Timing!D$8)-CHOOSE($L$45,Timing!C$7,Timing!C$8))</f>
        <v>0.108</v>
      </c>
      <c r="P48" s="40" t="n">
        <f aca="false">$E$45*(CHOOSE($L$45,Timing!E$7,Timing!E$8)-CHOOSE($L$45,Timing!D$7,Timing!D$8))</f>
        <v>0.09</v>
      </c>
      <c r="Q48" s="40" t="n">
        <f aca="false">$E$45*(CHOOSE($L$45,Timing!F$7,Timing!F$8)-CHOOSE($L$45,Timing!E$7,Timing!E$8))</f>
        <v>0.081</v>
      </c>
      <c r="R48" s="40" t="n">
        <f aca="false">$E$45*(CHOOSE($L$45,Timing!G$7,Timing!G$8)-CHOOSE($L$45,Timing!F$7,Timing!F$8))</f>
        <v>0.063</v>
      </c>
      <c r="S48" s="40" t="n">
        <f aca="false">$E$45*(CHOOSE($L$45,Timing!H$7,Timing!H$8)-CHOOSE($L$45,Timing!G$7,Timing!G$8))</f>
        <v>0.063</v>
      </c>
      <c r="T48" s="40" t="n">
        <f aca="false">$E$45*(CHOOSE($L$45,Timing!I$7,Timing!I$8)-CHOOSE($L$45,Timing!H$7,Timing!H$8))</f>
        <v>0.063</v>
      </c>
      <c r="U48" s="40" t="n">
        <f aca="false">$E$45*(CHOOSE($L$45,Timing!J$7,Timing!J$8)-CHOOSE($L$45,Timing!I$7,Timing!I$8))</f>
        <v>0.039</v>
      </c>
      <c r="V48" s="40" t="n">
        <f aca="false">$E$45*(CHOOSE($L$45,Timing!K$7,Timing!K$8)-CHOOSE($L$45,Timing!J$7,Timing!J$8))</f>
        <v>0.039</v>
      </c>
      <c r="W48" s="40" t="n">
        <f aca="false">$E$45*(CHOOSE($L$45,Timing!L$7,Timing!L$8)-CHOOSE($L$45,Timing!K$7,Timing!K$8))</f>
        <v>0.039</v>
      </c>
      <c r="X48" s="40" t="n">
        <f aca="false">$E$45*(CHOOSE($L$45,Timing!M$7,Timing!M$8)-CHOOSE($L$45,Timing!L$7,Timing!L$8))</f>
        <v>0.033</v>
      </c>
      <c r="Y48" s="40" t="n">
        <f aca="false">$E$45*(CHOOSE($L$45,Timing!N$7,Timing!N$8)-CHOOSE($L$45,Timing!M$7,Timing!M$8))</f>
        <v>0.0330000000000001</v>
      </c>
      <c r="Z48" s="40" t="n">
        <f aca="false">$E$45*(CHOOSE($L$45,Timing!O$7,Timing!O$8)-CHOOSE($L$45,Timing!N$7,Timing!N$8))</f>
        <v>0.033</v>
      </c>
      <c r="AA48" s="40" t="n">
        <f aca="false">$E$45*(CHOOSE($L$45,Timing!P$7,Timing!P$8)-CHOOSE($L$45,Timing!O$7,Timing!O$8))</f>
        <v>0.021</v>
      </c>
      <c r="AB48" s="40" t="n">
        <f aca="false">$E$45*(CHOOSE($L$45,Timing!Q$7,Timing!Q$8)-CHOOSE($L$45,Timing!P$7,Timing!P$8))</f>
        <v>0.021</v>
      </c>
      <c r="AC48" s="40" t="n">
        <f aca="false">$E$45*(CHOOSE($L$45,Timing!R$7,Timing!R$8)-CHOOSE($L$45,Timing!Q$7,Timing!Q$8))</f>
        <v>0.0210000000000001</v>
      </c>
      <c r="AD48" s="40" t="n">
        <f aca="false">$E$45*(CHOOSE($L$45,Timing!S$7,Timing!S$8)-CHOOSE($L$45,Timing!R$7,Timing!R$8))</f>
        <v>0.021</v>
      </c>
      <c r="AE48" s="40" t="n">
        <f aca="false">$E$45*(CHOOSE($L$45,Timing!T$7,Timing!T$8)-CHOOSE($L$45,Timing!S$7,Timing!S$8))</f>
        <v>0.021</v>
      </c>
      <c r="AF48" s="40" t="n">
        <f aca="false">$E$45*(CHOOSE($L$45,Timing!U$7,Timing!U$8)-CHOOSE($L$45,Timing!T$7,Timing!T$8))</f>
        <v>0.021</v>
      </c>
      <c r="AG48" s="40" t="n">
        <f aca="false">$E$45*(CHOOSE($L$45,Timing!V$7,Timing!V$8)-CHOOSE($L$45,Timing!U$7,Timing!U$8))</f>
        <v>0.015</v>
      </c>
      <c r="AH48" s="40" t="n">
        <f aca="false">$E$45*(CHOOSE($L$45,Timing!W$7,Timing!W$8)-CHOOSE($L$45,Timing!V$7,Timing!V$8))</f>
        <v>0.0149999999999999</v>
      </c>
      <c r="AI48" s="40" t="n">
        <f aca="false">$E$45*(CHOOSE($L$45,Timing!X$7,Timing!X$8)-CHOOSE($L$45,Timing!W$7,Timing!W$8))</f>
        <v>0.0149999999999999</v>
      </c>
      <c r="AJ48" s="40" t="n">
        <f aca="false">$E$45*(CHOOSE($L$45,Timing!Y$7,Timing!Y$8)-CHOOSE($L$45,Timing!X$7,Timing!X$8))</f>
        <v>0.015</v>
      </c>
      <c r="AK48" s="40" t="n">
        <f aca="false">$E$45*(CHOOSE($L$45,Timing!Z$7,Timing!Z$8)-CHOOSE($L$45,Timing!Y$7,Timing!Y$8))</f>
        <v>0.015</v>
      </c>
      <c r="AL48" s="40" t="n">
        <f aca="false">$E$45*(CHOOSE($L$45,Timing!AA$7,Timing!AA$8)-CHOOSE($L$45,Timing!Z$7,Timing!Z$8))</f>
        <v>0.0149999999999999</v>
      </c>
    </row>
    <row r="49" customFormat="false" ht="15" hidden="false" customHeight="false" outlineLevel="0" collapsed="false">
      <c r="B49" s="9" t="s">
        <v>186</v>
      </c>
      <c r="N49" s="42" t="n">
        <f aca="false">0</f>
        <v>0</v>
      </c>
      <c r="O49" s="42" t="n">
        <f aca="false">$D$45*(1+IF($C$45&lt;=0,0,MAX($C$45*O$5/12,Inputs!$C$8)))+$I$45*(O$5&gt;Inputs!$C$12)*$D$45*(1+Inputs!$C$11*(O$5-Inputs!$C$12)/12)</f>
        <v>9975</v>
      </c>
      <c r="P49" s="42" t="n">
        <f aca="false">$D$45*(1+IF($C$45&lt;=0,0,MAX($C$45*P$5/12,Inputs!$C$8)))+$I$45*(P$5&gt;Inputs!$C$12)*$D$45*(1+Inputs!$C$11*(P$5-Inputs!$C$12)/12)</f>
        <v>9975</v>
      </c>
      <c r="Q49" s="42" t="n">
        <f aca="false">$D$45*(1+IF($C$45&lt;=0,0,MAX($C$45*Q$5/12,Inputs!$C$8)))+$I$45*(Q$5&gt;Inputs!$C$12)*$D$45*(1+Inputs!$C$11*(Q$5-Inputs!$C$12)/12)</f>
        <v>9975</v>
      </c>
      <c r="R49" s="42" t="n">
        <f aca="false">$D$45*(1+IF($C$45&lt;=0,0,MAX($C$45*R$5/12,Inputs!$C$8)))+$I$45*(R$5&gt;Inputs!$C$12)*$D$45*(1+Inputs!$C$11*(R$5-Inputs!$C$12)/12)</f>
        <v>9975</v>
      </c>
      <c r="S49" s="42" t="n">
        <f aca="false">$D$45*(1+IF($C$45&lt;=0,0,MAX($C$45*S$5/12,Inputs!$C$8)))+$I$45*(S$5&gt;Inputs!$C$12)*$D$45*(1+Inputs!$C$11*(S$5-Inputs!$C$12)/12)</f>
        <v>9975</v>
      </c>
      <c r="T49" s="42" t="n">
        <f aca="false">$D$45*(1+IF($C$45&lt;=0,0,MAX($C$45*T$5/12,Inputs!$C$8)))+$I$45*(T$5&gt;Inputs!$C$12)*$D$45*(1+Inputs!$C$11*(T$5-Inputs!$C$12)/12)</f>
        <v>9975</v>
      </c>
      <c r="U49" s="42" t="n">
        <f aca="false">$D$45*(1+IF($C$45&lt;=0,0,MAX($C$45*U$5/12,Inputs!$C$8)))+$I$45*(U$5&gt;Inputs!$C$12)*$D$45*(1+Inputs!$C$11*(U$5-Inputs!$C$12)/12)</f>
        <v>9975</v>
      </c>
      <c r="V49" s="42" t="n">
        <f aca="false">$D$45*(1+IF($C$45&lt;=0,0,MAX($C$45*V$5/12,Inputs!$C$8)))+$I$45*(V$5&gt;Inputs!$C$12)*$D$45*(1+Inputs!$C$11*(V$5-Inputs!$C$12)/12)</f>
        <v>9975</v>
      </c>
      <c r="W49" s="42" t="n">
        <f aca="false">$D$45*(1+IF($C$45&lt;=0,0,MAX($C$45*W$5/12,Inputs!$C$8)))+$I$45*(W$5&gt;Inputs!$C$12)*$D$45*(1+Inputs!$C$11*(W$5-Inputs!$C$12)/12)</f>
        <v>9975</v>
      </c>
      <c r="X49" s="42" t="n">
        <f aca="false">$D$45*(1+IF($C$45&lt;=0,0,MAX($C$45*X$5/12,Inputs!$C$8)))+$I$45*(X$5&gt;Inputs!$C$12)*$D$45*(1+Inputs!$C$11*(X$5-Inputs!$C$12)/12)</f>
        <v>9975</v>
      </c>
      <c r="Y49" s="42" t="n">
        <f aca="false">$D$45*(1+IF($C$45&lt;=0,0,MAX($C$45*Y$5/12,Inputs!$C$8)))+$I$45*(Y$5&gt;Inputs!$C$12)*$D$45*(1+Inputs!$C$11*(Y$5-Inputs!$C$12)/12)</f>
        <v>9975</v>
      </c>
      <c r="Z49" s="42" t="n">
        <f aca="false">$D$45*(1+IF($C$45&lt;=0,0,MAX($C$45*Z$5/12,Inputs!$C$8)))+$I$45*(Z$5&gt;Inputs!$C$12)*$D$45*(1+Inputs!$C$11*(Z$5-Inputs!$C$12)/12)</f>
        <v>9975</v>
      </c>
      <c r="AA49" s="42" t="n">
        <f aca="false">$D$45*(1+IF($C$45&lt;=0,0,MAX($C$45*AA$5/12,Inputs!$C$8)))+$I$45*(AA$5&gt;Inputs!$C$12)*$D$45*(1+Inputs!$C$11*(AA$5-Inputs!$C$12)/12)</f>
        <v>19617.5</v>
      </c>
      <c r="AB49" s="42" t="n">
        <f aca="false">$D$45*(1+IF($C$45&lt;=0,0,MAX($C$45*AB$5/12,Inputs!$C$8)))+$I$45*(AB$5&gt;Inputs!$C$12)*$D$45*(1+Inputs!$C$11*(AB$5-Inputs!$C$12)/12)</f>
        <v>19783.75</v>
      </c>
      <c r="AC49" s="42" t="n">
        <f aca="false">$D$45*(1+IF($C$45&lt;=0,0,MAX($C$45*AC$5/12,Inputs!$C$8)))+$I$45*(AC$5&gt;Inputs!$C$12)*$D$45*(1+Inputs!$C$11*(AC$5-Inputs!$C$12)/12)</f>
        <v>19961.875</v>
      </c>
      <c r="AD49" s="42" t="n">
        <f aca="false">$D$45*(1+IF($C$45&lt;=0,0,MAX($C$45*AD$5/12,Inputs!$C$8)))+$I$45*(AD$5&gt;Inputs!$C$12)*$D$45*(1+Inputs!$C$11*(AD$5-Inputs!$C$12)/12)</f>
        <v>20140</v>
      </c>
      <c r="AE49" s="42" t="n">
        <f aca="false">$D$45*(1+IF($C$45&lt;=0,0,MAX($C$45*AE$5/12,Inputs!$C$8)))+$I$45*(AE$5&gt;Inputs!$C$12)*$D$45*(1+Inputs!$C$11*(AE$5-Inputs!$C$12)/12)</f>
        <v>20318.125</v>
      </c>
      <c r="AF49" s="42" t="n">
        <f aca="false">$D$45*(1+IF($C$45&lt;=0,0,MAX($C$45*AF$5/12,Inputs!$C$8)))+$I$45*(AF$5&gt;Inputs!$C$12)*$D$45*(1+Inputs!$C$11*(AF$5-Inputs!$C$12)/12)</f>
        <v>20496.25</v>
      </c>
      <c r="AG49" s="42" t="n">
        <f aca="false">$D$45*(1+IF($C$45&lt;=0,0,MAX($C$45*AG$5/12,Inputs!$C$8)))+$I$45*(AG$5&gt;Inputs!$C$12)*$D$45*(1+Inputs!$C$11*(AG$5-Inputs!$C$12)/12)</f>
        <v>20674.375</v>
      </c>
      <c r="AH49" s="42" t="n">
        <f aca="false">$D$45*(1+IF($C$45&lt;=0,0,MAX($C$45*AH$5/12,Inputs!$C$8)))+$I$45*(AH$5&gt;Inputs!$C$12)*$D$45*(1+Inputs!$C$11*(AH$5-Inputs!$C$12)/12)</f>
        <v>20852.5</v>
      </c>
      <c r="AI49" s="42" t="n">
        <f aca="false">$D$45*(1+IF($C$45&lt;=0,0,MAX($C$45*AI$5/12,Inputs!$C$8)))+$I$45*(AI$5&gt;Inputs!$C$12)*$D$45*(1+Inputs!$C$11*(AI$5-Inputs!$C$12)/12)</f>
        <v>21030.625</v>
      </c>
      <c r="AJ49" s="42" t="n">
        <f aca="false">$D$45*(1+IF($C$45&lt;=0,0,MAX($C$45*AJ$5/12,Inputs!$C$8)))+$I$45*(AJ$5&gt;Inputs!$C$12)*$D$45*(1+Inputs!$C$11*(AJ$5-Inputs!$C$12)/12)</f>
        <v>21208.75</v>
      </c>
      <c r="AK49" s="42" t="n">
        <f aca="false">$D$45*(1+IF($C$45&lt;=0,0,MAX($C$45*AK$5/12,Inputs!$C$8)))+$I$45*(AK$5&gt;Inputs!$C$12)*$D$45*(1+Inputs!$C$11*(AK$5-Inputs!$C$12)/12)</f>
        <v>21386.875</v>
      </c>
      <c r="AL49" s="42" t="n">
        <f aca="false">$D$45*(1+IF($C$45&lt;=0,0,MAX($C$45*AL$5/12,Inputs!$C$8)))+$I$45*(AL$5&gt;Inputs!$C$12)*$D$45*(1+Inputs!$C$11*(AL$5-Inputs!$C$12)/12)</f>
        <v>21565</v>
      </c>
    </row>
    <row r="50" customFormat="false" ht="15" hidden="false" customHeight="false" outlineLevel="0" collapsed="false">
      <c r="B50" s="31" t="s">
        <v>187</v>
      </c>
      <c r="N50" s="42" t="n">
        <f aca="false">-($D$45+$J$45)*(N$5=0)+IF(AND(N$5-$K$45&gt;=1,N$5-$K$45&lt;=Inputs!$C$13),INDEX($N$48:$AL$48,1,N$5-$K$45+1)*INDEX($N$49:$AL$49,1,N$5-$K$45+1),0)-$I$45*((N$5=Inputs!$C$12)*$C$47*$D$45+(N$5=Inputs!$C$13)*$D$47*($D$45+Inputs!$C$14))+$I$45*((N$5=Inputs!$C$15+$K$45)*$E$47*$I$47+(N$5=Inputs!$C$16+$K$45)*$F$47*$J$47+(N$5=Inputs!$C$17)*$G$47*$H$45*$H$47)</f>
        <v>-9510</v>
      </c>
      <c r="O50" s="42" t="n">
        <f aca="false">-($D$45+$J$45)*(O$5=0)+IF(AND(O$5-$K$45&gt;=1,O$5-$K$45&lt;=Inputs!$C$13),INDEX($N$48:$AL$48,1,O$5-$K$45+1)*INDEX($N$49:$AL$49,1,O$5-$K$45+1),0)-$I$45*((O$5=Inputs!$C$12)*$C$47*$D$45+(O$5=Inputs!$C$13)*$D$47*($D$45+Inputs!$C$14))+$I$45*((O$5=Inputs!$C$15+$K$45)*$E$47*$I$47+(O$5=Inputs!$C$16+$K$45)*$F$47*$J$47+(O$5=Inputs!$C$17)*$G$47*$H$45*$H$47)</f>
        <v>0</v>
      </c>
      <c r="P50" s="42" t="n">
        <f aca="false">-($D$45+$J$45)*(P$5=0)+IF(AND(P$5-$K$45&gt;=1,P$5-$K$45&lt;=Inputs!$C$13),INDEX($N$48:$AL$48,1,P$5-$K$45+1)*INDEX($N$49:$AL$49,1,P$5-$K$45+1),0)-$I$45*((P$5=Inputs!$C$12)*$C$47*$D$45+(P$5=Inputs!$C$13)*$D$47*($D$45+Inputs!$C$14))+$I$45*((P$5=Inputs!$C$15+$K$45)*$E$47*$I$47+(P$5=Inputs!$C$16+$K$45)*$F$47*$J$47+(P$5=Inputs!$C$17)*$G$47*$H$45*$H$47)</f>
        <v>1077.3</v>
      </c>
      <c r="Q50" s="42" t="n">
        <f aca="false">-($D$45+$J$45)*(Q$5=0)+IF(AND(Q$5-$K$45&gt;=1,Q$5-$K$45&lt;=Inputs!$C$13),INDEX($N$48:$AL$48,1,Q$5-$K$45+1)*INDEX($N$49:$AL$49,1,Q$5-$K$45+1),0)-$I$45*((Q$5=Inputs!$C$12)*$C$47*$D$45+(Q$5=Inputs!$C$13)*$D$47*($D$45+Inputs!$C$14))+$I$45*((Q$5=Inputs!$C$15+$K$45)*$E$47*$I$47+(Q$5=Inputs!$C$16+$K$45)*$F$47*$J$47+(Q$5=Inputs!$C$17)*$G$47*$H$45*$H$47)</f>
        <v>897.75</v>
      </c>
      <c r="R50" s="42" t="n">
        <f aca="false">-($D$45+$J$45)*(R$5=0)+IF(AND(R$5-$K$45&gt;=1,R$5-$K$45&lt;=Inputs!$C$13),INDEX($N$48:$AL$48,1,R$5-$K$45+1)*INDEX($N$49:$AL$49,1,R$5-$K$45+1),0)-$I$45*((R$5=Inputs!$C$12)*$C$47*$D$45+(R$5=Inputs!$C$13)*$D$47*($D$45+Inputs!$C$14))+$I$45*((R$5=Inputs!$C$15+$K$45)*$E$47*$I$47+(R$5=Inputs!$C$16+$K$45)*$F$47*$J$47+(R$5=Inputs!$C$17)*$G$47*$H$45*$H$47)</f>
        <v>807.975</v>
      </c>
      <c r="S50" s="42" t="n">
        <f aca="false">-($D$45+$J$45)*(S$5=0)+IF(AND(S$5-$K$45&gt;=1,S$5-$K$45&lt;=Inputs!$C$13),INDEX($N$48:$AL$48,1,S$5-$K$45+1)*INDEX($N$49:$AL$49,1,S$5-$K$45+1),0)-$I$45*((S$5=Inputs!$C$12)*$C$47*$D$45+(S$5=Inputs!$C$13)*$D$47*($D$45+Inputs!$C$14))+$I$45*((S$5=Inputs!$C$15+$K$45)*$E$47*$I$47+(S$5=Inputs!$C$16+$K$45)*$F$47*$J$47+(S$5=Inputs!$C$17)*$G$47*$H$45*$H$47)</f>
        <v>628.425</v>
      </c>
      <c r="T50" s="42" t="n">
        <f aca="false">-($D$45+$J$45)*(T$5=0)+IF(AND(T$5-$K$45&gt;=1,T$5-$K$45&lt;=Inputs!$C$13),INDEX($N$48:$AL$48,1,T$5-$K$45+1)*INDEX($N$49:$AL$49,1,T$5-$K$45+1),0)-$I$45*((T$5=Inputs!$C$12)*$C$47*$D$45+(T$5=Inputs!$C$13)*$D$47*($D$45+Inputs!$C$14))+$I$45*((T$5=Inputs!$C$15+$K$45)*$E$47*$I$47+(T$5=Inputs!$C$16+$K$45)*$F$47*$J$47+(T$5=Inputs!$C$17)*$G$47*$H$45*$H$47)</f>
        <v>628.425</v>
      </c>
      <c r="U50" s="42" t="n">
        <f aca="false">-($D$45+$J$45)*(U$5=0)+IF(AND(U$5-$K$45&gt;=1,U$5-$K$45&lt;=Inputs!$C$13),INDEX($N$48:$AL$48,1,U$5-$K$45+1)*INDEX($N$49:$AL$49,1,U$5-$K$45+1),0)-$I$45*((U$5=Inputs!$C$12)*$C$47*$D$45+(U$5=Inputs!$C$13)*$D$47*($D$45+Inputs!$C$14))+$I$45*((U$5=Inputs!$C$15+$K$45)*$E$47*$I$47+(U$5=Inputs!$C$16+$K$45)*$F$47*$J$47+(U$5=Inputs!$C$17)*$G$47*$H$45*$H$47)</f>
        <v>628.425</v>
      </c>
      <c r="V50" s="42" t="n">
        <f aca="false">-($D$45+$J$45)*(V$5=0)+IF(AND(V$5-$K$45&gt;=1,V$5-$K$45&lt;=Inputs!$C$13),INDEX($N$48:$AL$48,1,V$5-$K$45+1)*INDEX($N$49:$AL$49,1,V$5-$K$45+1),0)-$I$45*((V$5=Inputs!$C$12)*$C$47*$D$45+(V$5=Inputs!$C$13)*$D$47*($D$45+Inputs!$C$14))+$I$45*((V$5=Inputs!$C$15+$K$45)*$E$47*$I$47+(V$5=Inputs!$C$16+$K$45)*$F$47*$J$47+(V$5=Inputs!$C$17)*$G$47*$H$45*$H$47)</f>
        <v>389.025</v>
      </c>
      <c r="W50" s="42" t="n">
        <f aca="false">-($D$45+$J$45)*(W$5=0)+IF(AND(W$5-$K$45&gt;=1,W$5-$K$45&lt;=Inputs!$C$13),INDEX($N$48:$AL$48,1,W$5-$K$45+1)*INDEX($N$49:$AL$49,1,W$5-$K$45+1),0)-$I$45*((W$5=Inputs!$C$12)*$C$47*$D$45+(W$5=Inputs!$C$13)*$D$47*($D$45+Inputs!$C$14))+$I$45*((W$5=Inputs!$C$15+$K$45)*$E$47*$I$47+(W$5=Inputs!$C$16+$K$45)*$F$47*$J$47+(W$5=Inputs!$C$17)*$G$47*$H$45*$H$47)</f>
        <v>389.025</v>
      </c>
      <c r="X50" s="42" t="n">
        <f aca="false">-($D$45+$J$45)*(X$5=0)+IF(AND(X$5-$K$45&gt;=1,X$5-$K$45&lt;=Inputs!$C$13),INDEX($N$48:$AL$48,1,X$5-$K$45+1)*INDEX($N$49:$AL$49,1,X$5-$K$45+1),0)-$I$45*((X$5=Inputs!$C$12)*$C$47*$D$45+(X$5=Inputs!$C$13)*$D$47*($D$45+Inputs!$C$14))+$I$45*((X$5=Inputs!$C$15+$K$45)*$E$47*$I$47+(X$5=Inputs!$C$16+$K$45)*$F$47*$J$47+(X$5=Inputs!$C$17)*$G$47*$H$45*$H$47)</f>
        <v>389.025</v>
      </c>
      <c r="Y50" s="42" t="n">
        <f aca="false">-($D$45+$J$45)*(Y$5=0)+IF(AND(Y$5-$K$45&gt;=1,Y$5-$K$45&lt;=Inputs!$C$13),INDEX($N$48:$AL$48,1,Y$5-$K$45+1)*INDEX($N$49:$AL$49,1,Y$5-$K$45+1),0)-$I$45*((Y$5=Inputs!$C$12)*$C$47*$D$45+(Y$5=Inputs!$C$13)*$D$47*($D$45+Inputs!$C$14))+$I$45*((Y$5=Inputs!$C$15+$K$45)*$E$47*$I$47+(Y$5=Inputs!$C$16+$K$45)*$F$47*$J$47+(Y$5=Inputs!$C$17)*$G$47*$H$45*$H$47)</f>
        <v>329.175</v>
      </c>
      <c r="Z50" s="42" t="n">
        <f aca="false">-($D$45+$J$45)*(Z$5=0)+IF(AND(Z$5-$K$45&gt;=1,Z$5-$K$45&lt;=Inputs!$C$13),INDEX($N$48:$AL$48,1,Z$5-$K$45+1)*INDEX($N$49:$AL$49,1,Z$5-$K$45+1),0)-$I$45*((Z$5=Inputs!$C$12)*$C$47*$D$45+(Z$5=Inputs!$C$13)*$D$47*($D$45+Inputs!$C$14))+$I$45*((Z$5=Inputs!$C$15+$K$45)*$E$47*$I$47+(Z$5=Inputs!$C$16+$K$45)*$F$47*$J$47+(Z$5=Inputs!$C$17)*$G$47*$H$45*$H$47)</f>
        <v>-2672.825</v>
      </c>
      <c r="AA50" s="42" t="n">
        <f aca="false">-($D$45+$J$45)*(AA$5=0)+IF(AND(AA$5-$K$45&gt;=1,AA$5-$K$45&lt;=Inputs!$C$13),INDEX($N$48:$AL$48,1,AA$5-$K$45+1)*INDEX($N$49:$AL$49,1,AA$5-$K$45+1),0)-$I$45*((AA$5=Inputs!$C$12)*$C$47*$D$45+(AA$5=Inputs!$C$13)*$D$47*($D$45+Inputs!$C$14))+$I$45*((AA$5=Inputs!$C$15+$K$45)*$E$47*$I$47+(AA$5=Inputs!$C$16+$K$45)*$F$47*$J$47+(AA$5=Inputs!$C$17)*$G$47*$H$45*$H$47)</f>
        <v>329.175</v>
      </c>
      <c r="AB50" s="42" t="n">
        <f aca="false">-($D$45+$J$45)*(AB$5=0)+IF(AND(AB$5-$K$45&gt;=1,AB$5-$K$45&lt;=Inputs!$C$13),INDEX($N$48:$AL$48,1,AB$5-$K$45+1)*INDEX($N$49:$AL$49,1,AB$5-$K$45+1),0)-$I$45*((AB$5=Inputs!$C$12)*$C$47*$D$45+(AB$5=Inputs!$C$13)*$D$47*($D$45+Inputs!$C$14))+$I$45*((AB$5=Inputs!$C$15+$K$45)*$E$47*$I$47+(AB$5=Inputs!$C$16+$K$45)*$F$47*$J$47+(AB$5=Inputs!$C$17)*$G$47*$H$45*$H$47)</f>
        <v>411.9675</v>
      </c>
      <c r="AC50" s="42" t="n">
        <f aca="false">-($D$45+$J$45)*(AC$5=0)+IF(AND(AC$5-$K$45&gt;=1,AC$5-$K$45&lt;=Inputs!$C$13),INDEX($N$48:$AL$48,1,AC$5-$K$45+1)*INDEX($N$49:$AL$49,1,AC$5-$K$45+1),0)-$I$45*((AC$5=Inputs!$C$12)*$C$47*$D$45+(AC$5=Inputs!$C$13)*$D$47*($D$45+Inputs!$C$14))+$I$45*((AC$5=Inputs!$C$15+$K$45)*$E$47*$I$47+(AC$5=Inputs!$C$16+$K$45)*$F$47*$J$47+(AC$5=Inputs!$C$17)*$G$47*$H$45*$H$47)</f>
        <v>415.45875</v>
      </c>
      <c r="AD50" s="42" t="n">
        <f aca="false">-($D$45+$J$45)*(AD$5=0)+IF(AND(AD$5-$K$45&gt;=1,AD$5-$K$45&lt;=Inputs!$C$13),INDEX($N$48:$AL$48,1,AD$5-$K$45+1)*INDEX($N$49:$AL$49,1,AD$5-$K$45+1),0)-$I$45*((AD$5=Inputs!$C$12)*$C$47*$D$45+(AD$5=Inputs!$C$13)*$D$47*($D$45+Inputs!$C$14))+$I$45*((AD$5=Inputs!$C$15+$K$45)*$E$47*$I$47+(AD$5=Inputs!$C$16+$K$45)*$F$47*$J$47+(AD$5=Inputs!$C$17)*$G$47*$H$45*$H$47)</f>
        <v>419.199375000002</v>
      </c>
      <c r="AE50" s="42" t="n">
        <f aca="false">-($D$45+$J$45)*(AE$5=0)+IF(AND(AE$5-$K$45&gt;=1,AE$5-$K$45&lt;=Inputs!$C$13),INDEX($N$48:$AL$48,1,AE$5-$K$45+1)*INDEX($N$49:$AL$49,1,AE$5-$K$45+1),0)-$I$45*((AE$5=Inputs!$C$12)*$C$47*$D$45+(AE$5=Inputs!$C$13)*$D$47*($D$45+Inputs!$C$14))+$I$45*((AE$5=Inputs!$C$15+$K$45)*$E$47*$I$47+(AE$5=Inputs!$C$16+$K$45)*$F$47*$J$47+(AE$5=Inputs!$C$17)*$G$47*$H$45*$H$47)</f>
        <v>422.94</v>
      </c>
      <c r="AF50" s="42" t="n">
        <f aca="false">-($D$45+$J$45)*(AF$5=0)+IF(AND(AF$5-$K$45&gt;=1,AF$5-$K$45&lt;=Inputs!$C$13),INDEX($N$48:$AL$48,1,AF$5-$K$45+1)*INDEX($N$49:$AL$49,1,AF$5-$K$45+1),0)-$I$45*((AF$5=Inputs!$C$12)*$C$47*$D$45+(AF$5=Inputs!$C$13)*$D$47*($D$45+Inputs!$C$14))+$I$45*((AF$5=Inputs!$C$15+$K$45)*$E$47*$I$47+(AF$5=Inputs!$C$16+$K$45)*$F$47*$J$47+(AF$5=Inputs!$C$17)*$G$47*$H$45*$H$47)</f>
        <v>426.680625</v>
      </c>
      <c r="AG50" s="42" t="n">
        <f aca="false">-($D$45+$J$45)*(AG$5=0)+IF(AND(AG$5-$K$45&gt;=1,AG$5-$K$45&lt;=Inputs!$C$13),INDEX($N$48:$AL$48,1,AG$5-$K$45+1)*INDEX($N$49:$AL$49,1,AG$5-$K$45+1),0)-$I$45*((AG$5=Inputs!$C$12)*$C$47*$D$45+(AG$5=Inputs!$C$13)*$D$47*($D$45+Inputs!$C$14))+$I$45*((AG$5=Inputs!$C$15+$K$45)*$E$47*$I$47+(AG$5=Inputs!$C$16+$K$45)*$F$47*$J$47+(AG$5=Inputs!$C$17)*$G$47*$H$45*$H$47)</f>
        <v>430.42125</v>
      </c>
      <c r="AH50" s="42" t="n">
        <f aca="false">-($D$45+$J$45)*(AH$5=0)+IF(AND(AH$5-$K$45&gt;=1,AH$5-$K$45&lt;=Inputs!$C$13),INDEX($N$48:$AL$48,1,AH$5-$K$45+1)*INDEX($N$49:$AL$49,1,AH$5-$K$45+1),0)-$I$45*((AH$5=Inputs!$C$12)*$C$47*$D$45+(AH$5=Inputs!$C$13)*$D$47*($D$45+Inputs!$C$14))+$I$45*((AH$5=Inputs!$C$15+$K$45)*$E$47*$I$47+(AH$5=Inputs!$C$16+$K$45)*$F$47*$J$47+(AH$5=Inputs!$C$17)*$G$47*$H$45*$H$47)</f>
        <v>310.115625000001</v>
      </c>
      <c r="AI50" s="42" t="n">
        <f aca="false">-($D$45+$J$45)*(AI$5=0)+IF(AND(AI$5-$K$45&gt;=1,AI$5-$K$45&lt;=Inputs!$C$13),INDEX($N$48:$AL$48,1,AI$5-$K$45+1)*INDEX($N$49:$AL$49,1,AI$5-$K$45+1),0)-$I$45*((AI$5=Inputs!$C$12)*$C$47*$D$45+(AI$5=Inputs!$C$13)*$D$47*($D$45+Inputs!$C$14))+$I$45*((AI$5=Inputs!$C$15+$K$45)*$E$47*$I$47+(AI$5=Inputs!$C$16+$K$45)*$F$47*$J$47+(AI$5=Inputs!$C$17)*$G$47*$H$45*$H$47)</f>
        <v>312.787499999999</v>
      </c>
      <c r="AJ50" s="42" t="n">
        <f aca="false">-($D$45+$J$45)*(AJ$5=0)+IF(AND(AJ$5-$K$45&gt;=1,AJ$5-$K$45&lt;=Inputs!$C$13),INDEX($N$48:$AL$48,1,AJ$5-$K$45+1)*INDEX($N$49:$AL$49,1,AJ$5-$K$45+1),0)-$I$45*((AJ$5=Inputs!$C$12)*$C$47*$D$45+(AJ$5=Inputs!$C$13)*$D$47*($D$45+Inputs!$C$14))+$I$45*((AJ$5=Inputs!$C$15+$K$45)*$E$47*$I$47+(AJ$5=Inputs!$C$16+$K$45)*$F$47*$J$47+(AJ$5=Inputs!$C$17)*$G$47*$H$45*$H$47)</f>
        <v>315.459374999999</v>
      </c>
      <c r="AK50" s="42" t="n">
        <f aca="false">-($D$45+$J$45)*(AK$5=0)+IF(AND(AK$5-$K$45&gt;=1,AK$5-$K$45&lt;=Inputs!$C$13),INDEX($N$48:$AL$48,1,AK$5-$K$45+1)*INDEX($N$49:$AL$49,1,AK$5-$K$45+1),0)-$I$45*((AK$5=Inputs!$C$12)*$C$47*$D$45+(AK$5=Inputs!$C$13)*$D$47*($D$45+Inputs!$C$14))+$I$45*((AK$5=Inputs!$C$15+$K$45)*$E$47*$I$47+(AK$5=Inputs!$C$16+$K$45)*$F$47*$J$47+(AK$5=Inputs!$C$17)*$G$47*$H$45*$H$47)</f>
        <v>318.131250000001</v>
      </c>
      <c r="AL50" s="42" t="n">
        <f aca="false">-($D$45+$J$45)*(AL$5=0)+IF(AND(AL$5-$K$45&gt;=1,AL$5-$K$45&lt;=Inputs!$C$13),INDEX($N$48:$AL$48,1,AL$5-$K$45+1)*INDEX($N$49:$AL$49,1,AL$5-$K$45+1),0)-$I$45*((AL$5=Inputs!$C$12)*$C$47*$D$45+(AL$5=Inputs!$C$13)*$D$47*($D$45+Inputs!$C$14))+$I$45*((AL$5=Inputs!$C$15+$K$45)*$E$47*$I$47+(AL$5=Inputs!$C$16+$K$45)*$F$47*$J$47+(AL$5=Inputs!$C$17)*$G$47*$H$45*$H$47)</f>
        <v>-809.196874999999</v>
      </c>
      <c r="AM50" s="42" t="n">
        <f aca="false">-($D$45+$J$45)*(AM$5=0)+IF(AND(AM$5-$K$45&gt;=1,AM$5-$K$45&lt;=Inputs!$C$13),INDEX($N$48:$AL$48,1,AM$5-$K$45+1)*INDEX($N$49:$AL$49,1,AM$5-$K$45+1),0)-$I$45*((AM$5=Inputs!$C$12)*$C$47*$D$45+(AM$5=Inputs!$C$13)*$D$47*($D$45+Inputs!$C$14))+$I$45*((AM$5=Inputs!$C$15+$K$45)*$E$47*$I$47+(AM$5=Inputs!$C$16+$K$45)*$F$47*$J$47+(AM$5=Inputs!$C$17)*$G$47*$H$45*$H$47)</f>
        <v>323.474999999999</v>
      </c>
      <c r="AN50" s="42" t="n">
        <f aca="false">-($D$45+$J$45)*(AN$5=0)+IF(AND(AN$5-$K$45&gt;=1,AN$5-$K$45&lt;=Inputs!$C$13),INDEX($N$48:$AL$48,1,AN$5-$K$45+1)*INDEX($N$49:$AL$49,1,AN$5-$K$45+1),0)-$I$45*((AN$5=Inputs!$C$12)*$C$47*$D$45+(AN$5=Inputs!$C$13)*$D$47*($D$45+Inputs!$C$14))+$I$45*((AN$5=Inputs!$C$15+$K$45)*$E$47*$I$47+(AN$5=Inputs!$C$16+$K$45)*$F$47*$J$47+(AN$5=Inputs!$C$17)*$G$47*$H$45*$H$47)</f>
        <v>0</v>
      </c>
      <c r="AO50" s="42" t="n">
        <f aca="false">-($D$45+$J$45)*(AO$5=0)+IF(AND(AO$5-$K$45&gt;=1,AO$5-$K$45&lt;=Inputs!$C$13),INDEX($N$48:$AL$48,1,AO$5-$K$45+1)*INDEX($N$49:$AL$49,1,AO$5-$K$45+1),0)-$I$45*((AO$5=Inputs!$C$12)*$C$47*$D$45+(AO$5=Inputs!$C$13)*$D$47*($D$45+Inputs!$C$14))+$I$45*((AO$5=Inputs!$C$15+$K$45)*$E$47*$I$47+(AO$5=Inputs!$C$16+$K$45)*$F$47*$J$47+(AO$5=Inputs!$C$17)*$G$47*$H$45*$H$47)</f>
        <v>0</v>
      </c>
      <c r="AP50" s="42" t="n">
        <f aca="false">-($D$45+$J$45)*(AP$5=0)+IF(AND(AP$5-$K$45&gt;=1,AP$5-$K$45&lt;=Inputs!$C$13),INDEX($N$48:$AL$48,1,AP$5-$K$45+1)*INDEX($N$49:$AL$49,1,AP$5-$K$45+1),0)-$I$45*((AP$5=Inputs!$C$12)*$C$47*$D$45+(AP$5=Inputs!$C$13)*$D$47*($D$45+Inputs!$C$14))+$I$45*((AP$5=Inputs!$C$15+$K$45)*$E$47*$I$47+(AP$5=Inputs!$C$16+$K$45)*$F$47*$J$47+(AP$5=Inputs!$C$17)*$G$47*$H$45*$H$47)</f>
        <v>2029.6125</v>
      </c>
      <c r="AQ50" s="42" t="n">
        <f aca="false">-($D$45+$J$45)*(AQ$5=0)+IF(AND(AQ$5-$K$45&gt;=1,AQ$5-$K$45&lt;=Inputs!$C$13),INDEX($N$48:$AL$48,1,AQ$5-$K$45+1)*INDEX($N$49:$AL$49,1,AQ$5-$K$45+1),0)-$I$45*((AQ$5=Inputs!$C$12)*$C$47*$D$45+(AQ$5=Inputs!$C$13)*$D$47*($D$45+Inputs!$C$14))+$I$45*((AQ$5=Inputs!$C$15+$K$45)*$E$47*$I$47+(AQ$5=Inputs!$C$16+$K$45)*$F$47*$J$47+(AQ$5=Inputs!$C$17)*$G$47*$H$45*$H$47)</f>
        <v>0</v>
      </c>
      <c r="AR50" s="42" t="n">
        <f aca="false">-($D$45+$J$45)*(AR$5=0)+IF(AND(AR$5-$K$45&gt;=1,AR$5-$K$45&lt;=Inputs!$C$13),INDEX($N$48:$AL$48,1,AR$5-$K$45+1)*INDEX($N$49:$AL$49,1,AR$5-$K$45+1),0)-$I$45*((AR$5=Inputs!$C$12)*$C$47*$D$45+(AR$5=Inputs!$C$13)*$D$47*($D$45+Inputs!$C$14))+$I$45*((AR$5=Inputs!$C$15+$K$45)*$E$47*$I$47+(AR$5=Inputs!$C$16+$K$45)*$F$47*$J$47+(AR$5=Inputs!$C$17)*$G$47*$H$45*$H$47)</f>
        <v>0</v>
      </c>
      <c r="AS50" s="42" t="n">
        <f aca="false">-($D$45+$J$45)*(AS$5=0)+IF(AND(AS$5-$K$45&gt;=1,AS$5-$K$45&lt;=Inputs!$C$13),INDEX($N$48:$AL$48,1,AS$5-$K$45+1)*INDEX($N$49:$AL$49,1,AS$5-$K$45+1),0)-$I$45*((AS$5=Inputs!$C$12)*$C$47*$D$45+(AS$5=Inputs!$C$13)*$D$47*($D$45+Inputs!$C$14))+$I$45*((AS$5=Inputs!$C$15+$K$45)*$E$47*$I$47+(AS$5=Inputs!$C$16+$K$45)*$F$47*$J$47+(AS$5=Inputs!$C$17)*$G$47*$H$45*$H$47)</f>
        <v>1113.24</v>
      </c>
      <c r="AT50" s="42" t="n">
        <f aca="false">-($D$45+$J$45)*(AT$5=0)+IF(AND(AT$5-$K$45&gt;=1,AT$5-$K$45&lt;=Inputs!$C$13),INDEX($N$48:$AL$48,1,AT$5-$K$45+1)*INDEX($N$49:$AL$49,1,AT$5-$K$45+1),0)-$I$45*((AT$5=Inputs!$C$12)*$C$47*$D$45+(AT$5=Inputs!$C$13)*$D$47*($D$45+Inputs!$C$14))+$I$45*((AT$5=Inputs!$C$15+$K$45)*$E$47*$I$47+(AT$5=Inputs!$C$16+$K$45)*$F$47*$J$47+(AT$5=Inputs!$C$17)*$G$47*$H$45*$H$47)</f>
        <v>0</v>
      </c>
      <c r="AU50" s="42" t="n">
        <f aca="false">-($D$45+$J$45)*(AU$5=0)+IF(AND(AU$5-$K$45&gt;=1,AU$5-$K$45&lt;=Inputs!$C$13),INDEX($N$48:$AL$48,1,AU$5-$K$45+1)*INDEX($N$49:$AL$49,1,AU$5-$K$45+1),0)-$I$45*((AU$5=Inputs!$C$12)*$C$47*$D$45+(AU$5=Inputs!$C$13)*$D$47*($D$45+Inputs!$C$14))+$I$45*((AU$5=Inputs!$C$15+$K$45)*$E$47*$I$47+(AU$5=Inputs!$C$16+$K$45)*$F$47*$J$47+(AU$5=Inputs!$C$17)*$G$47*$H$45*$H$47)</f>
        <v>0</v>
      </c>
      <c r="AV50" s="42" t="n">
        <f aca="false">-($D$45+$J$45)*(AV$5=0)+IF(AND(AV$5-$K$45&gt;=1,AV$5-$K$45&lt;=Inputs!$C$13),INDEX($N$48:$AL$48,1,AV$5-$K$45+1)*INDEX($N$49:$AL$49,1,AV$5-$K$45+1),0)-$I$45*((AV$5=Inputs!$C$12)*$C$47*$D$45+(AV$5=Inputs!$C$13)*$D$47*($D$45+Inputs!$C$14))+$I$45*((AV$5=Inputs!$C$15+$K$45)*$E$47*$I$47+(AV$5=Inputs!$C$16+$K$45)*$F$47*$J$47+(AV$5=Inputs!$C$17)*$G$47*$H$45*$H$47)</f>
        <v>0</v>
      </c>
      <c r="AW50" s="42" t="n">
        <f aca="false">-($D$45+$J$45)*(AW$5=0)+IF(AND(AW$5-$K$45&gt;=1,AW$5-$K$45&lt;=Inputs!$C$13),INDEX($N$48:$AL$48,1,AW$5-$K$45+1)*INDEX($N$49:$AL$49,1,AW$5-$K$45+1),0)-$I$45*((AW$5=Inputs!$C$12)*$C$47*$D$45+(AW$5=Inputs!$C$13)*$D$47*($D$45+Inputs!$C$14))+$I$45*((AW$5=Inputs!$C$15+$K$45)*$E$47*$I$47+(AW$5=Inputs!$C$16+$K$45)*$F$47*$J$47+(AW$5=Inputs!$C$17)*$G$47*$H$45*$H$47)</f>
        <v>0</v>
      </c>
      <c r="AX50" s="42" t="n">
        <f aca="false">-($D$45+$J$45)*(AX$5=0)+IF(AND(AX$5-$K$45&gt;=1,AX$5-$K$45&lt;=Inputs!$C$13),INDEX($N$48:$AL$48,1,AX$5-$K$45+1)*INDEX($N$49:$AL$49,1,AX$5-$K$45+1),0)-$I$45*((AX$5=Inputs!$C$12)*$C$47*$D$45+(AX$5=Inputs!$C$13)*$D$47*($D$45+Inputs!$C$14))+$I$45*((AX$5=Inputs!$C$15+$K$45)*$E$47*$I$47+(AX$5=Inputs!$C$16+$K$45)*$F$47*$J$47+(AX$5=Inputs!$C$17)*$G$47*$H$45*$H$47)</f>
        <v>218.16</v>
      </c>
      <c r="AY50" s="42" t="n">
        <f aca="false">-($D$45+$J$45)*(AY$5=0)+IF(AND(AY$5-$K$45&gt;=1,AY$5-$K$45&lt;=Inputs!$C$13),INDEX($N$48:$AL$48,1,AY$5-$K$45+1)*INDEX($N$49:$AL$49,1,AY$5-$K$45+1),0)-$I$45*((AY$5=Inputs!$C$12)*$C$47*$D$45+(AY$5=Inputs!$C$13)*$D$47*($D$45+Inputs!$C$14))+$I$45*((AY$5=Inputs!$C$15+$K$45)*$E$47*$I$47+(AY$5=Inputs!$C$16+$K$45)*$F$47*$J$47+(AY$5=Inputs!$C$17)*$G$47*$H$45*$H$47)</f>
        <v>0</v>
      </c>
    </row>
    <row r="52" customFormat="false" ht="15" hidden="false" customHeight="false" outlineLevel="0" collapsed="false">
      <c r="B52" s="7" t="s">
        <v>228</v>
      </c>
      <c r="C52" s="8"/>
      <c r="D52" s="8"/>
      <c r="E52" s="8"/>
      <c r="F52" s="8"/>
      <c r="G52" s="8"/>
      <c r="H52" s="8"/>
      <c r="I52" s="8"/>
      <c r="J52" s="8"/>
      <c r="K52" s="8"/>
      <c r="L52" s="8"/>
    </row>
    <row r="53" customFormat="false" ht="30" hidden="false" customHeight="true" outlineLevel="0" collapsed="false">
      <c r="B53" s="37"/>
      <c r="C53" s="38" t="s">
        <v>169</v>
      </c>
      <c r="D53" s="38" t="s">
        <v>170</v>
      </c>
      <c r="E53" s="38" t="s">
        <v>171</v>
      </c>
      <c r="F53" s="38" t="s">
        <v>43</v>
      </c>
      <c r="G53" s="38" t="s">
        <v>44</v>
      </c>
      <c r="H53" s="38" t="s">
        <v>45</v>
      </c>
      <c r="I53" s="38" t="s">
        <v>172</v>
      </c>
      <c r="J53" s="38" t="s">
        <v>90</v>
      </c>
      <c r="K53" s="38" t="s">
        <v>89</v>
      </c>
      <c r="L53" s="38" t="s">
        <v>173</v>
      </c>
    </row>
    <row r="54" customFormat="false" ht="15" hidden="false" customHeight="false" outlineLevel="0" collapsed="false">
      <c r="B54" s="39" t="s">
        <v>174</v>
      </c>
      <c r="C54" s="26" t="n">
        <f aca="false">MAX(0,Bid_Floor!$C$45-Inputs!$C$7)</f>
        <v>0.0425</v>
      </c>
      <c r="D54" s="30" t="n">
        <f aca="false">Inputs!$E$25</f>
        <v>9500</v>
      </c>
      <c r="E54" s="26" t="n">
        <f aca="false">Inputs!$F$25</f>
        <v>0.9</v>
      </c>
      <c r="F54" s="25" t="n">
        <f aca="false">Inputs!$G$25</f>
        <v>0.6</v>
      </c>
      <c r="G54" s="25" t="n">
        <f aca="false">Inputs!$H$25</f>
        <v>0.8</v>
      </c>
      <c r="H54" s="25" t="n">
        <f aca="false">Inputs!$I$25</f>
        <v>0.9</v>
      </c>
      <c r="I54" s="22" t="n">
        <f aca="false">Inputs!$J$25</f>
        <v>1</v>
      </c>
      <c r="J54" s="23" t="n">
        <f aca="false">Inputs!$C$9</f>
        <v>10</v>
      </c>
      <c r="K54" s="22" t="n">
        <f aca="false">Inputs!$C$10</f>
        <v>1</v>
      </c>
      <c r="L54" s="22" t="n">
        <f aca="false">1</f>
        <v>1</v>
      </c>
    </row>
    <row r="55" customFormat="false" ht="30" hidden="false" customHeight="true" outlineLevel="0" collapsed="false">
      <c r="B55" s="37"/>
      <c r="C55" s="38" t="s">
        <v>175</v>
      </c>
      <c r="D55" s="38" t="s">
        <v>176</v>
      </c>
      <c r="E55" s="38" t="s">
        <v>177</v>
      </c>
      <c r="F55" s="38" t="s">
        <v>178</v>
      </c>
      <c r="G55" s="38" t="s">
        <v>112</v>
      </c>
      <c r="H55" s="38" t="s">
        <v>179</v>
      </c>
      <c r="I55" s="38" t="s">
        <v>180</v>
      </c>
      <c r="J55" s="38" t="s">
        <v>181</v>
      </c>
      <c r="K55" s="38" t="s">
        <v>182</v>
      </c>
      <c r="L55" s="38" t="s">
        <v>183</v>
      </c>
    </row>
    <row r="56" customFormat="false" ht="15" hidden="false" customHeight="false" outlineLevel="0" collapsed="false">
      <c r="B56" s="39" t="s">
        <v>184</v>
      </c>
      <c r="C56" s="40" t="n">
        <f aca="false">1-$E$54*CHOOSE($L$54,INDEX(Timing!$C$7:$AA$7,1,Inputs!$C$12+1),INDEX(Timing!$C$8:$AA$8,1,Inputs!$C$12+1))</f>
        <v>0.316</v>
      </c>
      <c r="D56" s="40" t="n">
        <f aca="false">1-$E$54*CHOOSE($L$54,INDEX(Timing!$C$7:$AA$7,1,Inputs!$C$13+1),INDEX(Timing!$C$8:$AA$8,1,Inputs!$C$13+1))</f>
        <v>0.1</v>
      </c>
      <c r="E56" s="40" t="n">
        <f aca="false">$I$54*$D$56*$F$54</f>
        <v>0.06</v>
      </c>
      <c r="F56" s="40" t="n">
        <f aca="false">$I$54*($D$56-$E$56)*$G$54</f>
        <v>0.032</v>
      </c>
      <c r="G56" s="40" t="n">
        <f aca="false">$I$54*($D$56-$E$56-$F$56)</f>
        <v>0.008</v>
      </c>
      <c r="H56" s="23" t="n">
        <f aca="false">$I$54*(3*$D$54+Inputs!$C$14)</f>
        <v>30300</v>
      </c>
      <c r="I56" s="23" t="n">
        <f aca="false">$I$54*($D$54*(1+IF($C$54&lt;=0,0,MAX($C$54*Inputs!$C$15/12,Inputs!$C$8)))+$D$54*(1+Inputs!$C$11*(Inputs!$C$15-Inputs!$C$12)/12)+$D$54*(1+Inputs!$C$11*(Inputs!$C$15-Inputs!$C$13)/12)+Inputs!$C$14)</f>
        <v>33773.4375</v>
      </c>
      <c r="J56" s="23" t="n">
        <f aca="false">$I$54*($D$54*(1+IF($C$54&lt;=0,0,MAX($C$54*Inputs!$C$16/12,Inputs!$C$8)))+$D$54*(1+Inputs!$C$11*(Inputs!$C$16-Inputs!$C$12)/12)+$D$54*(1+Inputs!$C$11*(Inputs!$C$16-Inputs!$C$13)/12)+Inputs!$C$14)</f>
        <v>34729.375</v>
      </c>
      <c r="K56" s="40" t="n">
        <f aca="false">IRR($N$59:$AY$59,0.005)</f>
        <v>0.00638071837264821</v>
      </c>
      <c r="L56" s="41" t="n">
        <f aca="false">(1+$K$56)^12-1</f>
        <v>0.0793136968362707</v>
      </c>
    </row>
    <row r="57" customFormat="false" ht="15" hidden="false" customHeight="false" outlineLevel="0" collapsed="false">
      <c r="B57" s="9" t="s">
        <v>185</v>
      </c>
      <c r="N57" s="40" t="n">
        <f aca="false">0</f>
        <v>0</v>
      </c>
      <c r="O57" s="40" t="n">
        <f aca="false">$E$54*(CHOOSE($L$54,Timing!D$7,Timing!D$8)-CHOOSE($L$54,Timing!C$7,Timing!C$8))</f>
        <v>0.108</v>
      </c>
      <c r="P57" s="40" t="n">
        <f aca="false">$E$54*(CHOOSE($L$54,Timing!E$7,Timing!E$8)-CHOOSE($L$54,Timing!D$7,Timing!D$8))</f>
        <v>0.09</v>
      </c>
      <c r="Q57" s="40" t="n">
        <f aca="false">$E$54*(CHOOSE($L$54,Timing!F$7,Timing!F$8)-CHOOSE($L$54,Timing!E$7,Timing!E$8))</f>
        <v>0.081</v>
      </c>
      <c r="R57" s="40" t="n">
        <f aca="false">$E$54*(CHOOSE($L$54,Timing!G$7,Timing!G$8)-CHOOSE($L$54,Timing!F$7,Timing!F$8))</f>
        <v>0.063</v>
      </c>
      <c r="S57" s="40" t="n">
        <f aca="false">$E$54*(CHOOSE($L$54,Timing!H$7,Timing!H$8)-CHOOSE($L$54,Timing!G$7,Timing!G$8))</f>
        <v>0.063</v>
      </c>
      <c r="T57" s="40" t="n">
        <f aca="false">$E$54*(CHOOSE($L$54,Timing!I$7,Timing!I$8)-CHOOSE($L$54,Timing!H$7,Timing!H$8))</f>
        <v>0.063</v>
      </c>
      <c r="U57" s="40" t="n">
        <f aca="false">$E$54*(CHOOSE($L$54,Timing!J$7,Timing!J$8)-CHOOSE($L$54,Timing!I$7,Timing!I$8))</f>
        <v>0.039</v>
      </c>
      <c r="V57" s="40" t="n">
        <f aca="false">$E$54*(CHOOSE($L$54,Timing!K$7,Timing!K$8)-CHOOSE($L$54,Timing!J$7,Timing!J$8))</f>
        <v>0.039</v>
      </c>
      <c r="W57" s="40" t="n">
        <f aca="false">$E$54*(CHOOSE($L$54,Timing!L$7,Timing!L$8)-CHOOSE($L$54,Timing!K$7,Timing!K$8))</f>
        <v>0.039</v>
      </c>
      <c r="X57" s="40" t="n">
        <f aca="false">$E$54*(CHOOSE($L$54,Timing!M$7,Timing!M$8)-CHOOSE($L$54,Timing!L$7,Timing!L$8))</f>
        <v>0.033</v>
      </c>
      <c r="Y57" s="40" t="n">
        <f aca="false">$E$54*(CHOOSE($L$54,Timing!N$7,Timing!N$8)-CHOOSE($L$54,Timing!M$7,Timing!M$8))</f>
        <v>0.0330000000000001</v>
      </c>
      <c r="Z57" s="40" t="n">
        <f aca="false">$E$54*(CHOOSE($L$54,Timing!O$7,Timing!O$8)-CHOOSE($L$54,Timing!N$7,Timing!N$8))</f>
        <v>0.033</v>
      </c>
      <c r="AA57" s="40" t="n">
        <f aca="false">$E$54*(CHOOSE($L$54,Timing!P$7,Timing!P$8)-CHOOSE($L$54,Timing!O$7,Timing!O$8))</f>
        <v>0.021</v>
      </c>
      <c r="AB57" s="40" t="n">
        <f aca="false">$E$54*(CHOOSE($L$54,Timing!Q$7,Timing!Q$8)-CHOOSE($L$54,Timing!P$7,Timing!P$8))</f>
        <v>0.021</v>
      </c>
      <c r="AC57" s="40" t="n">
        <f aca="false">$E$54*(CHOOSE($L$54,Timing!R$7,Timing!R$8)-CHOOSE($L$54,Timing!Q$7,Timing!Q$8))</f>
        <v>0.0210000000000001</v>
      </c>
      <c r="AD57" s="40" t="n">
        <f aca="false">$E$54*(CHOOSE($L$54,Timing!S$7,Timing!S$8)-CHOOSE($L$54,Timing!R$7,Timing!R$8))</f>
        <v>0.021</v>
      </c>
      <c r="AE57" s="40" t="n">
        <f aca="false">$E$54*(CHOOSE($L$54,Timing!T$7,Timing!T$8)-CHOOSE($L$54,Timing!S$7,Timing!S$8))</f>
        <v>0.021</v>
      </c>
      <c r="AF57" s="40" t="n">
        <f aca="false">$E$54*(CHOOSE($L$54,Timing!U$7,Timing!U$8)-CHOOSE($L$54,Timing!T$7,Timing!T$8))</f>
        <v>0.021</v>
      </c>
      <c r="AG57" s="40" t="n">
        <f aca="false">$E$54*(CHOOSE($L$54,Timing!V$7,Timing!V$8)-CHOOSE($L$54,Timing!U$7,Timing!U$8))</f>
        <v>0.015</v>
      </c>
      <c r="AH57" s="40" t="n">
        <f aca="false">$E$54*(CHOOSE($L$54,Timing!W$7,Timing!W$8)-CHOOSE($L$54,Timing!V$7,Timing!V$8))</f>
        <v>0.0149999999999999</v>
      </c>
      <c r="AI57" s="40" t="n">
        <f aca="false">$E$54*(CHOOSE($L$54,Timing!X$7,Timing!X$8)-CHOOSE($L$54,Timing!W$7,Timing!W$8))</f>
        <v>0.0149999999999999</v>
      </c>
      <c r="AJ57" s="40" t="n">
        <f aca="false">$E$54*(CHOOSE($L$54,Timing!Y$7,Timing!Y$8)-CHOOSE($L$54,Timing!X$7,Timing!X$8))</f>
        <v>0.015</v>
      </c>
      <c r="AK57" s="40" t="n">
        <f aca="false">$E$54*(CHOOSE($L$54,Timing!Z$7,Timing!Z$8)-CHOOSE($L$54,Timing!Y$7,Timing!Y$8))</f>
        <v>0.015</v>
      </c>
      <c r="AL57" s="40" t="n">
        <f aca="false">$E$54*(CHOOSE($L$54,Timing!AA$7,Timing!AA$8)-CHOOSE($L$54,Timing!Z$7,Timing!Z$8))</f>
        <v>0.0149999999999999</v>
      </c>
    </row>
    <row r="58" customFormat="false" ht="15" hidden="false" customHeight="false" outlineLevel="0" collapsed="false">
      <c r="B58" s="9" t="s">
        <v>186</v>
      </c>
      <c r="N58" s="42" t="n">
        <f aca="false">0</f>
        <v>0</v>
      </c>
      <c r="O58" s="42" t="n">
        <f aca="false">$D$54*(1+IF($C$54&lt;=0,0,MAX($C$54*O$5/12,Inputs!$C$8)))+$I$54*(O$5&gt;Inputs!$C$12)*$D$54*(1+Inputs!$C$11*(O$5-Inputs!$C$12)/12)</f>
        <v>9975</v>
      </c>
      <c r="P58" s="42" t="n">
        <f aca="false">$D$54*(1+IF($C$54&lt;=0,0,MAX($C$54*P$5/12,Inputs!$C$8)))+$I$54*(P$5&gt;Inputs!$C$12)*$D$54*(1+Inputs!$C$11*(P$5-Inputs!$C$12)/12)</f>
        <v>9975</v>
      </c>
      <c r="Q58" s="42" t="n">
        <f aca="false">$D$54*(1+IF($C$54&lt;=0,0,MAX($C$54*Q$5/12,Inputs!$C$8)))+$I$54*(Q$5&gt;Inputs!$C$12)*$D$54*(1+Inputs!$C$11*(Q$5-Inputs!$C$12)/12)</f>
        <v>9975</v>
      </c>
      <c r="R58" s="42" t="n">
        <f aca="false">$D$54*(1+IF($C$54&lt;=0,0,MAX($C$54*R$5/12,Inputs!$C$8)))+$I$54*(R$5&gt;Inputs!$C$12)*$D$54*(1+Inputs!$C$11*(R$5-Inputs!$C$12)/12)</f>
        <v>9975</v>
      </c>
      <c r="S58" s="42" t="n">
        <f aca="false">$D$54*(1+IF($C$54&lt;=0,0,MAX($C$54*S$5/12,Inputs!$C$8)))+$I$54*(S$5&gt;Inputs!$C$12)*$D$54*(1+Inputs!$C$11*(S$5-Inputs!$C$12)/12)</f>
        <v>9975</v>
      </c>
      <c r="T58" s="42" t="n">
        <f aca="false">$D$54*(1+IF($C$54&lt;=0,0,MAX($C$54*T$5/12,Inputs!$C$8)))+$I$54*(T$5&gt;Inputs!$C$12)*$D$54*(1+Inputs!$C$11*(T$5-Inputs!$C$12)/12)</f>
        <v>9975</v>
      </c>
      <c r="U58" s="42" t="n">
        <f aca="false">$D$54*(1+IF($C$54&lt;=0,0,MAX($C$54*U$5/12,Inputs!$C$8)))+$I$54*(U$5&gt;Inputs!$C$12)*$D$54*(1+Inputs!$C$11*(U$5-Inputs!$C$12)/12)</f>
        <v>9975</v>
      </c>
      <c r="V58" s="42" t="n">
        <f aca="false">$D$54*(1+IF($C$54&lt;=0,0,MAX($C$54*V$5/12,Inputs!$C$8)))+$I$54*(V$5&gt;Inputs!$C$12)*$D$54*(1+Inputs!$C$11*(V$5-Inputs!$C$12)/12)</f>
        <v>9975</v>
      </c>
      <c r="W58" s="42" t="n">
        <f aca="false">$D$54*(1+IF($C$54&lt;=0,0,MAX($C$54*W$5/12,Inputs!$C$8)))+$I$54*(W$5&gt;Inputs!$C$12)*$D$54*(1+Inputs!$C$11*(W$5-Inputs!$C$12)/12)</f>
        <v>9975</v>
      </c>
      <c r="X58" s="42" t="n">
        <f aca="false">$D$54*(1+IF($C$54&lt;=0,0,MAX($C$54*X$5/12,Inputs!$C$8)))+$I$54*(X$5&gt;Inputs!$C$12)*$D$54*(1+Inputs!$C$11*(X$5-Inputs!$C$12)/12)</f>
        <v>9975</v>
      </c>
      <c r="Y58" s="42" t="n">
        <f aca="false">$D$54*(1+IF($C$54&lt;=0,0,MAX($C$54*Y$5/12,Inputs!$C$8)))+$I$54*(Y$5&gt;Inputs!$C$12)*$D$54*(1+Inputs!$C$11*(Y$5-Inputs!$C$12)/12)</f>
        <v>9975</v>
      </c>
      <c r="Z58" s="42" t="n">
        <f aca="false">$D$54*(1+IF($C$54&lt;=0,0,MAX($C$54*Z$5/12,Inputs!$C$8)))+$I$54*(Z$5&gt;Inputs!$C$12)*$D$54*(1+Inputs!$C$11*(Z$5-Inputs!$C$12)/12)</f>
        <v>9975</v>
      </c>
      <c r="AA58" s="42" t="n">
        <f aca="false">$D$54*(1+IF($C$54&lt;=0,0,MAX($C$54*AA$5/12,Inputs!$C$8)))+$I$54*(AA$5&gt;Inputs!$C$12)*$D$54*(1+Inputs!$C$11*(AA$5-Inputs!$C$12)/12)</f>
        <v>19617.5</v>
      </c>
      <c r="AB58" s="42" t="n">
        <f aca="false">$D$54*(1+IF($C$54&lt;=0,0,MAX($C$54*AB$5/12,Inputs!$C$8)))+$I$54*(AB$5&gt;Inputs!$C$12)*$D$54*(1+Inputs!$C$11*(AB$5-Inputs!$C$12)/12)</f>
        <v>19760</v>
      </c>
      <c r="AC58" s="42" t="n">
        <f aca="false">$D$54*(1+IF($C$54&lt;=0,0,MAX($C$54*AC$5/12,Inputs!$C$8)))+$I$54*(AC$5&gt;Inputs!$C$12)*$D$54*(1+Inputs!$C$11*(AC$5-Inputs!$C$12)/12)</f>
        <v>19932.1875</v>
      </c>
      <c r="AD58" s="42" t="n">
        <f aca="false">$D$54*(1+IF($C$54&lt;=0,0,MAX($C$54*AD$5/12,Inputs!$C$8)))+$I$54*(AD$5&gt;Inputs!$C$12)*$D$54*(1+Inputs!$C$11*(AD$5-Inputs!$C$12)/12)</f>
        <v>20108.3333333333</v>
      </c>
      <c r="AE58" s="42" t="n">
        <f aca="false">$D$54*(1+IF($C$54&lt;=0,0,MAX($C$54*AE$5/12,Inputs!$C$8)))+$I$54*(AE$5&gt;Inputs!$C$12)*$D$54*(1+Inputs!$C$11*(AE$5-Inputs!$C$12)/12)</f>
        <v>20284.4791666667</v>
      </c>
      <c r="AF58" s="42" t="n">
        <f aca="false">$D$54*(1+IF($C$54&lt;=0,0,MAX($C$54*AF$5/12,Inputs!$C$8)))+$I$54*(AF$5&gt;Inputs!$C$12)*$D$54*(1+Inputs!$C$11*(AF$5-Inputs!$C$12)/12)</f>
        <v>20460.625</v>
      </c>
      <c r="AG58" s="42" t="n">
        <f aca="false">$D$54*(1+IF($C$54&lt;=0,0,MAX($C$54*AG$5/12,Inputs!$C$8)))+$I$54*(AG$5&gt;Inputs!$C$12)*$D$54*(1+Inputs!$C$11*(AG$5-Inputs!$C$12)/12)</f>
        <v>20636.7708333333</v>
      </c>
      <c r="AH58" s="42" t="n">
        <f aca="false">$D$54*(1+IF($C$54&lt;=0,0,MAX($C$54*AH$5/12,Inputs!$C$8)))+$I$54*(AH$5&gt;Inputs!$C$12)*$D$54*(1+Inputs!$C$11*(AH$5-Inputs!$C$12)/12)</f>
        <v>20812.9166666667</v>
      </c>
      <c r="AI58" s="42" t="n">
        <f aca="false">$D$54*(1+IF($C$54&lt;=0,0,MAX($C$54*AI$5/12,Inputs!$C$8)))+$I$54*(AI$5&gt;Inputs!$C$12)*$D$54*(1+Inputs!$C$11*(AI$5-Inputs!$C$12)/12)</f>
        <v>20989.0625</v>
      </c>
      <c r="AJ58" s="42" t="n">
        <f aca="false">$D$54*(1+IF($C$54&lt;=0,0,MAX($C$54*AJ$5/12,Inputs!$C$8)))+$I$54*(AJ$5&gt;Inputs!$C$12)*$D$54*(1+Inputs!$C$11*(AJ$5-Inputs!$C$12)/12)</f>
        <v>21165.2083333333</v>
      </c>
      <c r="AK58" s="42" t="n">
        <f aca="false">$D$54*(1+IF($C$54&lt;=0,0,MAX($C$54*AK$5/12,Inputs!$C$8)))+$I$54*(AK$5&gt;Inputs!$C$12)*$D$54*(1+Inputs!$C$11*(AK$5-Inputs!$C$12)/12)</f>
        <v>21341.3541666667</v>
      </c>
      <c r="AL58" s="42" t="n">
        <f aca="false">$D$54*(1+IF($C$54&lt;=0,0,MAX($C$54*AL$5/12,Inputs!$C$8)))+$I$54*(AL$5&gt;Inputs!$C$12)*$D$54*(1+Inputs!$C$11*(AL$5-Inputs!$C$12)/12)</f>
        <v>21517.5</v>
      </c>
    </row>
    <row r="59" customFormat="false" ht="15" hidden="false" customHeight="false" outlineLevel="0" collapsed="false">
      <c r="B59" s="31" t="s">
        <v>187</v>
      </c>
      <c r="N59" s="42" t="n">
        <f aca="false">-($D$54+$J$54)*(N$5=0)+IF(AND(N$5-$K$54&gt;=1,N$5-$K$54&lt;=Inputs!$C$13),INDEX($N$57:$AL$57,1,N$5-$K$54+1)*INDEX($N$58:$AL$58,1,N$5-$K$54+1),0)-$I$54*((N$5=Inputs!$C$12)*$C$56*$D$54+(N$5=Inputs!$C$13)*$D$56*($D$54+Inputs!$C$14))+$I$54*((N$5=Inputs!$C$15+$K$54)*$E$56*$I$56+(N$5=Inputs!$C$16+$K$54)*$F$56*$J$56+(N$5=Inputs!$C$17)*$G$56*$H$54*$H$56)</f>
        <v>-9510</v>
      </c>
      <c r="O59" s="42" t="n">
        <f aca="false">-($D$54+$J$54)*(O$5=0)+IF(AND(O$5-$K$54&gt;=1,O$5-$K$54&lt;=Inputs!$C$13),INDEX($N$57:$AL$57,1,O$5-$K$54+1)*INDEX($N$58:$AL$58,1,O$5-$K$54+1),0)-$I$54*((O$5=Inputs!$C$12)*$C$56*$D$54+(O$5=Inputs!$C$13)*$D$56*($D$54+Inputs!$C$14))+$I$54*((O$5=Inputs!$C$15+$K$54)*$E$56*$I$56+(O$5=Inputs!$C$16+$K$54)*$F$56*$J$56+(O$5=Inputs!$C$17)*$G$56*$H$54*$H$56)</f>
        <v>0</v>
      </c>
      <c r="P59" s="42" t="n">
        <f aca="false">-($D$54+$J$54)*(P$5=0)+IF(AND(P$5-$K$54&gt;=1,P$5-$K$54&lt;=Inputs!$C$13),INDEX($N$57:$AL$57,1,P$5-$K$54+1)*INDEX($N$58:$AL$58,1,P$5-$K$54+1),0)-$I$54*((P$5=Inputs!$C$12)*$C$56*$D$54+(P$5=Inputs!$C$13)*$D$56*($D$54+Inputs!$C$14))+$I$54*((P$5=Inputs!$C$15+$K$54)*$E$56*$I$56+(P$5=Inputs!$C$16+$K$54)*$F$56*$J$56+(P$5=Inputs!$C$17)*$G$56*$H$54*$H$56)</f>
        <v>1077.3</v>
      </c>
      <c r="Q59" s="42" t="n">
        <f aca="false">-($D$54+$J$54)*(Q$5=0)+IF(AND(Q$5-$K$54&gt;=1,Q$5-$K$54&lt;=Inputs!$C$13),INDEX($N$57:$AL$57,1,Q$5-$K$54+1)*INDEX($N$58:$AL$58,1,Q$5-$K$54+1),0)-$I$54*((Q$5=Inputs!$C$12)*$C$56*$D$54+(Q$5=Inputs!$C$13)*$D$56*($D$54+Inputs!$C$14))+$I$54*((Q$5=Inputs!$C$15+$K$54)*$E$56*$I$56+(Q$5=Inputs!$C$16+$K$54)*$F$56*$J$56+(Q$5=Inputs!$C$17)*$G$56*$H$54*$H$56)</f>
        <v>897.75</v>
      </c>
      <c r="R59" s="42" t="n">
        <f aca="false">-($D$54+$J$54)*(R$5=0)+IF(AND(R$5-$K$54&gt;=1,R$5-$K$54&lt;=Inputs!$C$13),INDEX($N$57:$AL$57,1,R$5-$K$54+1)*INDEX($N$58:$AL$58,1,R$5-$K$54+1),0)-$I$54*((R$5=Inputs!$C$12)*$C$56*$D$54+(R$5=Inputs!$C$13)*$D$56*($D$54+Inputs!$C$14))+$I$54*((R$5=Inputs!$C$15+$K$54)*$E$56*$I$56+(R$5=Inputs!$C$16+$K$54)*$F$56*$J$56+(R$5=Inputs!$C$17)*$G$56*$H$54*$H$56)</f>
        <v>807.975</v>
      </c>
      <c r="S59" s="42" t="n">
        <f aca="false">-($D$54+$J$54)*(S$5=0)+IF(AND(S$5-$K$54&gt;=1,S$5-$K$54&lt;=Inputs!$C$13),INDEX($N$57:$AL$57,1,S$5-$K$54+1)*INDEX($N$58:$AL$58,1,S$5-$K$54+1),0)-$I$54*((S$5=Inputs!$C$12)*$C$56*$D$54+(S$5=Inputs!$C$13)*$D$56*($D$54+Inputs!$C$14))+$I$54*((S$5=Inputs!$C$15+$K$54)*$E$56*$I$56+(S$5=Inputs!$C$16+$K$54)*$F$56*$J$56+(S$5=Inputs!$C$17)*$G$56*$H$54*$H$56)</f>
        <v>628.425</v>
      </c>
      <c r="T59" s="42" t="n">
        <f aca="false">-($D$54+$J$54)*(T$5=0)+IF(AND(T$5-$K$54&gt;=1,T$5-$K$54&lt;=Inputs!$C$13),INDEX($N$57:$AL$57,1,T$5-$K$54+1)*INDEX($N$58:$AL$58,1,T$5-$K$54+1),0)-$I$54*((T$5=Inputs!$C$12)*$C$56*$D$54+(T$5=Inputs!$C$13)*$D$56*($D$54+Inputs!$C$14))+$I$54*((T$5=Inputs!$C$15+$K$54)*$E$56*$I$56+(T$5=Inputs!$C$16+$K$54)*$F$56*$J$56+(T$5=Inputs!$C$17)*$G$56*$H$54*$H$56)</f>
        <v>628.425</v>
      </c>
      <c r="U59" s="42" t="n">
        <f aca="false">-($D$54+$J$54)*(U$5=0)+IF(AND(U$5-$K$54&gt;=1,U$5-$K$54&lt;=Inputs!$C$13),INDEX($N$57:$AL$57,1,U$5-$K$54+1)*INDEX($N$58:$AL$58,1,U$5-$K$54+1),0)-$I$54*((U$5=Inputs!$C$12)*$C$56*$D$54+(U$5=Inputs!$C$13)*$D$56*($D$54+Inputs!$C$14))+$I$54*((U$5=Inputs!$C$15+$K$54)*$E$56*$I$56+(U$5=Inputs!$C$16+$K$54)*$F$56*$J$56+(U$5=Inputs!$C$17)*$G$56*$H$54*$H$56)</f>
        <v>628.425</v>
      </c>
      <c r="V59" s="42" t="n">
        <f aca="false">-($D$54+$J$54)*(V$5=0)+IF(AND(V$5-$K$54&gt;=1,V$5-$K$54&lt;=Inputs!$C$13),INDEX($N$57:$AL$57,1,V$5-$K$54+1)*INDEX($N$58:$AL$58,1,V$5-$K$54+1),0)-$I$54*((V$5=Inputs!$C$12)*$C$56*$D$54+(V$5=Inputs!$C$13)*$D$56*($D$54+Inputs!$C$14))+$I$54*((V$5=Inputs!$C$15+$K$54)*$E$56*$I$56+(V$5=Inputs!$C$16+$K$54)*$F$56*$J$56+(V$5=Inputs!$C$17)*$G$56*$H$54*$H$56)</f>
        <v>389.025</v>
      </c>
      <c r="W59" s="42" t="n">
        <f aca="false">-($D$54+$J$54)*(W$5=0)+IF(AND(W$5-$K$54&gt;=1,W$5-$K$54&lt;=Inputs!$C$13),INDEX($N$57:$AL$57,1,W$5-$K$54+1)*INDEX($N$58:$AL$58,1,W$5-$K$54+1),0)-$I$54*((W$5=Inputs!$C$12)*$C$56*$D$54+(W$5=Inputs!$C$13)*$D$56*($D$54+Inputs!$C$14))+$I$54*((W$5=Inputs!$C$15+$K$54)*$E$56*$I$56+(W$5=Inputs!$C$16+$K$54)*$F$56*$J$56+(W$5=Inputs!$C$17)*$G$56*$H$54*$H$56)</f>
        <v>389.025</v>
      </c>
      <c r="X59" s="42" t="n">
        <f aca="false">-($D$54+$J$54)*(X$5=0)+IF(AND(X$5-$K$54&gt;=1,X$5-$K$54&lt;=Inputs!$C$13),INDEX($N$57:$AL$57,1,X$5-$K$54+1)*INDEX($N$58:$AL$58,1,X$5-$K$54+1),0)-$I$54*((X$5=Inputs!$C$12)*$C$56*$D$54+(X$5=Inputs!$C$13)*$D$56*($D$54+Inputs!$C$14))+$I$54*((X$5=Inputs!$C$15+$K$54)*$E$56*$I$56+(X$5=Inputs!$C$16+$K$54)*$F$56*$J$56+(X$5=Inputs!$C$17)*$G$56*$H$54*$H$56)</f>
        <v>389.025</v>
      </c>
      <c r="Y59" s="42" t="n">
        <f aca="false">-($D$54+$J$54)*(Y$5=0)+IF(AND(Y$5-$K$54&gt;=1,Y$5-$K$54&lt;=Inputs!$C$13),INDEX($N$57:$AL$57,1,Y$5-$K$54+1)*INDEX($N$58:$AL$58,1,Y$5-$K$54+1),0)-$I$54*((Y$5=Inputs!$C$12)*$C$56*$D$54+(Y$5=Inputs!$C$13)*$D$56*($D$54+Inputs!$C$14))+$I$54*((Y$5=Inputs!$C$15+$K$54)*$E$56*$I$56+(Y$5=Inputs!$C$16+$K$54)*$F$56*$J$56+(Y$5=Inputs!$C$17)*$G$56*$H$54*$H$56)</f>
        <v>329.175</v>
      </c>
      <c r="Z59" s="42" t="n">
        <f aca="false">-($D$54+$J$54)*(Z$5=0)+IF(AND(Z$5-$K$54&gt;=1,Z$5-$K$54&lt;=Inputs!$C$13),INDEX($N$57:$AL$57,1,Z$5-$K$54+1)*INDEX($N$58:$AL$58,1,Z$5-$K$54+1),0)-$I$54*((Z$5=Inputs!$C$12)*$C$56*$D$54+(Z$5=Inputs!$C$13)*$D$56*($D$54+Inputs!$C$14))+$I$54*((Z$5=Inputs!$C$15+$K$54)*$E$56*$I$56+(Z$5=Inputs!$C$16+$K$54)*$F$56*$J$56+(Z$5=Inputs!$C$17)*$G$56*$H$54*$H$56)</f>
        <v>-2672.825</v>
      </c>
      <c r="AA59" s="42" t="n">
        <f aca="false">-($D$54+$J$54)*(AA$5=0)+IF(AND(AA$5-$K$54&gt;=1,AA$5-$K$54&lt;=Inputs!$C$13),INDEX($N$57:$AL$57,1,AA$5-$K$54+1)*INDEX($N$58:$AL$58,1,AA$5-$K$54+1),0)-$I$54*((AA$5=Inputs!$C$12)*$C$56*$D$54+(AA$5=Inputs!$C$13)*$D$56*($D$54+Inputs!$C$14))+$I$54*((AA$5=Inputs!$C$15+$K$54)*$E$56*$I$56+(AA$5=Inputs!$C$16+$K$54)*$F$56*$J$56+(AA$5=Inputs!$C$17)*$G$56*$H$54*$H$56)</f>
        <v>329.175</v>
      </c>
      <c r="AB59" s="42" t="n">
        <f aca="false">-($D$54+$J$54)*(AB$5=0)+IF(AND(AB$5-$K$54&gt;=1,AB$5-$K$54&lt;=Inputs!$C$13),INDEX($N$57:$AL$57,1,AB$5-$K$54+1)*INDEX($N$58:$AL$58,1,AB$5-$K$54+1),0)-$I$54*((AB$5=Inputs!$C$12)*$C$56*$D$54+(AB$5=Inputs!$C$13)*$D$56*($D$54+Inputs!$C$14))+$I$54*((AB$5=Inputs!$C$15+$K$54)*$E$56*$I$56+(AB$5=Inputs!$C$16+$K$54)*$F$56*$J$56+(AB$5=Inputs!$C$17)*$G$56*$H$54*$H$56)</f>
        <v>411.9675</v>
      </c>
      <c r="AC59" s="42" t="n">
        <f aca="false">-($D$54+$J$54)*(AC$5=0)+IF(AND(AC$5-$K$54&gt;=1,AC$5-$K$54&lt;=Inputs!$C$13),INDEX($N$57:$AL$57,1,AC$5-$K$54+1)*INDEX($N$58:$AL$58,1,AC$5-$K$54+1),0)-$I$54*((AC$5=Inputs!$C$12)*$C$56*$D$54+(AC$5=Inputs!$C$13)*$D$56*($D$54+Inputs!$C$14))+$I$54*((AC$5=Inputs!$C$15+$K$54)*$E$56*$I$56+(AC$5=Inputs!$C$16+$K$54)*$F$56*$J$56+(AC$5=Inputs!$C$17)*$G$56*$H$54*$H$56)</f>
        <v>414.96</v>
      </c>
      <c r="AD59" s="42" t="n">
        <f aca="false">-($D$54+$J$54)*(AD$5=0)+IF(AND(AD$5-$K$54&gt;=1,AD$5-$K$54&lt;=Inputs!$C$13),INDEX($N$57:$AL$57,1,AD$5-$K$54+1)*INDEX($N$58:$AL$58,1,AD$5-$K$54+1),0)-$I$54*((AD$5=Inputs!$C$12)*$C$56*$D$54+(AD$5=Inputs!$C$13)*$D$56*($D$54+Inputs!$C$14))+$I$54*((AD$5=Inputs!$C$15+$K$54)*$E$56*$I$56+(AD$5=Inputs!$C$16+$K$54)*$F$56*$J$56+(AD$5=Inputs!$C$17)*$G$56*$H$54*$H$56)</f>
        <v>418.575937500002</v>
      </c>
      <c r="AE59" s="42" t="n">
        <f aca="false">-($D$54+$J$54)*(AE$5=0)+IF(AND(AE$5-$K$54&gt;=1,AE$5-$K$54&lt;=Inputs!$C$13),INDEX($N$57:$AL$57,1,AE$5-$K$54+1)*INDEX($N$58:$AL$58,1,AE$5-$K$54+1),0)-$I$54*((AE$5=Inputs!$C$12)*$C$56*$D$54+(AE$5=Inputs!$C$13)*$D$56*($D$54+Inputs!$C$14))+$I$54*((AE$5=Inputs!$C$15+$K$54)*$E$56*$I$56+(AE$5=Inputs!$C$16+$K$54)*$F$56*$J$56+(AE$5=Inputs!$C$17)*$G$56*$H$54*$H$56)</f>
        <v>422.275</v>
      </c>
      <c r="AF59" s="42" t="n">
        <f aca="false">-($D$54+$J$54)*(AF$5=0)+IF(AND(AF$5-$K$54&gt;=1,AF$5-$K$54&lt;=Inputs!$C$13),INDEX($N$57:$AL$57,1,AF$5-$K$54+1)*INDEX($N$58:$AL$58,1,AF$5-$K$54+1),0)-$I$54*((AF$5=Inputs!$C$12)*$C$56*$D$54+(AF$5=Inputs!$C$13)*$D$56*($D$54+Inputs!$C$14))+$I$54*((AF$5=Inputs!$C$15+$K$54)*$E$56*$I$56+(AF$5=Inputs!$C$16+$K$54)*$F$56*$J$56+(AF$5=Inputs!$C$17)*$G$56*$H$54*$H$56)</f>
        <v>425.9740625</v>
      </c>
      <c r="AG59" s="42" t="n">
        <f aca="false">-($D$54+$J$54)*(AG$5=0)+IF(AND(AG$5-$K$54&gt;=1,AG$5-$K$54&lt;=Inputs!$C$13),INDEX($N$57:$AL$57,1,AG$5-$K$54+1)*INDEX($N$58:$AL$58,1,AG$5-$K$54+1),0)-$I$54*((AG$5=Inputs!$C$12)*$C$56*$D$54+(AG$5=Inputs!$C$13)*$D$56*($D$54+Inputs!$C$14))+$I$54*((AG$5=Inputs!$C$15+$K$54)*$E$56*$I$56+(AG$5=Inputs!$C$16+$K$54)*$F$56*$J$56+(AG$5=Inputs!$C$17)*$G$56*$H$54*$H$56)</f>
        <v>429.673125</v>
      </c>
      <c r="AH59" s="42" t="n">
        <f aca="false">-($D$54+$J$54)*(AH$5=0)+IF(AND(AH$5-$K$54&gt;=1,AH$5-$K$54&lt;=Inputs!$C$13),INDEX($N$57:$AL$57,1,AH$5-$K$54+1)*INDEX($N$58:$AL$58,1,AH$5-$K$54+1),0)-$I$54*((AH$5=Inputs!$C$12)*$C$56*$D$54+(AH$5=Inputs!$C$13)*$D$56*($D$54+Inputs!$C$14))+$I$54*((AH$5=Inputs!$C$15+$K$54)*$E$56*$I$56+(AH$5=Inputs!$C$16+$K$54)*$F$56*$J$56+(AH$5=Inputs!$C$17)*$G$56*$H$54*$H$56)</f>
        <v>309.551562500001</v>
      </c>
      <c r="AI59" s="42" t="n">
        <f aca="false">-($D$54+$J$54)*(AI$5=0)+IF(AND(AI$5-$K$54&gt;=1,AI$5-$K$54&lt;=Inputs!$C$13),INDEX($N$57:$AL$57,1,AI$5-$K$54+1)*INDEX($N$58:$AL$58,1,AI$5-$K$54+1),0)-$I$54*((AI$5=Inputs!$C$12)*$C$56*$D$54+(AI$5=Inputs!$C$13)*$D$56*($D$54+Inputs!$C$14))+$I$54*((AI$5=Inputs!$C$15+$K$54)*$E$56*$I$56+(AI$5=Inputs!$C$16+$K$54)*$F$56*$J$56+(AI$5=Inputs!$C$17)*$G$56*$H$54*$H$56)</f>
        <v>312.193749999999</v>
      </c>
      <c r="AJ59" s="42" t="n">
        <f aca="false">-($D$54+$J$54)*(AJ$5=0)+IF(AND(AJ$5-$K$54&gt;=1,AJ$5-$K$54&lt;=Inputs!$C$13),INDEX($N$57:$AL$57,1,AJ$5-$K$54+1)*INDEX($N$58:$AL$58,1,AJ$5-$K$54+1),0)-$I$54*((AJ$5=Inputs!$C$12)*$C$56*$D$54+(AJ$5=Inputs!$C$13)*$D$56*($D$54+Inputs!$C$14))+$I$54*((AJ$5=Inputs!$C$15+$K$54)*$E$56*$I$56+(AJ$5=Inputs!$C$16+$K$54)*$F$56*$J$56+(AJ$5=Inputs!$C$17)*$G$56*$H$54*$H$56)</f>
        <v>314.835937499999</v>
      </c>
      <c r="AK59" s="42" t="n">
        <f aca="false">-($D$54+$J$54)*(AK$5=0)+IF(AND(AK$5-$K$54&gt;=1,AK$5-$K$54&lt;=Inputs!$C$13),INDEX($N$57:$AL$57,1,AK$5-$K$54+1)*INDEX($N$58:$AL$58,1,AK$5-$K$54+1),0)-$I$54*((AK$5=Inputs!$C$12)*$C$56*$D$54+(AK$5=Inputs!$C$13)*$D$56*($D$54+Inputs!$C$14))+$I$54*((AK$5=Inputs!$C$15+$K$54)*$E$56*$I$56+(AK$5=Inputs!$C$16+$K$54)*$F$56*$J$56+(AK$5=Inputs!$C$17)*$G$56*$H$54*$H$56)</f>
        <v>317.478125000001</v>
      </c>
      <c r="AL59" s="42" t="n">
        <f aca="false">-($D$54+$J$54)*(AL$5=0)+IF(AND(AL$5-$K$54&gt;=1,AL$5-$K$54&lt;=Inputs!$C$13),INDEX($N$57:$AL$57,1,AL$5-$K$54+1)*INDEX($N$58:$AL$58,1,AL$5-$K$54+1),0)-$I$54*((AL$5=Inputs!$C$12)*$C$56*$D$54+(AL$5=Inputs!$C$13)*$D$56*($D$54+Inputs!$C$14))+$I$54*((AL$5=Inputs!$C$15+$K$54)*$E$56*$I$56+(AL$5=Inputs!$C$16+$K$54)*$F$56*$J$56+(AL$5=Inputs!$C$17)*$G$56*$H$54*$H$56)</f>
        <v>-809.879687499999</v>
      </c>
      <c r="AM59" s="42" t="n">
        <f aca="false">-($D$54+$J$54)*(AM$5=0)+IF(AND(AM$5-$K$54&gt;=1,AM$5-$K$54&lt;=Inputs!$C$13),INDEX($N$57:$AL$57,1,AM$5-$K$54+1)*INDEX($N$58:$AL$58,1,AM$5-$K$54+1),0)-$I$54*((AM$5=Inputs!$C$12)*$C$56*$D$54+(AM$5=Inputs!$C$13)*$D$56*($D$54+Inputs!$C$14))+$I$54*((AM$5=Inputs!$C$15+$K$54)*$E$56*$I$56+(AM$5=Inputs!$C$16+$K$54)*$F$56*$J$56+(AM$5=Inputs!$C$17)*$G$56*$H$54*$H$56)</f>
        <v>322.762499999999</v>
      </c>
      <c r="AN59" s="42" t="n">
        <f aca="false">-($D$54+$J$54)*(AN$5=0)+IF(AND(AN$5-$K$54&gt;=1,AN$5-$K$54&lt;=Inputs!$C$13),INDEX($N$57:$AL$57,1,AN$5-$K$54+1)*INDEX($N$58:$AL$58,1,AN$5-$K$54+1),0)-$I$54*((AN$5=Inputs!$C$12)*$C$56*$D$54+(AN$5=Inputs!$C$13)*$D$56*($D$54+Inputs!$C$14))+$I$54*((AN$5=Inputs!$C$15+$K$54)*$E$56*$I$56+(AN$5=Inputs!$C$16+$K$54)*$F$56*$J$56+(AN$5=Inputs!$C$17)*$G$56*$H$54*$H$56)</f>
        <v>0</v>
      </c>
      <c r="AO59" s="42" t="n">
        <f aca="false">-($D$54+$J$54)*(AO$5=0)+IF(AND(AO$5-$K$54&gt;=1,AO$5-$K$54&lt;=Inputs!$C$13),INDEX($N$57:$AL$57,1,AO$5-$K$54+1)*INDEX($N$58:$AL$58,1,AO$5-$K$54+1),0)-$I$54*((AO$5=Inputs!$C$12)*$C$56*$D$54+(AO$5=Inputs!$C$13)*$D$56*($D$54+Inputs!$C$14))+$I$54*((AO$5=Inputs!$C$15+$K$54)*$E$56*$I$56+(AO$5=Inputs!$C$16+$K$54)*$F$56*$J$56+(AO$5=Inputs!$C$17)*$G$56*$H$54*$H$56)</f>
        <v>0</v>
      </c>
      <c r="AP59" s="42" t="n">
        <f aca="false">-($D$54+$J$54)*(AP$5=0)+IF(AND(AP$5-$K$54&gt;=1,AP$5-$K$54&lt;=Inputs!$C$13),INDEX($N$57:$AL$57,1,AP$5-$K$54+1)*INDEX($N$58:$AL$58,1,AP$5-$K$54+1),0)-$I$54*((AP$5=Inputs!$C$12)*$C$56*$D$54+(AP$5=Inputs!$C$13)*$D$56*($D$54+Inputs!$C$14))+$I$54*((AP$5=Inputs!$C$15+$K$54)*$E$56*$I$56+(AP$5=Inputs!$C$16+$K$54)*$F$56*$J$56+(AP$5=Inputs!$C$17)*$G$56*$H$54*$H$56)</f>
        <v>2026.40625</v>
      </c>
      <c r="AQ59" s="42" t="n">
        <f aca="false">-($D$54+$J$54)*(AQ$5=0)+IF(AND(AQ$5-$K$54&gt;=1,AQ$5-$K$54&lt;=Inputs!$C$13),INDEX($N$57:$AL$57,1,AQ$5-$K$54+1)*INDEX($N$58:$AL$58,1,AQ$5-$K$54+1),0)-$I$54*((AQ$5=Inputs!$C$12)*$C$56*$D$54+(AQ$5=Inputs!$C$13)*$D$56*($D$54+Inputs!$C$14))+$I$54*((AQ$5=Inputs!$C$15+$K$54)*$E$56*$I$56+(AQ$5=Inputs!$C$16+$K$54)*$F$56*$J$56+(AQ$5=Inputs!$C$17)*$G$56*$H$54*$H$56)</f>
        <v>0</v>
      </c>
      <c r="AR59" s="42" t="n">
        <f aca="false">-($D$54+$J$54)*(AR$5=0)+IF(AND(AR$5-$K$54&gt;=1,AR$5-$K$54&lt;=Inputs!$C$13),INDEX($N$57:$AL$57,1,AR$5-$K$54+1)*INDEX($N$58:$AL$58,1,AR$5-$K$54+1),0)-$I$54*((AR$5=Inputs!$C$12)*$C$56*$D$54+(AR$5=Inputs!$C$13)*$D$56*($D$54+Inputs!$C$14))+$I$54*((AR$5=Inputs!$C$15+$K$54)*$E$56*$I$56+(AR$5=Inputs!$C$16+$K$54)*$F$56*$J$56+(AR$5=Inputs!$C$17)*$G$56*$H$54*$H$56)</f>
        <v>0</v>
      </c>
      <c r="AS59" s="42" t="n">
        <f aca="false">-($D$54+$J$54)*(AS$5=0)+IF(AND(AS$5-$K$54&gt;=1,AS$5-$K$54&lt;=Inputs!$C$13),INDEX($N$57:$AL$57,1,AS$5-$K$54+1)*INDEX($N$58:$AL$58,1,AS$5-$K$54+1),0)-$I$54*((AS$5=Inputs!$C$12)*$C$56*$D$54+(AS$5=Inputs!$C$13)*$D$56*($D$54+Inputs!$C$14))+$I$54*((AS$5=Inputs!$C$15+$K$54)*$E$56*$I$56+(AS$5=Inputs!$C$16+$K$54)*$F$56*$J$56+(AS$5=Inputs!$C$17)*$G$56*$H$54*$H$56)</f>
        <v>1111.34</v>
      </c>
      <c r="AT59" s="42" t="n">
        <f aca="false">-($D$54+$J$54)*(AT$5=0)+IF(AND(AT$5-$K$54&gt;=1,AT$5-$K$54&lt;=Inputs!$C$13),INDEX($N$57:$AL$57,1,AT$5-$K$54+1)*INDEX($N$58:$AL$58,1,AT$5-$K$54+1),0)-$I$54*((AT$5=Inputs!$C$12)*$C$56*$D$54+(AT$5=Inputs!$C$13)*$D$56*($D$54+Inputs!$C$14))+$I$54*((AT$5=Inputs!$C$15+$K$54)*$E$56*$I$56+(AT$5=Inputs!$C$16+$K$54)*$F$56*$J$56+(AT$5=Inputs!$C$17)*$G$56*$H$54*$H$56)</f>
        <v>0</v>
      </c>
      <c r="AU59" s="42" t="n">
        <f aca="false">-($D$54+$J$54)*(AU$5=0)+IF(AND(AU$5-$K$54&gt;=1,AU$5-$K$54&lt;=Inputs!$C$13),INDEX($N$57:$AL$57,1,AU$5-$K$54+1)*INDEX($N$58:$AL$58,1,AU$5-$K$54+1),0)-$I$54*((AU$5=Inputs!$C$12)*$C$56*$D$54+(AU$5=Inputs!$C$13)*$D$56*($D$54+Inputs!$C$14))+$I$54*((AU$5=Inputs!$C$15+$K$54)*$E$56*$I$56+(AU$5=Inputs!$C$16+$K$54)*$F$56*$J$56+(AU$5=Inputs!$C$17)*$G$56*$H$54*$H$56)</f>
        <v>0</v>
      </c>
      <c r="AV59" s="42" t="n">
        <f aca="false">-($D$54+$J$54)*(AV$5=0)+IF(AND(AV$5-$K$54&gt;=1,AV$5-$K$54&lt;=Inputs!$C$13),INDEX($N$57:$AL$57,1,AV$5-$K$54+1)*INDEX($N$58:$AL$58,1,AV$5-$K$54+1),0)-$I$54*((AV$5=Inputs!$C$12)*$C$56*$D$54+(AV$5=Inputs!$C$13)*$D$56*($D$54+Inputs!$C$14))+$I$54*((AV$5=Inputs!$C$15+$K$54)*$E$56*$I$56+(AV$5=Inputs!$C$16+$K$54)*$F$56*$J$56+(AV$5=Inputs!$C$17)*$G$56*$H$54*$H$56)</f>
        <v>0</v>
      </c>
      <c r="AW59" s="42" t="n">
        <f aca="false">-($D$54+$J$54)*(AW$5=0)+IF(AND(AW$5-$K$54&gt;=1,AW$5-$K$54&lt;=Inputs!$C$13),INDEX($N$57:$AL$57,1,AW$5-$K$54+1)*INDEX($N$58:$AL$58,1,AW$5-$K$54+1),0)-$I$54*((AW$5=Inputs!$C$12)*$C$56*$D$54+(AW$5=Inputs!$C$13)*$D$56*($D$54+Inputs!$C$14))+$I$54*((AW$5=Inputs!$C$15+$K$54)*$E$56*$I$56+(AW$5=Inputs!$C$16+$K$54)*$F$56*$J$56+(AW$5=Inputs!$C$17)*$G$56*$H$54*$H$56)</f>
        <v>0</v>
      </c>
      <c r="AX59" s="42" t="n">
        <f aca="false">-($D$54+$J$54)*(AX$5=0)+IF(AND(AX$5-$K$54&gt;=1,AX$5-$K$54&lt;=Inputs!$C$13),INDEX($N$57:$AL$57,1,AX$5-$K$54+1)*INDEX($N$58:$AL$58,1,AX$5-$K$54+1),0)-$I$54*((AX$5=Inputs!$C$12)*$C$56*$D$54+(AX$5=Inputs!$C$13)*$D$56*($D$54+Inputs!$C$14))+$I$54*((AX$5=Inputs!$C$15+$K$54)*$E$56*$I$56+(AX$5=Inputs!$C$16+$K$54)*$F$56*$J$56+(AX$5=Inputs!$C$17)*$G$56*$H$54*$H$56)</f>
        <v>218.16</v>
      </c>
      <c r="AY59" s="42" t="n">
        <f aca="false">-($D$54+$J$54)*(AY$5=0)+IF(AND(AY$5-$K$54&gt;=1,AY$5-$K$54&lt;=Inputs!$C$13),INDEX($N$57:$AL$57,1,AY$5-$K$54+1)*INDEX($N$58:$AL$58,1,AY$5-$K$54+1),0)-$I$54*((AY$5=Inputs!$C$12)*$C$56*$D$54+(AY$5=Inputs!$C$13)*$D$56*($D$54+Inputs!$C$14))+$I$54*((AY$5=Inputs!$C$15+$K$54)*$E$56*$I$56+(AY$5=Inputs!$C$16+$K$54)*$F$56*$J$56+(AY$5=Inputs!$C$17)*$G$56*$H$54*$H$56)</f>
        <v>0</v>
      </c>
    </row>
    <row r="61" customFormat="false" ht="15" hidden="false" customHeight="false" outlineLevel="0" collapsed="false">
      <c r="B61" s="7" t="s">
        <v>229</v>
      </c>
      <c r="C61" s="8"/>
      <c r="D61" s="8"/>
      <c r="E61" s="8"/>
      <c r="F61" s="8"/>
      <c r="G61" s="8"/>
      <c r="H61" s="8"/>
      <c r="I61" s="8"/>
      <c r="J61" s="8"/>
      <c r="K61" s="8"/>
      <c r="L61" s="8"/>
    </row>
    <row r="62" customFormat="false" ht="30" hidden="false" customHeight="true" outlineLevel="0" collapsed="false">
      <c r="B62" s="37"/>
      <c r="C62" s="38" t="s">
        <v>169</v>
      </c>
      <c r="D62" s="38" t="s">
        <v>170</v>
      </c>
      <c r="E62" s="38" t="s">
        <v>171</v>
      </c>
      <c r="F62" s="38" t="s">
        <v>43</v>
      </c>
      <c r="G62" s="38" t="s">
        <v>44</v>
      </c>
      <c r="H62" s="38" t="s">
        <v>45</v>
      </c>
      <c r="I62" s="38" t="s">
        <v>172</v>
      </c>
      <c r="J62" s="38" t="s">
        <v>90</v>
      </c>
      <c r="K62" s="38" t="s">
        <v>89</v>
      </c>
      <c r="L62" s="38" t="s">
        <v>173</v>
      </c>
    </row>
    <row r="63" customFormat="false" ht="15" hidden="false" customHeight="false" outlineLevel="0" collapsed="false">
      <c r="B63" s="39" t="s">
        <v>174</v>
      </c>
      <c r="C63" s="10" t="n">
        <v>0.1775</v>
      </c>
      <c r="D63" s="30" t="n">
        <f aca="false">Inputs!$E$26</f>
        <v>1600</v>
      </c>
      <c r="E63" s="26" t="n">
        <f aca="false">Inputs!$F$26</f>
        <v>0.8</v>
      </c>
      <c r="F63" s="25" t="n">
        <f aca="false">Inputs!$G$26</f>
        <v>0.4</v>
      </c>
      <c r="G63" s="25" t="n">
        <f aca="false">Inputs!$H$26</f>
        <v>0.5</v>
      </c>
      <c r="H63" s="25" t="n">
        <f aca="false">Inputs!$I$26</f>
        <v>0.7</v>
      </c>
      <c r="I63" s="22" t="n">
        <f aca="false">Inputs!$J$26</f>
        <v>1</v>
      </c>
      <c r="J63" s="23" t="n">
        <f aca="false">Inputs!$C$9</f>
        <v>10</v>
      </c>
      <c r="K63" s="22" t="n">
        <f aca="false">Inputs!$C$10</f>
        <v>1</v>
      </c>
      <c r="L63" s="22" t="n">
        <f aca="false">1</f>
        <v>1</v>
      </c>
    </row>
    <row r="64" customFormat="false" ht="30" hidden="false" customHeight="true" outlineLevel="0" collapsed="false">
      <c r="B64" s="37"/>
      <c r="C64" s="38" t="s">
        <v>175</v>
      </c>
      <c r="D64" s="38" t="s">
        <v>176</v>
      </c>
      <c r="E64" s="38" t="s">
        <v>177</v>
      </c>
      <c r="F64" s="38" t="s">
        <v>178</v>
      </c>
      <c r="G64" s="38" t="s">
        <v>112</v>
      </c>
      <c r="H64" s="38" t="s">
        <v>179</v>
      </c>
      <c r="I64" s="38" t="s">
        <v>180</v>
      </c>
      <c r="J64" s="38" t="s">
        <v>181</v>
      </c>
      <c r="K64" s="38" t="s">
        <v>182</v>
      </c>
      <c r="L64" s="38" t="s">
        <v>183</v>
      </c>
    </row>
    <row r="65" customFormat="false" ht="15" hidden="false" customHeight="false" outlineLevel="0" collapsed="false">
      <c r="B65" s="39" t="s">
        <v>184</v>
      </c>
      <c r="C65" s="40" t="n">
        <f aca="false">1-$E$63*CHOOSE($L$63,INDEX(Timing!$C$7:$AA$7,1,Inputs!$C$12+1),INDEX(Timing!$C$8:$AA$8,1,Inputs!$C$12+1))</f>
        <v>0.392</v>
      </c>
      <c r="D65" s="40" t="n">
        <f aca="false">1-$E$63*CHOOSE($L$63,INDEX(Timing!$C$7:$AA$7,1,Inputs!$C$13+1),INDEX(Timing!$C$8:$AA$8,1,Inputs!$C$13+1))</f>
        <v>0.2</v>
      </c>
      <c r="E65" s="40" t="n">
        <f aca="false">$I$63*$D$65*$F$63</f>
        <v>0.08</v>
      </c>
      <c r="F65" s="40" t="n">
        <f aca="false">$I$63*($D$65-$E$65)*$G$63</f>
        <v>0.06</v>
      </c>
      <c r="G65" s="40" t="n">
        <f aca="false">$I$63*($D$65-$E$65-$F$65)</f>
        <v>0.06</v>
      </c>
      <c r="H65" s="23" t="n">
        <f aca="false">$I$63*(3*$D$63+Inputs!$C$14)</f>
        <v>6600</v>
      </c>
      <c r="I65" s="23" t="n">
        <f aca="false">$I$63*($D$63*(1+IF($C$63&lt;=0,0,MAX($C$63*Inputs!$C$15/12,Inputs!$C$8)))+$D$63*(1+Inputs!$C$11*(Inputs!$C$15-Inputs!$C$12)/12)+$D$63*(1+Inputs!$C$11*(Inputs!$C$15-Inputs!$C$13)/12)+Inputs!$C$14)</f>
        <v>7671</v>
      </c>
      <c r="J65" s="23" t="n">
        <f aca="false">$I$63*($D$63*(1+IF($C$63&lt;=0,0,MAX($C$63*Inputs!$C$16/12,Inputs!$C$8)))+$D$63*(1+Inputs!$C$11*(Inputs!$C$16-Inputs!$C$12)/12)+$D$63*(1+Inputs!$C$11*(Inputs!$C$16-Inputs!$C$13)/12)+Inputs!$C$14)</f>
        <v>7886</v>
      </c>
      <c r="K65" s="40" t="n">
        <f aca="false">IRR($N$68:$AY$68,0.005)</f>
        <v>0.00647437386080278</v>
      </c>
      <c r="L65" s="41" t="n">
        <f aca="false">(1+$K$65)^12-1</f>
        <v>0.0805196270049138</v>
      </c>
    </row>
    <row r="66" customFormat="false" ht="15" hidden="false" customHeight="false" outlineLevel="0" collapsed="false">
      <c r="B66" s="9" t="s">
        <v>185</v>
      </c>
      <c r="N66" s="40" t="n">
        <f aca="false">0</f>
        <v>0</v>
      </c>
      <c r="O66" s="40" t="n">
        <f aca="false">$E$63*(CHOOSE($L$63,Timing!D$7,Timing!D$8)-CHOOSE($L$63,Timing!C$7,Timing!C$8))</f>
        <v>0.096</v>
      </c>
      <c r="P66" s="40" t="n">
        <f aca="false">$E$63*(CHOOSE($L$63,Timing!E$7,Timing!E$8)-CHOOSE($L$63,Timing!D$7,Timing!D$8))</f>
        <v>0.08</v>
      </c>
      <c r="Q66" s="40" t="n">
        <f aca="false">$E$63*(CHOOSE($L$63,Timing!F$7,Timing!F$8)-CHOOSE($L$63,Timing!E$7,Timing!E$8))</f>
        <v>0.072</v>
      </c>
      <c r="R66" s="40" t="n">
        <f aca="false">$E$63*(CHOOSE($L$63,Timing!G$7,Timing!G$8)-CHOOSE($L$63,Timing!F$7,Timing!F$8))</f>
        <v>0.056</v>
      </c>
      <c r="S66" s="40" t="n">
        <f aca="false">$E$63*(CHOOSE($L$63,Timing!H$7,Timing!H$8)-CHOOSE($L$63,Timing!G$7,Timing!G$8))</f>
        <v>0.056</v>
      </c>
      <c r="T66" s="40" t="n">
        <f aca="false">$E$63*(CHOOSE($L$63,Timing!I$7,Timing!I$8)-CHOOSE($L$63,Timing!H$7,Timing!H$8))</f>
        <v>0.056</v>
      </c>
      <c r="U66" s="40" t="n">
        <f aca="false">$E$63*(CHOOSE($L$63,Timing!J$7,Timing!J$8)-CHOOSE($L$63,Timing!I$7,Timing!I$8))</f>
        <v>0.0346666666666667</v>
      </c>
      <c r="V66" s="40" t="n">
        <f aca="false">$E$63*(CHOOSE($L$63,Timing!K$7,Timing!K$8)-CHOOSE($L$63,Timing!J$7,Timing!J$8))</f>
        <v>0.0346666666666667</v>
      </c>
      <c r="W66" s="40" t="n">
        <f aca="false">$E$63*(CHOOSE($L$63,Timing!L$7,Timing!L$8)-CHOOSE($L$63,Timing!K$7,Timing!K$8))</f>
        <v>0.0346666666666667</v>
      </c>
      <c r="X66" s="40" t="n">
        <f aca="false">$E$63*(CHOOSE($L$63,Timing!M$7,Timing!M$8)-CHOOSE($L$63,Timing!L$7,Timing!L$8))</f>
        <v>0.0293333333333333</v>
      </c>
      <c r="Y66" s="40" t="n">
        <f aca="false">$E$63*(CHOOSE($L$63,Timing!N$7,Timing!N$8)-CHOOSE($L$63,Timing!M$7,Timing!M$8))</f>
        <v>0.0293333333333334</v>
      </c>
      <c r="Z66" s="40" t="n">
        <f aca="false">$E$63*(CHOOSE($L$63,Timing!O$7,Timing!O$8)-CHOOSE($L$63,Timing!N$7,Timing!N$8))</f>
        <v>0.0293333333333333</v>
      </c>
      <c r="AA66" s="40" t="n">
        <f aca="false">$E$63*(CHOOSE($L$63,Timing!P$7,Timing!P$8)-CHOOSE($L$63,Timing!O$7,Timing!O$8))</f>
        <v>0.0186666666666667</v>
      </c>
      <c r="AB66" s="40" t="n">
        <f aca="false">$E$63*(CHOOSE($L$63,Timing!Q$7,Timing!Q$8)-CHOOSE($L$63,Timing!P$7,Timing!P$8))</f>
        <v>0.0186666666666667</v>
      </c>
      <c r="AC66" s="40" t="n">
        <f aca="false">$E$63*(CHOOSE($L$63,Timing!R$7,Timing!R$8)-CHOOSE($L$63,Timing!Q$7,Timing!Q$8))</f>
        <v>0.0186666666666667</v>
      </c>
      <c r="AD66" s="40" t="n">
        <f aca="false">$E$63*(CHOOSE($L$63,Timing!S$7,Timing!S$8)-CHOOSE($L$63,Timing!R$7,Timing!R$8))</f>
        <v>0.0186666666666667</v>
      </c>
      <c r="AE66" s="40" t="n">
        <f aca="false">$E$63*(CHOOSE($L$63,Timing!T$7,Timing!T$8)-CHOOSE($L$63,Timing!S$7,Timing!S$8))</f>
        <v>0.0186666666666667</v>
      </c>
      <c r="AF66" s="40" t="n">
        <f aca="false">$E$63*(CHOOSE($L$63,Timing!U$7,Timing!U$8)-CHOOSE($L$63,Timing!T$7,Timing!T$8))</f>
        <v>0.0186666666666667</v>
      </c>
      <c r="AG66" s="40" t="n">
        <f aca="false">$E$63*(CHOOSE($L$63,Timing!V$7,Timing!V$8)-CHOOSE($L$63,Timing!U$7,Timing!U$8))</f>
        <v>0.0133333333333334</v>
      </c>
      <c r="AH66" s="40" t="n">
        <f aca="false">$E$63*(CHOOSE($L$63,Timing!W$7,Timing!W$8)-CHOOSE($L$63,Timing!V$7,Timing!V$8))</f>
        <v>0.0133333333333333</v>
      </c>
      <c r="AI66" s="40" t="n">
        <f aca="false">$E$63*(CHOOSE($L$63,Timing!X$7,Timing!X$8)-CHOOSE($L$63,Timing!W$7,Timing!W$8))</f>
        <v>0.0133333333333333</v>
      </c>
      <c r="AJ66" s="40" t="n">
        <f aca="false">$E$63*(CHOOSE($L$63,Timing!Y$7,Timing!Y$8)-CHOOSE($L$63,Timing!X$7,Timing!X$8))</f>
        <v>0.0133333333333334</v>
      </c>
      <c r="AK66" s="40" t="n">
        <f aca="false">$E$63*(CHOOSE($L$63,Timing!Z$7,Timing!Z$8)-CHOOSE($L$63,Timing!Y$7,Timing!Y$8))</f>
        <v>0.0133333333333334</v>
      </c>
      <c r="AL66" s="40" t="n">
        <f aca="false">$E$63*(CHOOSE($L$63,Timing!AA$7,Timing!AA$8)-CHOOSE($L$63,Timing!Z$7,Timing!Z$8))</f>
        <v>0.0133333333333333</v>
      </c>
    </row>
    <row r="67" customFormat="false" ht="15" hidden="false" customHeight="false" outlineLevel="0" collapsed="false">
      <c r="B67" s="9" t="s">
        <v>186</v>
      </c>
      <c r="N67" s="42" t="n">
        <f aca="false">0</f>
        <v>0</v>
      </c>
      <c r="O67" s="42" t="n">
        <f aca="false">$D$63*(1+IF($C$63&lt;=0,0,MAX($C$63*O$5/12,Inputs!$C$8)))+$I$63*(O$5&gt;Inputs!$C$12)*$D$63*(1+Inputs!$C$11*(O$5-Inputs!$C$12)/12)</f>
        <v>1680</v>
      </c>
      <c r="P67" s="42" t="n">
        <f aca="false">$D$63*(1+IF($C$63&lt;=0,0,MAX($C$63*P$5/12,Inputs!$C$8)))+$I$63*(P$5&gt;Inputs!$C$12)*$D$63*(1+Inputs!$C$11*(P$5-Inputs!$C$12)/12)</f>
        <v>1680</v>
      </c>
      <c r="Q67" s="42" t="n">
        <f aca="false">$D$63*(1+IF($C$63&lt;=0,0,MAX($C$63*Q$5/12,Inputs!$C$8)))+$I$63*(Q$5&gt;Inputs!$C$12)*$D$63*(1+Inputs!$C$11*(Q$5-Inputs!$C$12)/12)</f>
        <v>1680</v>
      </c>
      <c r="R67" s="42" t="n">
        <f aca="false">$D$63*(1+IF($C$63&lt;=0,0,MAX($C$63*R$5/12,Inputs!$C$8)))+$I$63*(R$5&gt;Inputs!$C$12)*$D$63*(1+Inputs!$C$11*(R$5-Inputs!$C$12)/12)</f>
        <v>1694.66666666667</v>
      </c>
      <c r="S67" s="42" t="n">
        <f aca="false">$D$63*(1+IF($C$63&lt;=0,0,MAX($C$63*S$5/12,Inputs!$C$8)))+$I$63*(S$5&gt;Inputs!$C$12)*$D$63*(1+Inputs!$C$11*(S$5-Inputs!$C$12)/12)</f>
        <v>1718.33333333333</v>
      </c>
      <c r="T67" s="42" t="n">
        <f aca="false">$D$63*(1+IF($C$63&lt;=0,0,MAX($C$63*T$5/12,Inputs!$C$8)))+$I$63*(T$5&gt;Inputs!$C$12)*$D$63*(1+Inputs!$C$11*(T$5-Inputs!$C$12)/12)</f>
        <v>1742</v>
      </c>
      <c r="U67" s="42" t="n">
        <f aca="false">$D$63*(1+IF($C$63&lt;=0,0,MAX($C$63*U$5/12,Inputs!$C$8)))+$I$63*(U$5&gt;Inputs!$C$12)*$D$63*(1+Inputs!$C$11*(U$5-Inputs!$C$12)/12)</f>
        <v>1765.66666666667</v>
      </c>
      <c r="V67" s="42" t="n">
        <f aca="false">$D$63*(1+IF($C$63&lt;=0,0,MAX($C$63*V$5/12,Inputs!$C$8)))+$I$63*(V$5&gt;Inputs!$C$12)*$D$63*(1+Inputs!$C$11*(V$5-Inputs!$C$12)/12)</f>
        <v>1789.33333333333</v>
      </c>
      <c r="W67" s="42" t="n">
        <f aca="false">$D$63*(1+IF($C$63&lt;=0,0,MAX($C$63*W$5/12,Inputs!$C$8)))+$I$63*(W$5&gt;Inputs!$C$12)*$D$63*(1+Inputs!$C$11*(W$5-Inputs!$C$12)/12)</f>
        <v>1813</v>
      </c>
      <c r="X67" s="42" t="n">
        <f aca="false">$D$63*(1+IF($C$63&lt;=0,0,MAX($C$63*X$5/12,Inputs!$C$8)))+$I$63*(X$5&gt;Inputs!$C$12)*$D$63*(1+Inputs!$C$11*(X$5-Inputs!$C$12)/12)</f>
        <v>1836.66666666667</v>
      </c>
      <c r="Y67" s="42" t="n">
        <f aca="false">$D$63*(1+IF($C$63&lt;=0,0,MAX($C$63*Y$5/12,Inputs!$C$8)))+$I$63*(Y$5&gt;Inputs!$C$12)*$D$63*(1+Inputs!$C$11*(Y$5-Inputs!$C$12)/12)</f>
        <v>1860.33333333333</v>
      </c>
      <c r="Z67" s="42" t="n">
        <f aca="false">$D$63*(1+IF($C$63&lt;=0,0,MAX($C$63*Z$5/12,Inputs!$C$8)))+$I$63*(Z$5&gt;Inputs!$C$12)*$D$63*(1+Inputs!$C$11*(Z$5-Inputs!$C$12)/12)</f>
        <v>1884</v>
      </c>
      <c r="AA67" s="42" t="n">
        <f aca="false">$D$63*(1+IF($C$63&lt;=0,0,MAX($C$63*AA$5/12,Inputs!$C$8)))+$I$63*(AA$5&gt;Inputs!$C$12)*$D$63*(1+Inputs!$C$11*(AA$5-Inputs!$C$12)/12)</f>
        <v>3531.66666666667</v>
      </c>
      <c r="AB67" s="42" t="n">
        <f aca="false">$D$63*(1+IF($C$63&lt;=0,0,MAX($C$63*AB$5/12,Inputs!$C$8)))+$I$63*(AB$5&gt;Inputs!$C$12)*$D$63*(1+Inputs!$C$11*(AB$5-Inputs!$C$12)/12)</f>
        <v>3579.33333333333</v>
      </c>
      <c r="AC67" s="42" t="n">
        <f aca="false">$D$63*(1+IF($C$63&lt;=0,0,MAX($C$63*AC$5/12,Inputs!$C$8)))+$I$63*(AC$5&gt;Inputs!$C$12)*$D$63*(1+Inputs!$C$11*(AC$5-Inputs!$C$12)/12)</f>
        <v>3627</v>
      </c>
      <c r="AD67" s="42" t="n">
        <f aca="false">$D$63*(1+IF($C$63&lt;=0,0,MAX($C$63*AD$5/12,Inputs!$C$8)))+$I$63*(AD$5&gt;Inputs!$C$12)*$D$63*(1+Inputs!$C$11*(AD$5-Inputs!$C$12)/12)</f>
        <v>3674.66666666667</v>
      </c>
      <c r="AE67" s="42" t="n">
        <f aca="false">$D$63*(1+IF($C$63&lt;=0,0,MAX($C$63*AE$5/12,Inputs!$C$8)))+$I$63*(AE$5&gt;Inputs!$C$12)*$D$63*(1+Inputs!$C$11*(AE$5-Inputs!$C$12)/12)</f>
        <v>3722.33333333333</v>
      </c>
      <c r="AF67" s="42" t="n">
        <f aca="false">$D$63*(1+IF($C$63&lt;=0,0,MAX($C$63*AF$5/12,Inputs!$C$8)))+$I$63*(AF$5&gt;Inputs!$C$12)*$D$63*(1+Inputs!$C$11*(AF$5-Inputs!$C$12)/12)</f>
        <v>3770</v>
      </c>
      <c r="AG67" s="42" t="n">
        <f aca="false">$D$63*(1+IF($C$63&lt;=0,0,MAX($C$63*AG$5/12,Inputs!$C$8)))+$I$63*(AG$5&gt;Inputs!$C$12)*$D$63*(1+Inputs!$C$11*(AG$5-Inputs!$C$12)/12)</f>
        <v>3817.66666666667</v>
      </c>
      <c r="AH67" s="42" t="n">
        <f aca="false">$D$63*(1+IF($C$63&lt;=0,0,MAX($C$63*AH$5/12,Inputs!$C$8)))+$I$63*(AH$5&gt;Inputs!$C$12)*$D$63*(1+Inputs!$C$11*(AH$5-Inputs!$C$12)/12)</f>
        <v>3865.33333333333</v>
      </c>
      <c r="AI67" s="42" t="n">
        <f aca="false">$D$63*(1+IF($C$63&lt;=0,0,MAX($C$63*AI$5/12,Inputs!$C$8)))+$I$63*(AI$5&gt;Inputs!$C$12)*$D$63*(1+Inputs!$C$11*(AI$5-Inputs!$C$12)/12)</f>
        <v>3913</v>
      </c>
      <c r="AJ67" s="42" t="n">
        <f aca="false">$D$63*(1+IF($C$63&lt;=0,0,MAX($C$63*AJ$5/12,Inputs!$C$8)))+$I$63*(AJ$5&gt;Inputs!$C$12)*$D$63*(1+Inputs!$C$11*(AJ$5-Inputs!$C$12)/12)</f>
        <v>3960.66666666667</v>
      </c>
      <c r="AK67" s="42" t="n">
        <f aca="false">$D$63*(1+IF($C$63&lt;=0,0,MAX($C$63*AK$5/12,Inputs!$C$8)))+$I$63*(AK$5&gt;Inputs!$C$12)*$D$63*(1+Inputs!$C$11*(AK$5-Inputs!$C$12)/12)</f>
        <v>4008.33333333333</v>
      </c>
      <c r="AL67" s="42" t="n">
        <f aca="false">$D$63*(1+IF($C$63&lt;=0,0,MAX($C$63*AL$5/12,Inputs!$C$8)))+$I$63*(AL$5&gt;Inputs!$C$12)*$D$63*(1+Inputs!$C$11*(AL$5-Inputs!$C$12)/12)</f>
        <v>4056</v>
      </c>
    </row>
    <row r="68" customFormat="false" ht="15" hidden="false" customHeight="false" outlineLevel="0" collapsed="false">
      <c r="B68" s="31" t="s">
        <v>187</v>
      </c>
      <c r="N68" s="42" t="n">
        <f aca="false">-($D$63+$J$63)*(N$5=0)+IF(AND(N$5-$K$63&gt;=1,N$5-$K$63&lt;=Inputs!$C$13),INDEX($N$66:$AL$66,1,N$5-$K$63+1)*INDEX($N$67:$AL$67,1,N$5-$K$63+1),0)-$I$63*((N$5=Inputs!$C$12)*$C$65*$D$63+(N$5=Inputs!$C$13)*$D$65*($D$63+Inputs!$C$14))+$I$63*((N$5=Inputs!$C$15+$K$63)*$E$65*$I$65+(N$5=Inputs!$C$16+$K$63)*$F$65*$J$65+(N$5=Inputs!$C$17)*$G$65*$H$63*$H$65)</f>
        <v>-1610</v>
      </c>
      <c r="O68" s="42" t="n">
        <f aca="false">-($D$63+$J$63)*(O$5=0)+IF(AND(O$5-$K$63&gt;=1,O$5-$K$63&lt;=Inputs!$C$13),INDEX($N$66:$AL$66,1,O$5-$K$63+1)*INDEX($N$67:$AL$67,1,O$5-$K$63+1),0)-$I$63*((O$5=Inputs!$C$12)*$C$65*$D$63+(O$5=Inputs!$C$13)*$D$65*($D$63+Inputs!$C$14))+$I$63*((O$5=Inputs!$C$15+$K$63)*$E$65*$I$65+(O$5=Inputs!$C$16+$K$63)*$F$65*$J$65+(O$5=Inputs!$C$17)*$G$65*$H$63*$H$65)</f>
        <v>0</v>
      </c>
      <c r="P68" s="42" t="n">
        <f aca="false">-($D$63+$J$63)*(P$5=0)+IF(AND(P$5-$K$63&gt;=1,P$5-$K$63&lt;=Inputs!$C$13),INDEX($N$66:$AL$66,1,P$5-$K$63+1)*INDEX($N$67:$AL$67,1,P$5-$K$63+1),0)-$I$63*((P$5=Inputs!$C$12)*$C$65*$D$63+(P$5=Inputs!$C$13)*$D$65*($D$63+Inputs!$C$14))+$I$63*((P$5=Inputs!$C$15+$K$63)*$E$65*$I$65+(P$5=Inputs!$C$16+$K$63)*$F$65*$J$65+(P$5=Inputs!$C$17)*$G$65*$H$63*$H$65)</f>
        <v>161.28</v>
      </c>
      <c r="Q68" s="42" t="n">
        <f aca="false">-($D$63+$J$63)*(Q$5=0)+IF(AND(Q$5-$K$63&gt;=1,Q$5-$K$63&lt;=Inputs!$C$13),INDEX($N$66:$AL$66,1,Q$5-$K$63+1)*INDEX($N$67:$AL$67,1,Q$5-$K$63+1),0)-$I$63*((Q$5=Inputs!$C$12)*$C$65*$D$63+(Q$5=Inputs!$C$13)*$D$65*($D$63+Inputs!$C$14))+$I$63*((Q$5=Inputs!$C$15+$K$63)*$E$65*$I$65+(Q$5=Inputs!$C$16+$K$63)*$F$65*$J$65+(Q$5=Inputs!$C$17)*$G$65*$H$63*$H$65)</f>
        <v>134.4</v>
      </c>
      <c r="R68" s="42" t="n">
        <f aca="false">-($D$63+$J$63)*(R$5=0)+IF(AND(R$5-$K$63&gt;=1,R$5-$K$63&lt;=Inputs!$C$13),INDEX($N$66:$AL$66,1,R$5-$K$63+1)*INDEX($N$67:$AL$67,1,R$5-$K$63+1),0)-$I$63*((R$5=Inputs!$C$12)*$C$65*$D$63+(R$5=Inputs!$C$13)*$D$65*($D$63+Inputs!$C$14))+$I$63*((R$5=Inputs!$C$15+$K$63)*$E$65*$I$65+(R$5=Inputs!$C$16+$K$63)*$F$65*$J$65+(R$5=Inputs!$C$17)*$G$65*$H$63*$H$65)</f>
        <v>120.96</v>
      </c>
      <c r="S68" s="42" t="n">
        <f aca="false">-($D$63+$J$63)*(S$5=0)+IF(AND(S$5-$K$63&gt;=1,S$5-$K$63&lt;=Inputs!$C$13),INDEX($N$66:$AL$66,1,S$5-$K$63+1)*INDEX($N$67:$AL$67,1,S$5-$K$63+1),0)-$I$63*((S$5=Inputs!$C$12)*$C$65*$D$63+(S$5=Inputs!$C$13)*$D$65*($D$63+Inputs!$C$14))+$I$63*((S$5=Inputs!$C$15+$K$63)*$E$65*$I$65+(S$5=Inputs!$C$16+$K$63)*$F$65*$J$65+(S$5=Inputs!$C$17)*$G$65*$H$63*$H$65)</f>
        <v>94.9013333333333</v>
      </c>
      <c r="T68" s="42" t="n">
        <f aca="false">-($D$63+$J$63)*(T$5=0)+IF(AND(T$5-$K$63&gt;=1,T$5-$K$63&lt;=Inputs!$C$13),INDEX($N$66:$AL$66,1,T$5-$K$63+1)*INDEX($N$67:$AL$67,1,T$5-$K$63+1),0)-$I$63*((T$5=Inputs!$C$12)*$C$65*$D$63+(T$5=Inputs!$C$13)*$D$65*($D$63+Inputs!$C$14))+$I$63*((T$5=Inputs!$C$15+$K$63)*$E$65*$I$65+(T$5=Inputs!$C$16+$K$63)*$F$65*$J$65+(T$5=Inputs!$C$17)*$G$65*$H$63*$H$65)</f>
        <v>96.2266666666667</v>
      </c>
      <c r="U68" s="42" t="n">
        <f aca="false">-($D$63+$J$63)*(U$5=0)+IF(AND(U$5-$K$63&gt;=1,U$5-$K$63&lt;=Inputs!$C$13),INDEX($N$66:$AL$66,1,U$5-$K$63+1)*INDEX($N$67:$AL$67,1,U$5-$K$63+1),0)-$I$63*((U$5=Inputs!$C$12)*$C$65*$D$63+(U$5=Inputs!$C$13)*$D$65*($D$63+Inputs!$C$14))+$I$63*((U$5=Inputs!$C$15+$K$63)*$E$65*$I$65+(U$5=Inputs!$C$16+$K$63)*$F$65*$J$65+(U$5=Inputs!$C$17)*$G$65*$H$63*$H$65)</f>
        <v>97.552</v>
      </c>
      <c r="V68" s="42" t="n">
        <f aca="false">-($D$63+$J$63)*(V$5=0)+IF(AND(V$5-$K$63&gt;=1,V$5-$K$63&lt;=Inputs!$C$13),INDEX($N$66:$AL$66,1,V$5-$K$63+1)*INDEX($N$67:$AL$67,1,V$5-$K$63+1),0)-$I$63*((V$5=Inputs!$C$12)*$C$65*$D$63+(V$5=Inputs!$C$13)*$D$65*($D$63+Inputs!$C$14))+$I$63*((V$5=Inputs!$C$15+$K$63)*$E$65*$I$65+(V$5=Inputs!$C$16+$K$63)*$F$65*$J$65+(V$5=Inputs!$C$17)*$G$65*$H$63*$H$65)</f>
        <v>61.2097777777778</v>
      </c>
      <c r="W68" s="42" t="n">
        <f aca="false">-($D$63+$J$63)*(W$5=0)+IF(AND(W$5-$K$63&gt;=1,W$5-$K$63&lt;=Inputs!$C$13),INDEX($N$66:$AL$66,1,W$5-$K$63+1)*INDEX($N$67:$AL$67,1,W$5-$K$63+1),0)-$I$63*((W$5=Inputs!$C$12)*$C$65*$D$63+(W$5=Inputs!$C$13)*$D$65*($D$63+Inputs!$C$14))+$I$63*((W$5=Inputs!$C$15+$K$63)*$E$65*$I$65+(W$5=Inputs!$C$16+$K$63)*$F$65*$J$65+(W$5=Inputs!$C$17)*$G$65*$H$63*$H$65)</f>
        <v>62.0302222222222</v>
      </c>
      <c r="X68" s="42" t="n">
        <f aca="false">-($D$63+$J$63)*(X$5=0)+IF(AND(X$5-$K$63&gt;=1,X$5-$K$63&lt;=Inputs!$C$13),INDEX($N$66:$AL$66,1,X$5-$K$63+1)*INDEX($N$67:$AL$67,1,X$5-$K$63+1),0)-$I$63*((X$5=Inputs!$C$12)*$C$65*$D$63+(X$5=Inputs!$C$13)*$D$65*($D$63+Inputs!$C$14))+$I$63*((X$5=Inputs!$C$15+$K$63)*$E$65*$I$65+(X$5=Inputs!$C$16+$K$63)*$F$65*$J$65+(X$5=Inputs!$C$17)*$G$65*$H$63*$H$65)</f>
        <v>62.8506666666667</v>
      </c>
      <c r="Y68" s="42" t="n">
        <f aca="false">-($D$63+$J$63)*(Y$5=0)+IF(AND(Y$5-$K$63&gt;=1,Y$5-$K$63&lt;=Inputs!$C$13),INDEX($N$66:$AL$66,1,Y$5-$K$63+1)*INDEX($N$67:$AL$67,1,Y$5-$K$63+1),0)-$I$63*((Y$5=Inputs!$C$12)*$C$65*$D$63+(Y$5=Inputs!$C$13)*$D$65*($D$63+Inputs!$C$14))+$I$63*((Y$5=Inputs!$C$15+$K$63)*$E$65*$I$65+(Y$5=Inputs!$C$16+$K$63)*$F$65*$J$65+(Y$5=Inputs!$C$17)*$G$65*$H$63*$H$65)</f>
        <v>53.8755555555555</v>
      </c>
      <c r="Z68" s="42" t="n">
        <f aca="false">-($D$63+$J$63)*(Z$5=0)+IF(AND(Z$5-$K$63&gt;=1,Z$5-$K$63&lt;=Inputs!$C$13),INDEX($N$66:$AL$66,1,Z$5-$K$63+1)*INDEX($N$67:$AL$67,1,Z$5-$K$63+1),0)-$I$63*((Z$5=Inputs!$C$12)*$C$65*$D$63+(Z$5=Inputs!$C$13)*$D$65*($D$63+Inputs!$C$14))+$I$63*((Z$5=Inputs!$C$15+$K$63)*$E$65*$I$65+(Z$5=Inputs!$C$16+$K$63)*$F$65*$J$65+(Z$5=Inputs!$C$17)*$G$65*$H$63*$H$65)</f>
        <v>-572.630222222222</v>
      </c>
      <c r="AA68" s="42" t="n">
        <f aca="false">-($D$63+$J$63)*(AA$5=0)+IF(AND(AA$5-$K$63&gt;=1,AA$5-$K$63&lt;=Inputs!$C$13),INDEX($N$66:$AL$66,1,AA$5-$K$63+1)*INDEX($N$67:$AL$67,1,AA$5-$K$63+1),0)-$I$63*((AA$5=Inputs!$C$12)*$C$65*$D$63+(AA$5=Inputs!$C$13)*$D$65*($D$63+Inputs!$C$14))+$I$63*((AA$5=Inputs!$C$15+$K$63)*$E$65*$I$65+(AA$5=Inputs!$C$16+$K$63)*$F$65*$J$65+(AA$5=Inputs!$C$17)*$G$65*$H$63*$H$65)</f>
        <v>55.2639999999999</v>
      </c>
      <c r="AB68" s="42" t="n">
        <f aca="false">-($D$63+$J$63)*(AB$5=0)+IF(AND(AB$5-$K$63&gt;=1,AB$5-$K$63&lt;=Inputs!$C$13),INDEX($N$66:$AL$66,1,AB$5-$K$63+1)*INDEX($N$67:$AL$67,1,AB$5-$K$63+1),0)-$I$63*((AB$5=Inputs!$C$12)*$C$65*$D$63+(AB$5=Inputs!$C$13)*$D$65*($D$63+Inputs!$C$14))+$I$63*((AB$5=Inputs!$C$15+$K$63)*$E$65*$I$65+(AB$5=Inputs!$C$16+$K$63)*$F$65*$J$65+(AB$5=Inputs!$C$17)*$G$65*$H$63*$H$65)</f>
        <v>65.9244444444444</v>
      </c>
      <c r="AC68" s="42" t="n">
        <f aca="false">-($D$63+$J$63)*(AC$5=0)+IF(AND(AC$5-$K$63&gt;=1,AC$5-$K$63&lt;=Inputs!$C$13),INDEX($N$66:$AL$66,1,AC$5-$K$63+1)*INDEX($N$67:$AL$67,1,AC$5-$K$63+1),0)-$I$63*((AC$5=Inputs!$C$12)*$C$65*$D$63+(AC$5=Inputs!$C$13)*$D$65*($D$63+Inputs!$C$14))+$I$63*((AC$5=Inputs!$C$15+$K$63)*$E$65*$I$65+(AC$5=Inputs!$C$16+$K$63)*$F$65*$J$65+(AC$5=Inputs!$C$17)*$G$65*$H$63*$H$65)</f>
        <v>66.8142222222222</v>
      </c>
      <c r="AD68" s="42" t="n">
        <f aca="false">-($D$63+$J$63)*(AD$5=0)+IF(AND(AD$5-$K$63&gt;=1,AD$5-$K$63&lt;=Inputs!$C$13),INDEX($N$66:$AL$66,1,AD$5-$K$63+1)*INDEX($N$67:$AL$67,1,AD$5-$K$63+1),0)-$I$63*((AD$5=Inputs!$C$12)*$C$65*$D$63+(AD$5=Inputs!$C$13)*$D$65*($D$63+Inputs!$C$14))+$I$63*((AD$5=Inputs!$C$15+$K$63)*$E$65*$I$65+(AD$5=Inputs!$C$16+$K$63)*$F$65*$J$65+(AD$5=Inputs!$C$17)*$G$65*$H$63*$H$65)</f>
        <v>67.7040000000003</v>
      </c>
      <c r="AE68" s="42" t="n">
        <f aca="false">-($D$63+$J$63)*(AE$5=0)+IF(AND(AE$5-$K$63&gt;=1,AE$5-$K$63&lt;=Inputs!$C$13),INDEX($N$66:$AL$66,1,AE$5-$K$63+1)*INDEX($N$67:$AL$67,1,AE$5-$K$63+1),0)-$I$63*((AE$5=Inputs!$C$12)*$C$65*$D$63+(AE$5=Inputs!$C$13)*$D$65*($D$63+Inputs!$C$14))+$I$63*((AE$5=Inputs!$C$15+$K$63)*$E$65*$I$65+(AE$5=Inputs!$C$16+$K$63)*$F$65*$J$65+(AE$5=Inputs!$C$17)*$G$65*$H$63*$H$65)</f>
        <v>68.5937777777777</v>
      </c>
      <c r="AF68" s="42" t="n">
        <f aca="false">-($D$63+$J$63)*(AF$5=0)+IF(AND(AF$5-$K$63&gt;=1,AF$5-$K$63&lt;=Inputs!$C$13),INDEX($N$66:$AL$66,1,AF$5-$K$63+1)*INDEX($N$67:$AL$67,1,AF$5-$K$63+1),0)-$I$63*((AF$5=Inputs!$C$12)*$C$65*$D$63+(AF$5=Inputs!$C$13)*$D$65*($D$63+Inputs!$C$14))+$I$63*((AF$5=Inputs!$C$15+$K$63)*$E$65*$I$65+(AF$5=Inputs!$C$16+$K$63)*$F$65*$J$65+(AF$5=Inputs!$C$17)*$G$65*$H$63*$H$65)</f>
        <v>69.4835555555555</v>
      </c>
      <c r="AG68" s="42" t="n">
        <f aca="false">-($D$63+$J$63)*(AG$5=0)+IF(AND(AG$5-$K$63&gt;=1,AG$5-$K$63&lt;=Inputs!$C$13),INDEX($N$66:$AL$66,1,AG$5-$K$63+1)*INDEX($N$67:$AL$67,1,AG$5-$K$63+1),0)-$I$63*((AG$5=Inputs!$C$12)*$C$65*$D$63+(AG$5=Inputs!$C$13)*$D$65*($D$63+Inputs!$C$14))+$I$63*((AG$5=Inputs!$C$15+$K$63)*$E$65*$I$65+(AG$5=Inputs!$C$16+$K$63)*$F$65*$J$65+(AG$5=Inputs!$C$17)*$G$65*$H$63*$H$65)</f>
        <v>70.3733333333333</v>
      </c>
      <c r="AH68" s="42" t="n">
        <f aca="false">-($D$63+$J$63)*(AH$5=0)+IF(AND(AH$5-$K$63&gt;=1,AH$5-$K$63&lt;=Inputs!$C$13),INDEX($N$66:$AL$66,1,AH$5-$K$63+1)*INDEX($N$67:$AL$67,1,AH$5-$K$63+1),0)-$I$63*((AH$5=Inputs!$C$12)*$C$65*$D$63+(AH$5=Inputs!$C$13)*$D$65*($D$63+Inputs!$C$14))+$I$63*((AH$5=Inputs!$C$15+$K$63)*$E$65*$I$65+(AH$5=Inputs!$C$16+$K$63)*$F$65*$J$65+(AH$5=Inputs!$C$17)*$G$65*$H$63*$H$65)</f>
        <v>50.9022222222224</v>
      </c>
      <c r="AI68" s="42" t="n">
        <f aca="false">-($D$63+$J$63)*(AI$5=0)+IF(AND(AI$5-$K$63&gt;=1,AI$5-$K$63&lt;=Inputs!$C$13),INDEX($N$66:$AL$66,1,AI$5-$K$63+1)*INDEX($N$67:$AL$67,1,AI$5-$K$63+1),0)-$I$63*((AI$5=Inputs!$C$12)*$C$65*$D$63+(AI$5=Inputs!$C$13)*$D$65*($D$63+Inputs!$C$14))+$I$63*((AI$5=Inputs!$C$15+$K$63)*$E$65*$I$65+(AI$5=Inputs!$C$16+$K$63)*$F$65*$J$65+(AI$5=Inputs!$C$17)*$G$65*$H$63*$H$65)</f>
        <v>51.5377777777776</v>
      </c>
      <c r="AJ68" s="42" t="n">
        <f aca="false">-($D$63+$J$63)*(AJ$5=0)+IF(AND(AJ$5-$K$63&gt;=1,AJ$5-$K$63&lt;=Inputs!$C$13),INDEX($N$66:$AL$66,1,AJ$5-$K$63+1)*INDEX($N$67:$AL$67,1,AJ$5-$K$63+1),0)-$I$63*((AJ$5=Inputs!$C$12)*$C$65*$D$63+(AJ$5=Inputs!$C$13)*$D$65*($D$63+Inputs!$C$14))+$I$63*((AJ$5=Inputs!$C$15+$K$63)*$E$65*$I$65+(AJ$5=Inputs!$C$16+$K$63)*$F$65*$J$65+(AJ$5=Inputs!$C$17)*$G$65*$H$63*$H$65)</f>
        <v>52.1733333333332</v>
      </c>
      <c r="AK68" s="42" t="n">
        <f aca="false">-($D$63+$J$63)*(AK$5=0)+IF(AND(AK$5-$K$63&gt;=1,AK$5-$K$63&lt;=Inputs!$C$13),INDEX($N$66:$AL$66,1,AK$5-$K$63+1)*INDEX($N$67:$AL$67,1,AK$5-$K$63+1),0)-$I$63*((AK$5=Inputs!$C$12)*$C$65*$D$63+(AK$5=Inputs!$C$13)*$D$65*($D$63+Inputs!$C$14))+$I$63*((AK$5=Inputs!$C$15+$K$63)*$E$65*$I$65+(AK$5=Inputs!$C$16+$K$63)*$F$65*$J$65+(AK$5=Inputs!$C$17)*$G$65*$H$63*$H$65)</f>
        <v>52.8088888888891</v>
      </c>
      <c r="AL68" s="42" t="n">
        <f aca="false">-($D$63+$J$63)*(AL$5=0)+IF(AND(AL$5-$K$63&gt;=1,AL$5-$K$63&lt;=Inputs!$C$13),INDEX($N$66:$AL$66,1,AL$5-$K$63+1)*INDEX($N$67:$AL$67,1,AL$5-$K$63+1),0)-$I$63*((AL$5=Inputs!$C$12)*$C$65*$D$63+(AL$5=Inputs!$C$13)*$D$65*($D$63+Inputs!$C$14))+$I$63*((AL$5=Inputs!$C$15+$K$63)*$E$65*$I$65+(AL$5=Inputs!$C$16+$K$63)*$F$65*$J$65+(AL$5=Inputs!$C$17)*$G$65*$H$63*$H$65)</f>
        <v>-626.555555555555</v>
      </c>
      <c r="AM68" s="42" t="n">
        <f aca="false">-($D$63+$J$63)*(AM$5=0)+IF(AND(AM$5-$K$63&gt;=1,AM$5-$K$63&lt;=Inputs!$C$13),INDEX($N$66:$AL$66,1,AM$5-$K$63+1)*INDEX($N$67:$AL$67,1,AM$5-$K$63+1),0)-$I$63*((AM$5=Inputs!$C$12)*$C$65*$D$63+(AM$5=Inputs!$C$13)*$D$65*($D$63+Inputs!$C$14))+$I$63*((AM$5=Inputs!$C$15+$K$63)*$E$65*$I$65+(AM$5=Inputs!$C$16+$K$63)*$F$65*$J$65+(AM$5=Inputs!$C$17)*$G$65*$H$63*$H$65)</f>
        <v>54.0799999999998</v>
      </c>
      <c r="AN68" s="42" t="n">
        <f aca="false">-($D$63+$J$63)*(AN$5=0)+IF(AND(AN$5-$K$63&gt;=1,AN$5-$K$63&lt;=Inputs!$C$13),INDEX($N$66:$AL$66,1,AN$5-$K$63+1)*INDEX($N$67:$AL$67,1,AN$5-$K$63+1),0)-$I$63*((AN$5=Inputs!$C$12)*$C$65*$D$63+(AN$5=Inputs!$C$13)*$D$65*($D$63+Inputs!$C$14))+$I$63*((AN$5=Inputs!$C$15+$K$63)*$E$65*$I$65+(AN$5=Inputs!$C$16+$K$63)*$F$65*$J$65+(AN$5=Inputs!$C$17)*$G$65*$H$63*$H$65)</f>
        <v>0</v>
      </c>
      <c r="AO68" s="42" t="n">
        <f aca="false">-($D$63+$J$63)*(AO$5=0)+IF(AND(AO$5-$K$63&gt;=1,AO$5-$K$63&lt;=Inputs!$C$13),INDEX($N$66:$AL$66,1,AO$5-$K$63+1)*INDEX($N$67:$AL$67,1,AO$5-$K$63+1),0)-$I$63*((AO$5=Inputs!$C$12)*$C$65*$D$63+(AO$5=Inputs!$C$13)*$D$65*($D$63+Inputs!$C$14))+$I$63*((AO$5=Inputs!$C$15+$K$63)*$E$65*$I$65+(AO$5=Inputs!$C$16+$K$63)*$F$65*$J$65+(AO$5=Inputs!$C$17)*$G$65*$H$63*$H$65)</f>
        <v>0</v>
      </c>
      <c r="AP68" s="42" t="n">
        <f aca="false">-($D$63+$J$63)*(AP$5=0)+IF(AND(AP$5-$K$63&gt;=1,AP$5-$K$63&lt;=Inputs!$C$13),INDEX($N$66:$AL$66,1,AP$5-$K$63+1)*INDEX($N$67:$AL$67,1,AP$5-$K$63+1),0)-$I$63*((AP$5=Inputs!$C$12)*$C$65*$D$63+(AP$5=Inputs!$C$13)*$D$65*($D$63+Inputs!$C$14))+$I$63*((AP$5=Inputs!$C$15+$K$63)*$E$65*$I$65+(AP$5=Inputs!$C$16+$K$63)*$F$65*$J$65+(AP$5=Inputs!$C$17)*$G$65*$H$63*$H$65)</f>
        <v>613.68</v>
      </c>
      <c r="AQ68" s="42" t="n">
        <f aca="false">-($D$63+$J$63)*(AQ$5=0)+IF(AND(AQ$5-$K$63&gt;=1,AQ$5-$K$63&lt;=Inputs!$C$13),INDEX($N$66:$AL$66,1,AQ$5-$K$63+1)*INDEX($N$67:$AL$67,1,AQ$5-$K$63+1),0)-$I$63*((AQ$5=Inputs!$C$12)*$C$65*$D$63+(AQ$5=Inputs!$C$13)*$D$65*($D$63+Inputs!$C$14))+$I$63*((AQ$5=Inputs!$C$15+$K$63)*$E$65*$I$65+(AQ$5=Inputs!$C$16+$K$63)*$F$65*$J$65+(AQ$5=Inputs!$C$17)*$G$65*$H$63*$H$65)</f>
        <v>0</v>
      </c>
      <c r="AR68" s="42" t="n">
        <f aca="false">-($D$63+$J$63)*(AR$5=0)+IF(AND(AR$5-$K$63&gt;=1,AR$5-$K$63&lt;=Inputs!$C$13),INDEX($N$66:$AL$66,1,AR$5-$K$63+1)*INDEX($N$67:$AL$67,1,AR$5-$K$63+1),0)-$I$63*((AR$5=Inputs!$C$12)*$C$65*$D$63+(AR$5=Inputs!$C$13)*$D$65*($D$63+Inputs!$C$14))+$I$63*((AR$5=Inputs!$C$15+$K$63)*$E$65*$I$65+(AR$5=Inputs!$C$16+$K$63)*$F$65*$J$65+(AR$5=Inputs!$C$17)*$G$65*$H$63*$H$65)</f>
        <v>0</v>
      </c>
      <c r="AS68" s="42" t="n">
        <f aca="false">-($D$63+$J$63)*(AS$5=0)+IF(AND(AS$5-$K$63&gt;=1,AS$5-$K$63&lt;=Inputs!$C$13),INDEX($N$66:$AL$66,1,AS$5-$K$63+1)*INDEX($N$67:$AL$67,1,AS$5-$K$63+1),0)-$I$63*((AS$5=Inputs!$C$12)*$C$65*$D$63+(AS$5=Inputs!$C$13)*$D$65*($D$63+Inputs!$C$14))+$I$63*((AS$5=Inputs!$C$15+$K$63)*$E$65*$I$65+(AS$5=Inputs!$C$16+$K$63)*$F$65*$J$65+(AS$5=Inputs!$C$17)*$G$65*$H$63*$H$65)</f>
        <v>473.16</v>
      </c>
      <c r="AT68" s="42" t="n">
        <f aca="false">-($D$63+$J$63)*(AT$5=0)+IF(AND(AT$5-$K$63&gt;=1,AT$5-$K$63&lt;=Inputs!$C$13),INDEX($N$66:$AL$66,1,AT$5-$K$63+1)*INDEX($N$67:$AL$67,1,AT$5-$K$63+1),0)-$I$63*((AT$5=Inputs!$C$12)*$C$65*$D$63+(AT$5=Inputs!$C$13)*$D$65*($D$63+Inputs!$C$14))+$I$63*((AT$5=Inputs!$C$15+$K$63)*$E$65*$I$65+(AT$5=Inputs!$C$16+$K$63)*$F$65*$J$65+(AT$5=Inputs!$C$17)*$G$65*$H$63*$H$65)</f>
        <v>0</v>
      </c>
      <c r="AU68" s="42" t="n">
        <f aca="false">-($D$63+$J$63)*(AU$5=0)+IF(AND(AU$5-$K$63&gt;=1,AU$5-$K$63&lt;=Inputs!$C$13),INDEX($N$66:$AL$66,1,AU$5-$K$63+1)*INDEX($N$67:$AL$67,1,AU$5-$K$63+1),0)-$I$63*((AU$5=Inputs!$C$12)*$C$65*$D$63+(AU$5=Inputs!$C$13)*$D$65*($D$63+Inputs!$C$14))+$I$63*((AU$5=Inputs!$C$15+$K$63)*$E$65*$I$65+(AU$5=Inputs!$C$16+$K$63)*$F$65*$J$65+(AU$5=Inputs!$C$17)*$G$65*$H$63*$H$65)</f>
        <v>0</v>
      </c>
      <c r="AV68" s="42" t="n">
        <f aca="false">-($D$63+$J$63)*(AV$5=0)+IF(AND(AV$5-$K$63&gt;=1,AV$5-$K$63&lt;=Inputs!$C$13),INDEX($N$66:$AL$66,1,AV$5-$K$63+1)*INDEX($N$67:$AL$67,1,AV$5-$K$63+1),0)-$I$63*((AV$5=Inputs!$C$12)*$C$65*$D$63+(AV$5=Inputs!$C$13)*$D$65*($D$63+Inputs!$C$14))+$I$63*((AV$5=Inputs!$C$15+$K$63)*$E$65*$I$65+(AV$5=Inputs!$C$16+$K$63)*$F$65*$J$65+(AV$5=Inputs!$C$17)*$G$65*$H$63*$H$65)</f>
        <v>0</v>
      </c>
      <c r="AW68" s="42" t="n">
        <f aca="false">-($D$63+$J$63)*(AW$5=0)+IF(AND(AW$5-$K$63&gt;=1,AW$5-$K$63&lt;=Inputs!$C$13),INDEX($N$66:$AL$66,1,AW$5-$K$63+1)*INDEX($N$67:$AL$67,1,AW$5-$K$63+1),0)-$I$63*((AW$5=Inputs!$C$12)*$C$65*$D$63+(AW$5=Inputs!$C$13)*$D$65*($D$63+Inputs!$C$14))+$I$63*((AW$5=Inputs!$C$15+$K$63)*$E$65*$I$65+(AW$5=Inputs!$C$16+$K$63)*$F$65*$J$65+(AW$5=Inputs!$C$17)*$G$65*$H$63*$H$65)</f>
        <v>0</v>
      </c>
      <c r="AX68" s="42" t="n">
        <f aca="false">-($D$63+$J$63)*(AX$5=0)+IF(AND(AX$5-$K$63&gt;=1,AX$5-$K$63&lt;=Inputs!$C$13),INDEX($N$66:$AL$66,1,AX$5-$K$63+1)*INDEX($N$67:$AL$67,1,AX$5-$K$63+1),0)-$I$63*((AX$5=Inputs!$C$12)*$C$65*$D$63+(AX$5=Inputs!$C$13)*$D$65*($D$63+Inputs!$C$14))+$I$63*((AX$5=Inputs!$C$15+$K$63)*$E$65*$I$65+(AX$5=Inputs!$C$16+$K$63)*$F$65*$J$65+(AX$5=Inputs!$C$17)*$G$65*$H$63*$H$65)</f>
        <v>277.2</v>
      </c>
      <c r="AY68" s="42" t="n">
        <f aca="false">-($D$63+$J$63)*(AY$5=0)+IF(AND(AY$5-$K$63&gt;=1,AY$5-$K$63&lt;=Inputs!$C$13),INDEX($N$66:$AL$66,1,AY$5-$K$63+1)*INDEX($N$67:$AL$67,1,AY$5-$K$63+1),0)-$I$63*((AY$5=Inputs!$C$12)*$C$65*$D$63+(AY$5=Inputs!$C$13)*$D$65*($D$63+Inputs!$C$14))+$I$63*((AY$5=Inputs!$C$15+$K$63)*$E$65*$I$65+(AY$5=Inputs!$C$16+$K$63)*$F$65*$J$65+(AY$5=Inputs!$C$17)*$G$65*$H$63*$H$65)</f>
        <v>0</v>
      </c>
    </row>
    <row r="70" customFormat="false" ht="15" hidden="false" customHeight="false" outlineLevel="0" collapsed="false">
      <c r="B70" s="7" t="s">
        <v>230</v>
      </c>
      <c r="C70" s="8"/>
      <c r="D70" s="8"/>
      <c r="E70" s="8"/>
      <c r="F70" s="8"/>
      <c r="G70" s="8"/>
      <c r="H70" s="8"/>
      <c r="I70" s="8"/>
      <c r="J70" s="8"/>
      <c r="K70" s="8"/>
      <c r="L70" s="8"/>
    </row>
    <row r="71" customFormat="false" ht="30" hidden="false" customHeight="true" outlineLevel="0" collapsed="false">
      <c r="B71" s="37"/>
      <c r="C71" s="38" t="s">
        <v>169</v>
      </c>
      <c r="D71" s="38" t="s">
        <v>170</v>
      </c>
      <c r="E71" s="38" t="s">
        <v>171</v>
      </c>
      <c r="F71" s="38" t="s">
        <v>43</v>
      </c>
      <c r="G71" s="38" t="s">
        <v>44</v>
      </c>
      <c r="H71" s="38" t="s">
        <v>45</v>
      </c>
      <c r="I71" s="38" t="s">
        <v>172</v>
      </c>
      <c r="J71" s="38" t="s">
        <v>90</v>
      </c>
      <c r="K71" s="38" t="s">
        <v>89</v>
      </c>
      <c r="L71" s="38" t="s">
        <v>173</v>
      </c>
    </row>
    <row r="72" customFormat="false" ht="15" hidden="false" customHeight="false" outlineLevel="0" collapsed="false">
      <c r="B72" s="39" t="s">
        <v>174</v>
      </c>
      <c r="C72" s="26" t="n">
        <f aca="false">MAX(0,Bid_Floor!$C$63-Inputs!$C$7)</f>
        <v>0.175</v>
      </c>
      <c r="D72" s="30" t="n">
        <f aca="false">Inputs!$E$26</f>
        <v>1600</v>
      </c>
      <c r="E72" s="26" t="n">
        <f aca="false">Inputs!$F$26</f>
        <v>0.8</v>
      </c>
      <c r="F72" s="25" t="n">
        <f aca="false">Inputs!$G$26</f>
        <v>0.4</v>
      </c>
      <c r="G72" s="25" t="n">
        <f aca="false">Inputs!$H$26</f>
        <v>0.5</v>
      </c>
      <c r="H72" s="25" t="n">
        <f aca="false">Inputs!$I$26</f>
        <v>0.7</v>
      </c>
      <c r="I72" s="22" t="n">
        <f aca="false">Inputs!$J$26</f>
        <v>1</v>
      </c>
      <c r="J72" s="23" t="n">
        <f aca="false">Inputs!$C$9</f>
        <v>10</v>
      </c>
      <c r="K72" s="22" t="n">
        <f aca="false">Inputs!$C$10</f>
        <v>1</v>
      </c>
      <c r="L72" s="22" t="n">
        <f aca="false">1</f>
        <v>1</v>
      </c>
    </row>
    <row r="73" customFormat="false" ht="30" hidden="false" customHeight="true" outlineLevel="0" collapsed="false">
      <c r="B73" s="37"/>
      <c r="C73" s="38" t="s">
        <v>175</v>
      </c>
      <c r="D73" s="38" t="s">
        <v>176</v>
      </c>
      <c r="E73" s="38" t="s">
        <v>177</v>
      </c>
      <c r="F73" s="38" t="s">
        <v>178</v>
      </c>
      <c r="G73" s="38" t="s">
        <v>112</v>
      </c>
      <c r="H73" s="38" t="s">
        <v>179</v>
      </c>
      <c r="I73" s="38" t="s">
        <v>180</v>
      </c>
      <c r="J73" s="38" t="s">
        <v>181</v>
      </c>
      <c r="K73" s="38" t="s">
        <v>182</v>
      </c>
      <c r="L73" s="38" t="s">
        <v>183</v>
      </c>
    </row>
    <row r="74" customFormat="false" ht="15" hidden="false" customHeight="false" outlineLevel="0" collapsed="false">
      <c r="B74" s="39" t="s">
        <v>184</v>
      </c>
      <c r="C74" s="40" t="n">
        <f aca="false">1-$E$72*CHOOSE($L$72,INDEX(Timing!$C$7:$AA$7,1,Inputs!$C$12+1),INDEX(Timing!$C$8:$AA$8,1,Inputs!$C$12+1))</f>
        <v>0.392</v>
      </c>
      <c r="D74" s="40" t="n">
        <f aca="false">1-$E$72*CHOOSE($L$72,INDEX(Timing!$C$7:$AA$7,1,Inputs!$C$13+1),INDEX(Timing!$C$8:$AA$8,1,Inputs!$C$13+1))</f>
        <v>0.2</v>
      </c>
      <c r="E74" s="40" t="n">
        <f aca="false">$I$72*$D$74*$F$72</f>
        <v>0.08</v>
      </c>
      <c r="F74" s="40" t="n">
        <f aca="false">$I$72*($D$74-$E$74)*$G$72</f>
        <v>0.06</v>
      </c>
      <c r="G74" s="40" t="n">
        <f aca="false">$I$72*($D$74-$E$74-$F$74)</f>
        <v>0.06</v>
      </c>
      <c r="H74" s="23" t="n">
        <f aca="false">$I$72*(3*$D$72+Inputs!$C$14)</f>
        <v>6600</v>
      </c>
      <c r="I74" s="23" t="n">
        <f aca="false">$I$72*($D$72*(1+IF($C$72&lt;=0,0,MAX($C$72*Inputs!$C$15/12,Inputs!$C$8)))+$D$72*(1+Inputs!$C$11*(Inputs!$C$15-Inputs!$C$12)/12)+$D$72*(1+Inputs!$C$11*(Inputs!$C$15-Inputs!$C$13)/12)+Inputs!$C$14)</f>
        <v>7662</v>
      </c>
      <c r="J74" s="23" t="n">
        <f aca="false">$I$72*($D$72*(1+IF($C$72&lt;=0,0,MAX($C$72*Inputs!$C$16/12,Inputs!$C$8)))+$D$72*(1+Inputs!$C$11*(Inputs!$C$16-Inputs!$C$12)/12)+$D$72*(1+Inputs!$C$11*(Inputs!$C$16-Inputs!$C$13)/12)+Inputs!$C$14)</f>
        <v>7876</v>
      </c>
      <c r="K74" s="40" t="n">
        <f aca="false">IRR($N$77:$AY$77,0.005)</f>
        <v>0.00638131305652719</v>
      </c>
      <c r="L74" s="41" t="n">
        <f aca="false">(1+$K$74)^12-1</f>
        <v>0.0793213502326047</v>
      </c>
    </row>
    <row r="75" customFormat="false" ht="15" hidden="false" customHeight="false" outlineLevel="0" collapsed="false">
      <c r="B75" s="9" t="s">
        <v>185</v>
      </c>
      <c r="N75" s="40" t="n">
        <f aca="false">0</f>
        <v>0</v>
      </c>
      <c r="O75" s="40" t="n">
        <f aca="false">$E$72*(CHOOSE($L$72,Timing!D$7,Timing!D$8)-CHOOSE($L$72,Timing!C$7,Timing!C$8))</f>
        <v>0.096</v>
      </c>
      <c r="P75" s="40" t="n">
        <f aca="false">$E$72*(CHOOSE($L$72,Timing!E$7,Timing!E$8)-CHOOSE($L$72,Timing!D$7,Timing!D$8))</f>
        <v>0.08</v>
      </c>
      <c r="Q75" s="40" t="n">
        <f aca="false">$E$72*(CHOOSE($L$72,Timing!F$7,Timing!F$8)-CHOOSE($L$72,Timing!E$7,Timing!E$8))</f>
        <v>0.072</v>
      </c>
      <c r="R75" s="40" t="n">
        <f aca="false">$E$72*(CHOOSE($L$72,Timing!G$7,Timing!G$8)-CHOOSE($L$72,Timing!F$7,Timing!F$8))</f>
        <v>0.056</v>
      </c>
      <c r="S75" s="40" t="n">
        <f aca="false">$E$72*(CHOOSE($L$72,Timing!H$7,Timing!H$8)-CHOOSE($L$72,Timing!G$7,Timing!G$8))</f>
        <v>0.056</v>
      </c>
      <c r="T75" s="40" t="n">
        <f aca="false">$E$72*(CHOOSE($L$72,Timing!I$7,Timing!I$8)-CHOOSE($L$72,Timing!H$7,Timing!H$8))</f>
        <v>0.056</v>
      </c>
      <c r="U75" s="40" t="n">
        <f aca="false">$E$72*(CHOOSE($L$72,Timing!J$7,Timing!J$8)-CHOOSE($L$72,Timing!I$7,Timing!I$8))</f>
        <v>0.0346666666666667</v>
      </c>
      <c r="V75" s="40" t="n">
        <f aca="false">$E$72*(CHOOSE($L$72,Timing!K$7,Timing!K$8)-CHOOSE($L$72,Timing!J$7,Timing!J$8))</f>
        <v>0.0346666666666667</v>
      </c>
      <c r="W75" s="40" t="n">
        <f aca="false">$E$72*(CHOOSE($L$72,Timing!L$7,Timing!L$8)-CHOOSE($L$72,Timing!K$7,Timing!K$8))</f>
        <v>0.0346666666666667</v>
      </c>
      <c r="X75" s="40" t="n">
        <f aca="false">$E$72*(CHOOSE($L$72,Timing!M$7,Timing!M$8)-CHOOSE($L$72,Timing!L$7,Timing!L$8))</f>
        <v>0.0293333333333333</v>
      </c>
      <c r="Y75" s="40" t="n">
        <f aca="false">$E$72*(CHOOSE($L$72,Timing!N$7,Timing!N$8)-CHOOSE($L$72,Timing!M$7,Timing!M$8))</f>
        <v>0.0293333333333334</v>
      </c>
      <c r="Z75" s="40" t="n">
        <f aca="false">$E$72*(CHOOSE($L$72,Timing!O$7,Timing!O$8)-CHOOSE($L$72,Timing!N$7,Timing!N$8))</f>
        <v>0.0293333333333333</v>
      </c>
      <c r="AA75" s="40" t="n">
        <f aca="false">$E$72*(CHOOSE($L$72,Timing!P$7,Timing!P$8)-CHOOSE($L$72,Timing!O$7,Timing!O$8))</f>
        <v>0.0186666666666667</v>
      </c>
      <c r="AB75" s="40" t="n">
        <f aca="false">$E$72*(CHOOSE($L$72,Timing!Q$7,Timing!Q$8)-CHOOSE($L$72,Timing!P$7,Timing!P$8))</f>
        <v>0.0186666666666667</v>
      </c>
      <c r="AC75" s="40" t="n">
        <f aca="false">$E$72*(CHOOSE($L$72,Timing!R$7,Timing!R$8)-CHOOSE($L$72,Timing!Q$7,Timing!Q$8))</f>
        <v>0.0186666666666667</v>
      </c>
      <c r="AD75" s="40" t="n">
        <f aca="false">$E$72*(CHOOSE($L$72,Timing!S$7,Timing!S$8)-CHOOSE($L$72,Timing!R$7,Timing!R$8))</f>
        <v>0.0186666666666667</v>
      </c>
      <c r="AE75" s="40" t="n">
        <f aca="false">$E$72*(CHOOSE($L$72,Timing!T$7,Timing!T$8)-CHOOSE($L$72,Timing!S$7,Timing!S$8))</f>
        <v>0.0186666666666667</v>
      </c>
      <c r="AF75" s="40" t="n">
        <f aca="false">$E$72*(CHOOSE($L$72,Timing!U$7,Timing!U$8)-CHOOSE($L$72,Timing!T$7,Timing!T$8))</f>
        <v>0.0186666666666667</v>
      </c>
      <c r="AG75" s="40" t="n">
        <f aca="false">$E$72*(CHOOSE($L$72,Timing!V$7,Timing!V$8)-CHOOSE($L$72,Timing!U$7,Timing!U$8))</f>
        <v>0.0133333333333334</v>
      </c>
      <c r="AH75" s="40" t="n">
        <f aca="false">$E$72*(CHOOSE($L$72,Timing!W$7,Timing!W$8)-CHOOSE($L$72,Timing!V$7,Timing!V$8))</f>
        <v>0.0133333333333333</v>
      </c>
      <c r="AI75" s="40" t="n">
        <f aca="false">$E$72*(CHOOSE($L$72,Timing!X$7,Timing!X$8)-CHOOSE($L$72,Timing!W$7,Timing!W$8))</f>
        <v>0.0133333333333333</v>
      </c>
      <c r="AJ75" s="40" t="n">
        <f aca="false">$E$72*(CHOOSE($L$72,Timing!Y$7,Timing!Y$8)-CHOOSE($L$72,Timing!X$7,Timing!X$8))</f>
        <v>0.0133333333333334</v>
      </c>
      <c r="AK75" s="40" t="n">
        <f aca="false">$E$72*(CHOOSE($L$72,Timing!Z$7,Timing!Z$8)-CHOOSE($L$72,Timing!Y$7,Timing!Y$8))</f>
        <v>0.0133333333333334</v>
      </c>
      <c r="AL75" s="40" t="n">
        <f aca="false">$E$72*(CHOOSE($L$72,Timing!AA$7,Timing!AA$8)-CHOOSE($L$72,Timing!Z$7,Timing!Z$8))</f>
        <v>0.0133333333333333</v>
      </c>
    </row>
    <row r="76" customFormat="false" ht="15" hidden="false" customHeight="false" outlineLevel="0" collapsed="false">
      <c r="B76" s="9" t="s">
        <v>186</v>
      </c>
      <c r="N76" s="42" t="n">
        <f aca="false">0</f>
        <v>0</v>
      </c>
      <c r="O76" s="42" t="n">
        <f aca="false">$D$72*(1+IF($C$72&lt;=0,0,MAX($C$72*O$5/12,Inputs!$C$8)))+$I$72*(O$5&gt;Inputs!$C$12)*$D$72*(1+Inputs!$C$11*(O$5-Inputs!$C$12)/12)</f>
        <v>1680</v>
      </c>
      <c r="P76" s="42" t="n">
        <f aca="false">$D$72*(1+IF($C$72&lt;=0,0,MAX($C$72*P$5/12,Inputs!$C$8)))+$I$72*(P$5&gt;Inputs!$C$12)*$D$72*(1+Inputs!$C$11*(P$5-Inputs!$C$12)/12)</f>
        <v>1680</v>
      </c>
      <c r="Q76" s="42" t="n">
        <f aca="false">$D$72*(1+IF($C$72&lt;=0,0,MAX($C$72*Q$5/12,Inputs!$C$8)))+$I$72*(Q$5&gt;Inputs!$C$12)*$D$72*(1+Inputs!$C$11*(Q$5-Inputs!$C$12)/12)</f>
        <v>1680</v>
      </c>
      <c r="R76" s="42" t="n">
        <f aca="false">$D$72*(1+IF($C$72&lt;=0,0,MAX($C$72*R$5/12,Inputs!$C$8)))+$I$72*(R$5&gt;Inputs!$C$12)*$D$72*(1+Inputs!$C$11*(R$5-Inputs!$C$12)/12)</f>
        <v>1693.33333333333</v>
      </c>
      <c r="S76" s="42" t="n">
        <f aca="false">$D$72*(1+IF($C$72&lt;=0,0,MAX($C$72*S$5/12,Inputs!$C$8)))+$I$72*(S$5&gt;Inputs!$C$12)*$D$72*(1+Inputs!$C$11*(S$5-Inputs!$C$12)/12)</f>
        <v>1716.66666666667</v>
      </c>
      <c r="T76" s="42" t="n">
        <f aca="false">$D$72*(1+IF($C$72&lt;=0,0,MAX($C$72*T$5/12,Inputs!$C$8)))+$I$72*(T$5&gt;Inputs!$C$12)*$D$72*(1+Inputs!$C$11*(T$5-Inputs!$C$12)/12)</f>
        <v>1740</v>
      </c>
      <c r="U76" s="42" t="n">
        <f aca="false">$D$72*(1+IF($C$72&lt;=0,0,MAX($C$72*U$5/12,Inputs!$C$8)))+$I$72*(U$5&gt;Inputs!$C$12)*$D$72*(1+Inputs!$C$11*(U$5-Inputs!$C$12)/12)</f>
        <v>1763.33333333333</v>
      </c>
      <c r="V76" s="42" t="n">
        <f aca="false">$D$72*(1+IF($C$72&lt;=0,0,MAX($C$72*V$5/12,Inputs!$C$8)))+$I$72*(V$5&gt;Inputs!$C$12)*$D$72*(1+Inputs!$C$11*(V$5-Inputs!$C$12)/12)</f>
        <v>1786.66666666667</v>
      </c>
      <c r="W76" s="42" t="n">
        <f aca="false">$D$72*(1+IF($C$72&lt;=0,0,MAX($C$72*W$5/12,Inputs!$C$8)))+$I$72*(W$5&gt;Inputs!$C$12)*$D$72*(1+Inputs!$C$11*(W$5-Inputs!$C$12)/12)</f>
        <v>1810</v>
      </c>
      <c r="X76" s="42" t="n">
        <f aca="false">$D$72*(1+IF($C$72&lt;=0,0,MAX($C$72*X$5/12,Inputs!$C$8)))+$I$72*(X$5&gt;Inputs!$C$12)*$D$72*(1+Inputs!$C$11*(X$5-Inputs!$C$12)/12)</f>
        <v>1833.33333333333</v>
      </c>
      <c r="Y76" s="42" t="n">
        <f aca="false">$D$72*(1+IF($C$72&lt;=0,0,MAX($C$72*Y$5/12,Inputs!$C$8)))+$I$72*(Y$5&gt;Inputs!$C$12)*$D$72*(1+Inputs!$C$11*(Y$5-Inputs!$C$12)/12)</f>
        <v>1856.66666666667</v>
      </c>
      <c r="Z76" s="42" t="n">
        <f aca="false">$D$72*(1+IF($C$72&lt;=0,0,MAX($C$72*Z$5/12,Inputs!$C$8)))+$I$72*(Z$5&gt;Inputs!$C$12)*$D$72*(1+Inputs!$C$11*(Z$5-Inputs!$C$12)/12)</f>
        <v>1880</v>
      </c>
      <c r="AA76" s="42" t="n">
        <f aca="false">$D$72*(1+IF($C$72&lt;=0,0,MAX($C$72*AA$5/12,Inputs!$C$8)))+$I$72*(AA$5&gt;Inputs!$C$12)*$D$72*(1+Inputs!$C$11*(AA$5-Inputs!$C$12)/12)</f>
        <v>3527.33333333333</v>
      </c>
      <c r="AB76" s="42" t="n">
        <f aca="false">$D$72*(1+IF($C$72&lt;=0,0,MAX($C$72*AB$5/12,Inputs!$C$8)))+$I$72*(AB$5&gt;Inputs!$C$12)*$D$72*(1+Inputs!$C$11*(AB$5-Inputs!$C$12)/12)</f>
        <v>3574.66666666667</v>
      </c>
      <c r="AC76" s="42" t="n">
        <f aca="false">$D$72*(1+IF($C$72&lt;=0,0,MAX($C$72*AC$5/12,Inputs!$C$8)))+$I$72*(AC$5&gt;Inputs!$C$12)*$D$72*(1+Inputs!$C$11*(AC$5-Inputs!$C$12)/12)</f>
        <v>3622</v>
      </c>
      <c r="AD76" s="42" t="n">
        <f aca="false">$D$72*(1+IF($C$72&lt;=0,0,MAX($C$72*AD$5/12,Inputs!$C$8)))+$I$72*(AD$5&gt;Inputs!$C$12)*$D$72*(1+Inputs!$C$11*(AD$5-Inputs!$C$12)/12)</f>
        <v>3669.33333333333</v>
      </c>
      <c r="AE76" s="42" t="n">
        <f aca="false">$D$72*(1+IF($C$72&lt;=0,0,MAX($C$72*AE$5/12,Inputs!$C$8)))+$I$72*(AE$5&gt;Inputs!$C$12)*$D$72*(1+Inputs!$C$11*(AE$5-Inputs!$C$12)/12)</f>
        <v>3716.66666666667</v>
      </c>
      <c r="AF76" s="42" t="n">
        <f aca="false">$D$72*(1+IF($C$72&lt;=0,0,MAX($C$72*AF$5/12,Inputs!$C$8)))+$I$72*(AF$5&gt;Inputs!$C$12)*$D$72*(1+Inputs!$C$11*(AF$5-Inputs!$C$12)/12)</f>
        <v>3764</v>
      </c>
      <c r="AG76" s="42" t="n">
        <f aca="false">$D$72*(1+IF($C$72&lt;=0,0,MAX($C$72*AG$5/12,Inputs!$C$8)))+$I$72*(AG$5&gt;Inputs!$C$12)*$D$72*(1+Inputs!$C$11*(AG$5-Inputs!$C$12)/12)</f>
        <v>3811.33333333333</v>
      </c>
      <c r="AH76" s="42" t="n">
        <f aca="false">$D$72*(1+IF($C$72&lt;=0,0,MAX($C$72*AH$5/12,Inputs!$C$8)))+$I$72*(AH$5&gt;Inputs!$C$12)*$D$72*(1+Inputs!$C$11*(AH$5-Inputs!$C$12)/12)</f>
        <v>3858.66666666667</v>
      </c>
      <c r="AI76" s="42" t="n">
        <f aca="false">$D$72*(1+IF($C$72&lt;=0,0,MAX($C$72*AI$5/12,Inputs!$C$8)))+$I$72*(AI$5&gt;Inputs!$C$12)*$D$72*(1+Inputs!$C$11*(AI$5-Inputs!$C$12)/12)</f>
        <v>3906</v>
      </c>
      <c r="AJ76" s="42" t="n">
        <f aca="false">$D$72*(1+IF($C$72&lt;=0,0,MAX($C$72*AJ$5/12,Inputs!$C$8)))+$I$72*(AJ$5&gt;Inputs!$C$12)*$D$72*(1+Inputs!$C$11*(AJ$5-Inputs!$C$12)/12)</f>
        <v>3953.33333333333</v>
      </c>
      <c r="AK76" s="42" t="n">
        <f aca="false">$D$72*(1+IF($C$72&lt;=0,0,MAX($C$72*AK$5/12,Inputs!$C$8)))+$I$72*(AK$5&gt;Inputs!$C$12)*$D$72*(1+Inputs!$C$11*(AK$5-Inputs!$C$12)/12)</f>
        <v>4000.66666666667</v>
      </c>
      <c r="AL76" s="42" t="n">
        <f aca="false">$D$72*(1+IF($C$72&lt;=0,0,MAX($C$72*AL$5/12,Inputs!$C$8)))+$I$72*(AL$5&gt;Inputs!$C$12)*$D$72*(1+Inputs!$C$11*(AL$5-Inputs!$C$12)/12)</f>
        <v>4048</v>
      </c>
    </row>
    <row r="77" customFormat="false" ht="15" hidden="false" customHeight="false" outlineLevel="0" collapsed="false">
      <c r="B77" s="31" t="s">
        <v>187</v>
      </c>
      <c r="N77" s="42" t="n">
        <f aca="false">-($D$72+$J$72)*(N$5=0)+IF(AND(N$5-$K$72&gt;=1,N$5-$K$72&lt;=Inputs!$C$13),INDEX($N$75:$AL$75,1,N$5-$K$72+1)*INDEX($N$76:$AL$76,1,N$5-$K$72+1),0)-$I$72*((N$5=Inputs!$C$12)*$C$74*$D$72+(N$5=Inputs!$C$13)*$D$74*($D$72+Inputs!$C$14))+$I$72*((N$5=Inputs!$C$15+$K$72)*$E$74*$I$74+(N$5=Inputs!$C$16+$K$72)*$F$74*$J$74+(N$5=Inputs!$C$17)*$G$74*$H$72*$H$74)</f>
        <v>-1610</v>
      </c>
      <c r="O77" s="42" t="n">
        <f aca="false">-($D$72+$J$72)*(O$5=0)+IF(AND(O$5-$K$72&gt;=1,O$5-$K$72&lt;=Inputs!$C$13),INDEX($N$75:$AL$75,1,O$5-$K$72+1)*INDEX($N$76:$AL$76,1,O$5-$K$72+1),0)-$I$72*((O$5=Inputs!$C$12)*$C$74*$D$72+(O$5=Inputs!$C$13)*$D$74*($D$72+Inputs!$C$14))+$I$72*((O$5=Inputs!$C$15+$K$72)*$E$74*$I$74+(O$5=Inputs!$C$16+$K$72)*$F$74*$J$74+(O$5=Inputs!$C$17)*$G$74*$H$72*$H$74)</f>
        <v>0</v>
      </c>
      <c r="P77" s="42" t="n">
        <f aca="false">-($D$72+$J$72)*(P$5=0)+IF(AND(P$5-$K$72&gt;=1,P$5-$K$72&lt;=Inputs!$C$13),INDEX($N$75:$AL$75,1,P$5-$K$72+1)*INDEX($N$76:$AL$76,1,P$5-$K$72+1),0)-$I$72*((P$5=Inputs!$C$12)*$C$74*$D$72+(P$5=Inputs!$C$13)*$D$74*($D$72+Inputs!$C$14))+$I$72*((P$5=Inputs!$C$15+$K$72)*$E$74*$I$74+(P$5=Inputs!$C$16+$K$72)*$F$74*$J$74+(P$5=Inputs!$C$17)*$G$74*$H$72*$H$74)</f>
        <v>161.28</v>
      </c>
      <c r="Q77" s="42" t="n">
        <f aca="false">-($D$72+$J$72)*(Q$5=0)+IF(AND(Q$5-$K$72&gt;=1,Q$5-$K$72&lt;=Inputs!$C$13),INDEX($N$75:$AL$75,1,Q$5-$K$72+1)*INDEX($N$76:$AL$76,1,Q$5-$K$72+1),0)-$I$72*((Q$5=Inputs!$C$12)*$C$74*$D$72+(Q$5=Inputs!$C$13)*$D$74*($D$72+Inputs!$C$14))+$I$72*((Q$5=Inputs!$C$15+$K$72)*$E$74*$I$74+(Q$5=Inputs!$C$16+$K$72)*$F$74*$J$74+(Q$5=Inputs!$C$17)*$G$74*$H$72*$H$74)</f>
        <v>134.4</v>
      </c>
      <c r="R77" s="42" t="n">
        <f aca="false">-($D$72+$J$72)*(R$5=0)+IF(AND(R$5-$K$72&gt;=1,R$5-$K$72&lt;=Inputs!$C$13),INDEX($N$75:$AL$75,1,R$5-$K$72+1)*INDEX($N$76:$AL$76,1,R$5-$K$72+1),0)-$I$72*((R$5=Inputs!$C$12)*$C$74*$D$72+(R$5=Inputs!$C$13)*$D$74*($D$72+Inputs!$C$14))+$I$72*((R$5=Inputs!$C$15+$K$72)*$E$74*$I$74+(R$5=Inputs!$C$16+$K$72)*$F$74*$J$74+(R$5=Inputs!$C$17)*$G$74*$H$72*$H$74)</f>
        <v>120.96</v>
      </c>
      <c r="S77" s="42" t="n">
        <f aca="false">-($D$72+$J$72)*(S$5=0)+IF(AND(S$5-$K$72&gt;=1,S$5-$K$72&lt;=Inputs!$C$13),INDEX($N$75:$AL$75,1,S$5-$K$72+1)*INDEX($N$76:$AL$76,1,S$5-$K$72+1),0)-$I$72*((S$5=Inputs!$C$12)*$C$74*$D$72+(S$5=Inputs!$C$13)*$D$74*($D$72+Inputs!$C$14))+$I$72*((S$5=Inputs!$C$15+$K$72)*$E$74*$I$74+(S$5=Inputs!$C$16+$K$72)*$F$74*$J$74+(S$5=Inputs!$C$17)*$G$74*$H$72*$H$74)</f>
        <v>94.8266666666667</v>
      </c>
      <c r="T77" s="42" t="n">
        <f aca="false">-($D$72+$J$72)*(T$5=0)+IF(AND(T$5-$K$72&gt;=1,T$5-$K$72&lt;=Inputs!$C$13),INDEX($N$75:$AL$75,1,T$5-$K$72+1)*INDEX($N$76:$AL$76,1,T$5-$K$72+1),0)-$I$72*((T$5=Inputs!$C$12)*$C$74*$D$72+(T$5=Inputs!$C$13)*$D$74*($D$72+Inputs!$C$14))+$I$72*((T$5=Inputs!$C$15+$K$72)*$E$74*$I$74+(T$5=Inputs!$C$16+$K$72)*$F$74*$J$74+(T$5=Inputs!$C$17)*$G$74*$H$72*$H$74)</f>
        <v>96.1333333333334</v>
      </c>
      <c r="U77" s="42" t="n">
        <f aca="false">-($D$72+$J$72)*(U$5=0)+IF(AND(U$5-$K$72&gt;=1,U$5-$K$72&lt;=Inputs!$C$13),INDEX($N$75:$AL$75,1,U$5-$K$72+1)*INDEX($N$76:$AL$76,1,U$5-$K$72+1),0)-$I$72*((U$5=Inputs!$C$12)*$C$74*$D$72+(U$5=Inputs!$C$13)*$D$74*($D$72+Inputs!$C$14))+$I$72*((U$5=Inputs!$C$15+$K$72)*$E$74*$I$74+(U$5=Inputs!$C$16+$K$72)*$F$74*$J$74+(U$5=Inputs!$C$17)*$G$74*$H$72*$H$74)</f>
        <v>97.44</v>
      </c>
      <c r="V77" s="42" t="n">
        <f aca="false">-($D$72+$J$72)*(V$5=0)+IF(AND(V$5-$K$72&gt;=1,V$5-$K$72&lt;=Inputs!$C$13),INDEX($N$75:$AL$75,1,V$5-$K$72+1)*INDEX($N$76:$AL$76,1,V$5-$K$72+1),0)-$I$72*((V$5=Inputs!$C$12)*$C$74*$D$72+(V$5=Inputs!$C$13)*$D$74*($D$72+Inputs!$C$14))+$I$72*((V$5=Inputs!$C$15+$K$72)*$E$74*$I$74+(V$5=Inputs!$C$16+$K$72)*$F$74*$J$74+(V$5=Inputs!$C$17)*$G$74*$H$72*$H$74)</f>
        <v>61.1288888888889</v>
      </c>
      <c r="W77" s="42" t="n">
        <f aca="false">-($D$72+$J$72)*(W$5=0)+IF(AND(W$5-$K$72&gt;=1,W$5-$K$72&lt;=Inputs!$C$13),INDEX($N$75:$AL$75,1,W$5-$K$72+1)*INDEX($N$76:$AL$76,1,W$5-$K$72+1),0)-$I$72*((W$5=Inputs!$C$12)*$C$74*$D$72+(W$5=Inputs!$C$13)*$D$74*($D$72+Inputs!$C$14))+$I$72*((W$5=Inputs!$C$15+$K$72)*$E$74*$I$74+(W$5=Inputs!$C$16+$K$72)*$F$74*$J$74+(W$5=Inputs!$C$17)*$G$74*$H$72*$H$74)</f>
        <v>61.9377777777778</v>
      </c>
      <c r="X77" s="42" t="n">
        <f aca="false">-($D$72+$J$72)*(X$5=0)+IF(AND(X$5-$K$72&gt;=1,X$5-$K$72&lt;=Inputs!$C$13),INDEX($N$75:$AL$75,1,X$5-$K$72+1)*INDEX($N$76:$AL$76,1,X$5-$K$72+1),0)-$I$72*((X$5=Inputs!$C$12)*$C$74*$D$72+(X$5=Inputs!$C$13)*$D$74*($D$72+Inputs!$C$14))+$I$72*((X$5=Inputs!$C$15+$K$72)*$E$74*$I$74+(X$5=Inputs!$C$16+$K$72)*$F$74*$J$74+(X$5=Inputs!$C$17)*$G$74*$H$72*$H$74)</f>
        <v>62.7466666666667</v>
      </c>
      <c r="Y77" s="42" t="n">
        <f aca="false">-($D$72+$J$72)*(Y$5=0)+IF(AND(Y$5-$K$72&gt;=1,Y$5-$K$72&lt;=Inputs!$C$13),INDEX($N$75:$AL$75,1,Y$5-$K$72+1)*INDEX($N$76:$AL$76,1,Y$5-$K$72+1),0)-$I$72*((Y$5=Inputs!$C$12)*$C$74*$D$72+(Y$5=Inputs!$C$13)*$D$74*($D$72+Inputs!$C$14))+$I$72*((Y$5=Inputs!$C$15+$K$72)*$E$74*$I$74+(Y$5=Inputs!$C$16+$K$72)*$F$74*$J$74+(Y$5=Inputs!$C$17)*$G$74*$H$72*$H$74)</f>
        <v>53.7777777777777</v>
      </c>
      <c r="Z77" s="42" t="n">
        <f aca="false">-($D$72+$J$72)*(Z$5=0)+IF(AND(Z$5-$K$72&gt;=1,Z$5-$K$72&lt;=Inputs!$C$13),INDEX($N$75:$AL$75,1,Z$5-$K$72+1)*INDEX($N$76:$AL$76,1,Z$5-$K$72+1),0)-$I$72*((Z$5=Inputs!$C$12)*$C$74*$D$72+(Z$5=Inputs!$C$13)*$D$74*($D$72+Inputs!$C$14))+$I$72*((Z$5=Inputs!$C$15+$K$72)*$E$74*$I$74+(Z$5=Inputs!$C$16+$K$72)*$F$74*$J$74+(Z$5=Inputs!$C$17)*$G$74*$H$72*$H$74)</f>
        <v>-572.737777777778</v>
      </c>
      <c r="AA77" s="42" t="n">
        <f aca="false">-($D$72+$J$72)*(AA$5=0)+IF(AND(AA$5-$K$72&gt;=1,AA$5-$K$72&lt;=Inputs!$C$13),INDEX($N$75:$AL$75,1,AA$5-$K$72+1)*INDEX($N$76:$AL$76,1,AA$5-$K$72+1),0)-$I$72*((AA$5=Inputs!$C$12)*$C$74*$D$72+(AA$5=Inputs!$C$13)*$D$74*($D$72+Inputs!$C$14))+$I$72*((AA$5=Inputs!$C$15+$K$72)*$E$74*$I$74+(AA$5=Inputs!$C$16+$K$72)*$F$74*$J$74+(AA$5=Inputs!$C$17)*$G$74*$H$72*$H$74)</f>
        <v>55.1466666666666</v>
      </c>
      <c r="AB77" s="42" t="n">
        <f aca="false">-($D$72+$J$72)*(AB$5=0)+IF(AND(AB$5-$K$72&gt;=1,AB$5-$K$72&lt;=Inputs!$C$13),INDEX($N$75:$AL$75,1,AB$5-$K$72+1)*INDEX($N$76:$AL$76,1,AB$5-$K$72+1),0)-$I$72*((AB$5=Inputs!$C$12)*$C$74*$D$72+(AB$5=Inputs!$C$13)*$D$74*($D$72+Inputs!$C$14))+$I$72*((AB$5=Inputs!$C$15+$K$72)*$E$74*$I$74+(AB$5=Inputs!$C$16+$K$72)*$F$74*$J$74+(AB$5=Inputs!$C$17)*$G$74*$H$72*$H$74)</f>
        <v>65.8435555555555</v>
      </c>
      <c r="AC77" s="42" t="n">
        <f aca="false">-($D$72+$J$72)*(AC$5=0)+IF(AND(AC$5-$K$72&gt;=1,AC$5-$K$72&lt;=Inputs!$C$13),INDEX($N$75:$AL$75,1,AC$5-$K$72+1)*INDEX($N$76:$AL$76,1,AC$5-$K$72+1),0)-$I$72*((AC$5=Inputs!$C$12)*$C$74*$D$72+(AC$5=Inputs!$C$13)*$D$74*($D$72+Inputs!$C$14))+$I$72*((AC$5=Inputs!$C$15+$K$72)*$E$74*$I$74+(AC$5=Inputs!$C$16+$K$72)*$F$74*$J$74+(AC$5=Inputs!$C$17)*$G$74*$H$72*$H$74)</f>
        <v>66.7271111111111</v>
      </c>
      <c r="AD77" s="42" t="n">
        <f aca="false">-($D$72+$J$72)*(AD$5=0)+IF(AND(AD$5-$K$72&gt;=1,AD$5-$K$72&lt;=Inputs!$C$13),INDEX($N$75:$AL$75,1,AD$5-$K$72+1)*INDEX($N$76:$AL$76,1,AD$5-$K$72+1),0)-$I$72*((AD$5=Inputs!$C$12)*$C$74*$D$72+(AD$5=Inputs!$C$13)*$D$74*($D$72+Inputs!$C$14))+$I$72*((AD$5=Inputs!$C$15+$K$72)*$E$74*$I$74+(AD$5=Inputs!$C$16+$K$72)*$F$74*$J$74+(AD$5=Inputs!$C$17)*$G$74*$H$72*$H$74)</f>
        <v>67.6106666666669</v>
      </c>
      <c r="AE77" s="42" t="n">
        <f aca="false">-($D$72+$J$72)*(AE$5=0)+IF(AND(AE$5-$K$72&gt;=1,AE$5-$K$72&lt;=Inputs!$C$13),INDEX($N$75:$AL$75,1,AE$5-$K$72+1)*INDEX($N$76:$AL$76,1,AE$5-$K$72+1),0)-$I$72*((AE$5=Inputs!$C$12)*$C$74*$D$72+(AE$5=Inputs!$C$13)*$D$74*($D$72+Inputs!$C$14))+$I$72*((AE$5=Inputs!$C$15+$K$72)*$E$74*$I$74+(AE$5=Inputs!$C$16+$K$72)*$F$74*$J$74+(AE$5=Inputs!$C$17)*$G$74*$H$72*$H$74)</f>
        <v>68.4942222222222</v>
      </c>
      <c r="AF77" s="42" t="n">
        <f aca="false">-($D$72+$J$72)*(AF$5=0)+IF(AND(AF$5-$K$72&gt;=1,AF$5-$K$72&lt;=Inputs!$C$13),INDEX($N$75:$AL$75,1,AF$5-$K$72+1)*INDEX($N$76:$AL$76,1,AF$5-$K$72+1),0)-$I$72*((AF$5=Inputs!$C$12)*$C$74*$D$72+(AF$5=Inputs!$C$13)*$D$74*($D$72+Inputs!$C$14))+$I$72*((AF$5=Inputs!$C$15+$K$72)*$E$74*$I$74+(AF$5=Inputs!$C$16+$K$72)*$F$74*$J$74+(AF$5=Inputs!$C$17)*$G$74*$H$72*$H$74)</f>
        <v>69.3777777777777</v>
      </c>
      <c r="AG77" s="42" t="n">
        <f aca="false">-($D$72+$J$72)*(AG$5=0)+IF(AND(AG$5-$K$72&gt;=1,AG$5-$K$72&lt;=Inputs!$C$13),INDEX($N$75:$AL$75,1,AG$5-$K$72+1)*INDEX($N$76:$AL$76,1,AG$5-$K$72+1),0)-$I$72*((AG$5=Inputs!$C$12)*$C$74*$D$72+(AG$5=Inputs!$C$13)*$D$74*($D$72+Inputs!$C$14))+$I$72*((AG$5=Inputs!$C$15+$K$72)*$E$74*$I$74+(AG$5=Inputs!$C$16+$K$72)*$F$74*$J$74+(AG$5=Inputs!$C$17)*$G$74*$H$72*$H$74)</f>
        <v>70.2613333333333</v>
      </c>
      <c r="AH77" s="42" t="n">
        <f aca="false">-($D$72+$J$72)*(AH$5=0)+IF(AND(AH$5-$K$72&gt;=1,AH$5-$K$72&lt;=Inputs!$C$13),INDEX($N$75:$AL$75,1,AH$5-$K$72+1)*INDEX($N$76:$AL$76,1,AH$5-$K$72+1),0)-$I$72*((AH$5=Inputs!$C$12)*$C$74*$D$72+(AH$5=Inputs!$C$13)*$D$74*($D$72+Inputs!$C$14))+$I$72*((AH$5=Inputs!$C$15+$K$72)*$E$74*$I$74+(AH$5=Inputs!$C$16+$K$72)*$F$74*$J$74+(AH$5=Inputs!$C$17)*$G$74*$H$72*$H$74)</f>
        <v>50.8177777777779</v>
      </c>
      <c r="AI77" s="42" t="n">
        <f aca="false">-($D$72+$J$72)*(AI$5=0)+IF(AND(AI$5-$K$72&gt;=1,AI$5-$K$72&lt;=Inputs!$C$13),INDEX($N$75:$AL$75,1,AI$5-$K$72+1)*INDEX($N$76:$AL$76,1,AI$5-$K$72+1),0)-$I$72*((AI$5=Inputs!$C$12)*$C$74*$D$72+(AI$5=Inputs!$C$13)*$D$74*($D$72+Inputs!$C$14))+$I$72*((AI$5=Inputs!$C$15+$K$72)*$E$74*$I$74+(AI$5=Inputs!$C$16+$K$72)*$F$74*$J$74+(AI$5=Inputs!$C$17)*$G$74*$H$72*$H$74)</f>
        <v>51.4488888888887</v>
      </c>
      <c r="AJ77" s="42" t="n">
        <f aca="false">-($D$72+$J$72)*(AJ$5=0)+IF(AND(AJ$5-$K$72&gt;=1,AJ$5-$K$72&lt;=Inputs!$C$13),INDEX($N$75:$AL$75,1,AJ$5-$K$72+1)*INDEX($N$76:$AL$76,1,AJ$5-$K$72+1),0)-$I$72*((AJ$5=Inputs!$C$12)*$C$74*$D$72+(AJ$5=Inputs!$C$13)*$D$74*($D$72+Inputs!$C$14))+$I$72*((AJ$5=Inputs!$C$15+$K$72)*$E$74*$I$74+(AJ$5=Inputs!$C$16+$K$72)*$F$74*$J$74+(AJ$5=Inputs!$C$17)*$G$74*$H$72*$H$74)</f>
        <v>52.0799999999998</v>
      </c>
      <c r="AK77" s="42" t="n">
        <f aca="false">-($D$72+$J$72)*(AK$5=0)+IF(AND(AK$5-$K$72&gt;=1,AK$5-$K$72&lt;=Inputs!$C$13),INDEX($N$75:$AL$75,1,AK$5-$K$72+1)*INDEX($N$76:$AL$76,1,AK$5-$K$72+1),0)-$I$72*((AK$5=Inputs!$C$12)*$C$74*$D$72+(AK$5=Inputs!$C$13)*$D$74*($D$72+Inputs!$C$14))+$I$72*((AK$5=Inputs!$C$15+$K$72)*$E$74*$I$74+(AK$5=Inputs!$C$16+$K$72)*$F$74*$J$74+(AK$5=Inputs!$C$17)*$G$74*$H$72*$H$74)</f>
        <v>52.7111111111113</v>
      </c>
      <c r="AL77" s="42" t="n">
        <f aca="false">-($D$72+$J$72)*(AL$5=0)+IF(AND(AL$5-$K$72&gt;=1,AL$5-$K$72&lt;=Inputs!$C$13),INDEX($N$75:$AL$75,1,AL$5-$K$72+1)*INDEX($N$76:$AL$76,1,AL$5-$K$72+1),0)-$I$72*((AL$5=Inputs!$C$12)*$C$74*$D$72+(AL$5=Inputs!$C$13)*$D$74*($D$72+Inputs!$C$14))+$I$72*((AL$5=Inputs!$C$15+$K$72)*$E$74*$I$74+(AL$5=Inputs!$C$16+$K$72)*$F$74*$J$74+(AL$5=Inputs!$C$17)*$G$74*$H$72*$H$74)</f>
        <v>-626.657777777778</v>
      </c>
      <c r="AM77" s="42" t="n">
        <f aca="false">-($D$72+$J$72)*(AM$5=0)+IF(AND(AM$5-$K$72&gt;=1,AM$5-$K$72&lt;=Inputs!$C$13),INDEX($N$75:$AL$75,1,AM$5-$K$72+1)*INDEX($N$76:$AL$76,1,AM$5-$K$72+1),0)-$I$72*((AM$5=Inputs!$C$12)*$C$74*$D$72+(AM$5=Inputs!$C$13)*$D$74*($D$72+Inputs!$C$14))+$I$72*((AM$5=Inputs!$C$15+$K$72)*$E$74*$I$74+(AM$5=Inputs!$C$16+$K$72)*$F$74*$J$74+(AM$5=Inputs!$C$17)*$G$74*$H$72*$H$74)</f>
        <v>53.9733333333331</v>
      </c>
      <c r="AN77" s="42" t="n">
        <f aca="false">-($D$72+$J$72)*(AN$5=0)+IF(AND(AN$5-$K$72&gt;=1,AN$5-$K$72&lt;=Inputs!$C$13),INDEX($N$75:$AL$75,1,AN$5-$K$72+1)*INDEX($N$76:$AL$76,1,AN$5-$K$72+1),0)-$I$72*((AN$5=Inputs!$C$12)*$C$74*$D$72+(AN$5=Inputs!$C$13)*$D$74*($D$72+Inputs!$C$14))+$I$72*((AN$5=Inputs!$C$15+$K$72)*$E$74*$I$74+(AN$5=Inputs!$C$16+$K$72)*$F$74*$J$74+(AN$5=Inputs!$C$17)*$G$74*$H$72*$H$74)</f>
        <v>0</v>
      </c>
      <c r="AO77" s="42" t="n">
        <f aca="false">-($D$72+$J$72)*(AO$5=0)+IF(AND(AO$5-$K$72&gt;=1,AO$5-$K$72&lt;=Inputs!$C$13),INDEX($N$75:$AL$75,1,AO$5-$K$72+1)*INDEX($N$76:$AL$76,1,AO$5-$K$72+1),0)-$I$72*((AO$5=Inputs!$C$12)*$C$74*$D$72+(AO$5=Inputs!$C$13)*$D$74*($D$72+Inputs!$C$14))+$I$72*((AO$5=Inputs!$C$15+$K$72)*$E$74*$I$74+(AO$5=Inputs!$C$16+$K$72)*$F$74*$J$74+(AO$5=Inputs!$C$17)*$G$74*$H$72*$H$74)</f>
        <v>0</v>
      </c>
      <c r="AP77" s="42" t="n">
        <f aca="false">-($D$72+$J$72)*(AP$5=0)+IF(AND(AP$5-$K$72&gt;=1,AP$5-$K$72&lt;=Inputs!$C$13),INDEX($N$75:$AL$75,1,AP$5-$K$72+1)*INDEX($N$76:$AL$76,1,AP$5-$K$72+1),0)-$I$72*((AP$5=Inputs!$C$12)*$C$74*$D$72+(AP$5=Inputs!$C$13)*$D$74*($D$72+Inputs!$C$14))+$I$72*((AP$5=Inputs!$C$15+$K$72)*$E$74*$I$74+(AP$5=Inputs!$C$16+$K$72)*$F$74*$J$74+(AP$5=Inputs!$C$17)*$G$74*$H$72*$H$74)</f>
        <v>612.96</v>
      </c>
      <c r="AQ77" s="42" t="n">
        <f aca="false">-($D$72+$J$72)*(AQ$5=0)+IF(AND(AQ$5-$K$72&gt;=1,AQ$5-$K$72&lt;=Inputs!$C$13),INDEX($N$75:$AL$75,1,AQ$5-$K$72+1)*INDEX($N$76:$AL$76,1,AQ$5-$K$72+1),0)-$I$72*((AQ$5=Inputs!$C$12)*$C$74*$D$72+(AQ$5=Inputs!$C$13)*$D$74*($D$72+Inputs!$C$14))+$I$72*((AQ$5=Inputs!$C$15+$K$72)*$E$74*$I$74+(AQ$5=Inputs!$C$16+$K$72)*$F$74*$J$74+(AQ$5=Inputs!$C$17)*$G$74*$H$72*$H$74)</f>
        <v>0</v>
      </c>
      <c r="AR77" s="42" t="n">
        <f aca="false">-($D$72+$J$72)*(AR$5=0)+IF(AND(AR$5-$K$72&gt;=1,AR$5-$K$72&lt;=Inputs!$C$13),INDEX($N$75:$AL$75,1,AR$5-$K$72+1)*INDEX($N$76:$AL$76,1,AR$5-$K$72+1),0)-$I$72*((AR$5=Inputs!$C$12)*$C$74*$D$72+(AR$5=Inputs!$C$13)*$D$74*($D$72+Inputs!$C$14))+$I$72*((AR$5=Inputs!$C$15+$K$72)*$E$74*$I$74+(AR$5=Inputs!$C$16+$K$72)*$F$74*$J$74+(AR$5=Inputs!$C$17)*$G$74*$H$72*$H$74)</f>
        <v>0</v>
      </c>
      <c r="AS77" s="42" t="n">
        <f aca="false">-($D$72+$J$72)*(AS$5=0)+IF(AND(AS$5-$K$72&gt;=1,AS$5-$K$72&lt;=Inputs!$C$13),INDEX($N$75:$AL$75,1,AS$5-$K$72+1)*INDEX($N$76:$AL$76,1,AS$5-$K$72+1),0)-$I$72*((AS$5=Inputs!$C$12)*$C$74*$D$72+(AS$5=Inputs!$C$13)*$D$74*($D$72+Inputs!$C$14))+$I$72*((AS$5=Inputs!$C$15+$K$72)*$E$74*$I$74+(AS$5=Inputs!$C$16+$K$72)*$F$74*$J$74+(AS$5=Inputs!$C$17)*$G$74*$H$72*$H$74)</f>
        <v>472.56</v>
      </c>
      <c r="AT77" s="42" t="n">
        <f aca="false">-($D$72+$J$72)*(AT$5=0)+IF(AND(AT$5-$K$72&gt;=1,AT$5-$K$72&lt;=Inputs!$C$13),INDEX($N$75:$AL$75,1,AT$5-$K$72+1)*INDEX($N$76:$AL$76,1,AT$5-$K$72+1),0)-$I$72*((AT$5=Inputs!$C$12)*$C$74*$D$72+(AT$5=Inputs!$C$13)*$D$74*($D$72+Inputs!$C$14))+$I$72*((AT$5=Inputs!$C$15+$K$72)*$E$74*$I$74+(AT$5=Inputs!$C$16+$K$72)*$F$74*$J$74+(AT$5=Inputs!$C$17)*$G$74*$H$72*$H$74)</f>
        <v>0</v>
      </c>
      <c r="AU77" s="42" t="n">
        <f aca="false">-($D$72+$J$72)*(AU$5=0)+IF(AND(AU$5-$K$72&gt;=1,AU$5-$K$72&lt;=Inputs!$C$13),INDEX($N$75:$AL$75,1,AU$5-$K$72+1)*INDEX($N$76:$AL$76,1,AU$5-$K$72+1),0)-$I$72*((AU$5=Inputs!$C$12)*$C$74*$D$72+(AU$5=Inputs!$C$13)*$D$74*($D$72+Inputs!$C$14))+$I$72*((AU$5=Inputs!$C$15+$K$72)*$E$74*$I$74+(AU$5=Inputs!$C$16+$K$72)*$F$74*$J$74+(AU$5=Inputs!$C$17)*$G$74*$H$72*$H$74)</f>
        <v>0</v>
      </c>
      <c r="AV77" s="42" t="n">
        <f aca="false">-($D$72+$J$72)*(AV$5=0)+IF(AND(AV$5-$K$72&gt;=1,AV$5-$K$72&lt;=Inputs!$C$13),INDEX($N$75:$AL$75,1,AV$5-$K$72+1)*INDEX($N$76:$AL$76,1,AV$5-$K$72+1),0)-$I$72*((AV$5=Inputs!$C$12)*$C$74*$D$72+(AV$5=Inputs!$C$13)*$D$74*($D$72+Inputs!$C$14))+$I$72*((AV$5=Inputs!$C$15+$K$72)*$E$74*$I$74+(AV$5=Inputs!$C$16+$K$72)*$F$74*$J$74+(AV$5=Inputs!$C$17)*$G$74*$H$72*$H$74)</f>
        <v>0</v>
      </c>
      <c r="AW77" s="42" t="n">
        <f aca="false">-($D$72+$J$72)*(AW$5=0)+IF(AND(AW$5-$K$72&gt;=1,AW$5-$K$72&lt;=Inputs!$C$13),INDEX($N$75:$AL$75,1,AW$5-$K$72+1)*INDEX($N$76:$AL$76,1,AW$5-$K$72+1),0)-$I$72*((AW$5=Inputs!$C$12)*$C$74*$D$72+(AW$5=Inputs!$C$13)*$D$74*($D$72+Inputs!$C$14))+$I$72*((AW$5=Inputs!$C$15+$K$72)*$E$74*$I$74+(AW$5=Inputs!$C$16+$K$72)*$F$74*$J$74+(AW$5=Inputs!$C$17)*$G$74*$H$72*$H$74)</f>
        <v>0</v>
      </c>
      <c r="AX77" s="42" t="n">
        <f aca="false">-($D$72+$J$72)*(AX$5=0)+IF(AND(AX$5-$K$72&gt;=1,AX$5-$K$72&lt;=Inputs!$C$13),INDEX($N$75:$AL$75,1,AX$5-$K$72+1)*INDEX($N$76:$AL$76,1,AX$5-$K$72+1),0)-$I$72*((AX$5=Inputs!$C$12)*$C$74*$D$72+(AX$5=Inputs!$C$13)*$D$74*($D$72+Inputs!$C$14))+$I$72*((AX$5=Inputs!$C$15+$K$72)*$E$74*$I$74+(AX$5=Inputs!$C$16+$K$72)*$F$74*$J$74+(AX$5=Inputs!$C$17)*$G$74*$H$72*$H$74)</f>
        <v>277.2</v>
      </c>
      <c r="AY77" s="42" t="n">
        <f aca="false">-($D$72+$J$72)*(AY$5=0)+IF(AND(AY$5-$K$72&gt;=1,AY$5-$K$72&lt;=Inputs!$C$13),INDEX($N$75:$AL$75,1,AY$5-$K$72+1)*INDEX($N$76:$AL$76,1,AY$5-$K$72+1),0)-$I$72*((AY$5=Inputs!$C$12)*$C$74*$D$72+(AY$5=Inputs!$C$13)*$D$74*($D$72+Inputs!$C$14))+$I$72*((AY$5=Inputs!$C$15+$K$72)*$E$74*$I$74+(AY$5=Inputs!$C$16+$K$72)*$F$74*$J$74+(AY$5=Inputs!$C$17)*$G$74*$H$72*$H$74)</f>
        <v>0</v>
      </c>
    </row>
    <row r="79" customFormat="false" ht="15" hidden="false" customHeight="false" outlineLevel="0" collapsed="false">
      <c r="B79" s="7" t="s">
        <v>231</v>
      </c>
      <c r="C79" s="8"/>
      <c r="D79" s="8"/>
      <c r="E79" s="8"/>
      <c r="F79" s="8"/>
      <c r="G79" s="8"/>
      <c r="H79" s="8"/>
      <c r="I79" s="8"/>
      <c r="J79" s="8"/>
      <c r="K79" s="8"/>
      <c r="L79" s="8"/>
    </row>
    <row r="80" customFormat="false" ht="30" hidden="false" customHeight="true" outlineLevel="0" collapsed="false">
      <c r="B80" s="37"/>
      <c r="C80" s="38" t="s">
        <v>169</v>
      </c>
      <c r="D80" s="38" t="s">
        <v>170</v>
      </c>
      <c r="E80" s="38" t="s">
        <v>171</v>
      </c>
      <c r="F80" s="38" t="s">
        <v>43</v>
      </c>
      <c r="G80" s="38" t="s">
        <v>44</v>
      </c>
      <c r="H80" s="38" t="s">
        <v>45</v>
      </c>
      <c r="I80" s="38" t="s">
        <v>172</v>
      </c>
      <c r="J80" s="38" t="s">
        <v>90</v>
      </c>
      <c r="K80" s="38" t="s">
        <v>89</v>
      </c>
      <c r="L80" s="38" t="s">
        <v>173</v>
      </c>
    </row>
    <row r="81" customFormat="false" ht="15" hidden="false" customHeight="false" outlineLevel="0" collapsed="false">
      <c r="B81" s="39" t="s">
        <v>174</v>
      </c>
      <c r="C81" s="10" t="n">
        <v>0.0025</v>
      </c>
      <c r="D81" s="30" t="n">
        <f aca="false">Inputs!$E$23</f>
        <v>4200</v>
      </c>
      <c r="E81" s="26" t="n">
        <f aca="false">Inputs!$F$23</f>
        <v>0.985</v>
      </c>
      <c r="F81" s="25" t="n">
        <f aca="false">Inputs!$G$23</f>
        <v>0.8</v>
      </c>
      <c r="G81" s="25" t="n">
        <f aca="false">Inputs!$H$23</f>
        <v>0.95</v>
      </c>
      <c r="H81" s="25" t="n">
        <f aca="false">Inputs!$I$23</f>
        <v>0.9</v>
      </c>
      <c r="I81" s="22" t="n">
        <f aca="false">Inputs!$J$23</f>
        <v>1</v>
      </c>
      <c r="J81" s="23" t="n">
        <f aca="false">Inputs!$C$9</f>
        <v>10</v>
      </c>
      <c r="K81" s="22" t="n">
        <f aca="false">Inputs!$C$10</f>
        <v>1</v>
      </c>
      <c r="L81" s="22" t="n">
        <f aca="false">1</f>
        <v>1</v>
      </c>
    </row>
    <row r="82" customFormat="false" ht="30" hidden="false" customHeight="true" outlineLevel="0" collapsed="false">
      <c r="B82" s="37"/>
      <c r="C82" s="38" t="s">
        <v>175</v>
      </c>
      <c r="D82" s="38" t="s">
        <v>176</v>
      </c>
      <c r="E82" s="38" t="s">
        <v>177</v>
      </c>
      <c r="F82" s="38" t="s">
        <v>178</v>
      </c>
      <c r="G82" s="38" t="s">
        <v>112</v>
      </c>
      <c r="H82" s="38" t="s">
        <v>179</v>
      </c>
      <c r="I82" s="38" t="s">
        <v>180</v>
      </c>
      <c r="J82" s="38" t="s">
        <v>181</v>
      </c>
      <c r="K82" s="38" t="s">
        <v>182</v>
      </c>
      <c r="L82" s="38" t="s">
        <v>183</v>
      </c>
    </row>
    <row r="83" customFormat="false" ht="15" hidden="false" customHeight="false" outlineLevel="0" collapsed="false">
      <c r="B83" s="39" t="s">
        <v>184</v>
      </c>
      <c r="C83" s="40" t="n">
        <f aca="false">1-$E$81*CHOOSE($L$81,INDEX(Timing!$C$7:$AA$7,1,Inputs!$C$12+1),INDEX(Timing!$C$8:$AA$8,1,Inputs!$C$12+1))</f>
        <v>0.2514</v>
      </c>
      <c r="D83" s="40" t="n">
        <f aca="false">1-$E$81*CHOOSE($L$81,INDEX(Timing!$C$7:$AA$7,1,Inputs!$C$13+1),INDEX(Timing!$C$8:$AA$8,1,Inputs!$C$13+1))</f>
        <v>0.015</v>
      </c>
      <c r="E83" s="40" t="n">
        <f aca="false">$I$81*$D$83*$F$81</f>
        <v>0.012</v>
      </c>
      <c r="F83" s="40" t="n">
        <f aca="false">$I$81*($D$83-$E$83)*$G$81</f>
        <v>0.00285</v>
      </c>
      <c r="G83" s="40" t="n">
        <f aca="false">$I$81*($D$83-$E$83-$F$83)</f>
        <v>0.00015</v>
      </c>
      <c r="H83" s="23" t="n">
        <f aca="false">$I$81*(3*$D$81+Inputs!$C$14)</f>
        <v>14400</v>
      </c>
      <c r="I83" s="23" t="n">
        <f aca="false">$I$81*($D$81*(1+IF($C$81&lt;=0,0,MAX($C$81*Inputs!$C$15/12,Inputs!$C$8)))+$D$81*(1+Inputs!$C$11*(Inputs!$C$15-Inputs!$C$12)/12)+$D$81*(1+Inputs!$C$11*(Inputs!$C$15-Inputs!$C$13)/12)+Inputs!$C$14)</f>
        <v>15744</v>
      </c>
      <c r="J83" s="23" t="n">
        <f aca="false">$I$81*($D$81*(1+IF($C$81&lt;=0,0,MAX($C$81*Inputs!$C$16/12,Inputs!$C$8)))+$D$81*(1+Inputs!$C$11*(Inputs!$C$16-Inputs!$C$12)/12)+$D$81*(1+Inputs!$C$11*(Inputs!$C$16-Inputs!$C$13)/12)+Inputs!$C$14)</f>
        <v>16122</v>
      </c>
      <c r="K83" s="40" t="n">
        <f aca="false">IRR($N$86:$AY$86,0.005)</f>
        <v>0.00617231425722721</v>
      </c>
      <c r="L83" s="41" t="n">
        <f aca="false">(1+$K$83)^12-1</f>
        <v>0.0766346621551932</v>
      </c>
    </row>
    <row r="84" customFormat="false" ht="15" hidden="false" customHeight="false" outlineLevel="0" collapsed="false">
      <c r="B84" s="9" t="s">
        <v>185</v>
      </c>
      <c r="N84" s="40" t="n">
        <f aca="false">0</f>
        <v>0</v>
      </c>
      <c r="O84" s="40" t="n">
        <f aca="false">$E$81*(CHOOSE($L$81,Timing!D$7,Timing!D$8)-CHOOSE($L$81,Timing!C$7,Timing!C$8))</f>
        <v>0.1182</v>
      </c>
      <c r="P84" s="40" t="n">
        <f aca="false">$E$81*(CHOOSE($L$81,Timing!E$7,Timing!E$8)-CHOOSE($L$81,Timing!D$7,Timing!D$8))</f>
        <v>0.0985</v>
      </c>
      <c r="Q84" s="40" t="n">
        <f aca="false">$E$81*(CHOOSE($L$81,Timing!F$7,Timing!F$8)-CHOOSE($L$81,Timing!E$7,Timing!E$8))</f>
        <v>0.08865</v>
      </c>
      <c r="R84" s="40" t="n">
        <f aca="false">$E$81*(CHOOSE($L$81,Timing!G$7,Timing!G$8)-CHOOSE($L$81,Timing!F$7,Timing!F$8))</f>
        <v>0.06895</v>
      </c>
      <c r="S84" s="40" t="n">
        <f aca="false">$E$81*(CHOOSE($L$81,Timing!H$7,Timing!H$8)-CHOOSE($L$81,Timing!G$7,Timing!G$8))</f>
        <v>0.06895</v>
      </c>
      <c r="T84" s="40" t="n">
        <f aca="false">$E$81*(CHOOSE($L$81,Timing!I$7,Timing!I$8)-CHOOSE($L$81,Timing!H$7,Timing!H$8))</f>
        <v>0.06895</v>
      </c>
      <c r="U84" s="40" t="n">
        <f aca="false">$E$81*(CHOOSE($L$81,Timing!J$7,Timing!J$8)-CHOOSE($L$81,Timing!I$7,Timing!I$8))</f>
        <v>0.0426833333333333</v>
      </c>
      <c r="V84" s="40" t="n">
        <f aca="false">$E$81*(CHOOSE($L$81,Timing!K$7,Timing!K$8)-CHOOSE($L$81,Timing!J$7,Timing!J$8))</f>
        <v>0.0426833333333333</v>
      </c>
      <c r="W84" s="40" t="n">
        <f aca="false">$E$81*(CHOOSE($L$81,Timing!L$7,Timing!L$8)-CHOOSE($L$81,Timing!K$7,Timing!K$8))</f>
        <v>0.0426833333333333</v>
      </c>
      <c r="X84" s="40" t="n">
        <f aca="false">$E$81*(CHOOSE($L$81,Timing!M$7,Timing!M$8)-CHOOSE($L$81,Timing!L$7,Timing!L$8))</f>
        <v>0.0361166666666666</v>
      </c>
      <c r="Y84" s="40" t="n">
        <f aca="false">$E$81*(CHOOSE($L$81,Timing!N$7,Timing!N$8)-CHOOSE($L$81,Timing!M$7,Timing!M$8))</f>
        <v>0.0361166666666667</v>
      </c>
      <c r="Z84" s="40" t="n">
        <f aca="false">$E$81*(CHOOSE($L$81,Timing!O$7,Timing!O$8)-CHOOSE($L$81,Timing!N$7,Timing!N$8))</f>
        <v>0.0361166666666666</v>
      </c>
      <c r="AA84" s="40" t="n">
        <f aca="false">$E$81*(CHOOSE($L$81,Timing!P$7,Timing!P$8)-CHOOSE($L$81,Timing!O$7,Timing!O$8))</f>
        <v>0.0229833333333333</v>
      </c>
      <c r="AB84" s="40" t="n">
        <f aca="false">$E$81*(CHOOSE($L$81,Timing!Q$7,Timing!Q$8)-CHOOSE($L$81,Timing!P$7,Timing!P$8))</f>
        <v>0.0229833333333333</v>
      </c>
      <c r="AC84" s="40" t="n">
        <f aca="false">$E$81*(CHOOSE($L$81,Timing!R$7,Timing!R$8)-CHOOSE($L$81,Timing!Q$7,Timing!Q$8))</f>
        <v>0.0229833333333334</v>
      </c>
      <c r="AD84" s="40" t="n">
        <f aca="false">$E$81*(CHOOSE($L$81,Timing!S$7,Timing!S$8)-CHOOSE($L$81,Timing!R$7,Timing!R$8))</f>
        <v>0.0229833333333333</v>
      </c>
      <c r="AE84" s="40" t="n">
        <f aca="false">$E$81*(CHOOSE($L$81,Timing!T$7,Timing!T$8)-CHOOSE($L$81,Timing!S$7,Timing!S$8))</f>
        <v>0.0229833333333333</v>
      </c>
      <c r="AF84" s="40" t="n">
        <f aca="false">$E$81*(CHOOSE($L$81,Timing!U$7,Timing!U$8)-CHOOSE($L$81,Timing!T$7,Timing!T$8))</f>
        <v>0.0229833333333333</v>
      </c>
      <c r="AG84" s="40" t="n">
        <f aca="false">$E$81*(CHOOSE($L$81,Timing!V$7,Timing!V$8)-CHOOSE($L$81,Timing!U$7,Timing!U$8))</f>
        <v>0.0164166666666667</v>
      </c>
      <c r="AH84" s="40" t="n">
        <f aca="false">$E$81*(CHOOSE($L$81,Timing!W$7,Timing!W$8)-CHOOSE($L$81,Timing!V$7,Timing!V$8))</f>
        <v>0.0164166666666666</v>
      </c>
      <c r="AI84" s="40" t="n">
        <f aca="false">$E$81*(CHOOSE($L$81,Timing!X$7,Timing!X$8)-CHOOSE($L$81,Timing!W$7,Timing!W$8))</f>
        <v>0.0164166666666666</v>
      </c>
      <c r="AJ84" s="40" t="n">
        <f aca="false">$E$81*(CHOOSE($L$81,Timing!Y$7,Timing!Y$8)-CHOOSE($L$81,Timing!X$7,Timing!X$8))</f>
        <v>0.0164166666666667</v>
      </c>
      <c r="AK84" s="40" t="n">
        <f aca="false">$E$81*(CHOOSE($L$81,Timing!Z$7,Timing!Z$8)-CHOOSE($L$81,Timing!Y$7,Timing!Y$8))</f>
        <v>0.0164166666666667</v>
      </c>
      <c r="AL84" s="40" t="n">
        <f aca="false">$E$81*(CHOOSE($L$81,Timing!AA$7,Timing!AA$8)-CHOOSE($L$81,Timing!Z$7,Timing!Z$8))</f>
        <v>0.0164166666666666</v>
      </c>
    </row>
    <row r="85" customFormat="false" ht="15" hidden="false" customHeight="false" outlineLevel="0" collapsed="false">
      <c r="B85" s="9" t="s">
        <v>186</v>
      </c>
      <c r="N85" s="42" t="n">
        <f aca="false">0</f>
        <v>0</v>
      </c>
      <c r="O85" s="42" t="n">
        <f aca="false">$D$81*(1+IF($C$81&lt;=0,0,MAX($C$81*O$5/12,Inputs!$C$8)))+$I$81*(O$5&gt;Inputs!$C$12)*$D$81*(1+Inputs!$C$11*(O$5-Inputs!$C$12)/12)</f>
        <v>4410</v>
      </c>
      <c r="P85" s="42" t="n">
        <f aca="false">$D$81*(1+IF($C$81&lt;=0,0,MAX($C$81*P$5/12,Inputs!$C$8)))+$I$81*(P$5&gt;Inputs!$C$12)*$D$81*(1+Inputs!$C$11*(P$5-Inputs!$C$12)/12)</f>
        <v>4410</v>
      </c>
      <c r="Q85" s="42" t="n">
        <f aca="false">$D$81*(1+IF($C$81&lt;=0,0,MAX($C$81*Q$5/12,Inputs!$C$8)))+$I$81*(Q$5&gt;Inputs!$C$12)*$D$81*(1+Inputs!$C$11*(Q$5-Inputs!$C$12)/12)</f>
        <v>4410</v>
      </c>
      <c r="R85" s="42" t="n">
        <f aca="false">$D$81*(1+IF($C$81&lt;=0,0,MAX($C$81*R$5/12,Inputs!$C$8)))+$I$81*(R$5&gt;Inputs!$C$12)*$D$81*(1+Inputs!$C$11*(R$5-Inputs!$C$12)/12)</f>
        <v>4410</v>
      </c>
      <c r="S85" s="42" t="n">
        <f aca="false">$D$81*(1+IF($C$81&lt;=0,0,MAX($C$81*S$5/12,Inputs!$C$8)))+$I$81*(S$5&gt;Inputs!$C$12)*$D$81*(1+Inputs!$C$11*(S$5-Inputs!$C$12)/12)</f>
        <v>4410</v>
      </c>
      <c r="T85" s="42" t="n">
        <f aca="false">$D$81*(1+IF($C$81&lt;=0,0,MAX($C$81*T$5/12,Inputs!$C$8)))+$I$81*(T$5&gt;Inputs!$C$12)*$D$81*(1+Inputs!$C$11*(T$5-Inputs!$C$12)/12)</f>
        <v>4410</v>
      </c>
      <c r="U85" s="42" t="n">
        <f aca="false">$D$81*(1+IF($C$81&lt;=0,0,MAX($C$81*U$5/12,Inputs!$C$8)))+$I$81*(U$5&gt;Inputs!$C$12)*$D$81*(1+Inputs!$C$11*(U$5-Inputs!$C$12)/12)</f>
        <v>4410</v>
      </c>
      <c r="V85" s="42" t="n">
        <f aca="false">$D$81*(1+IF($C$81&lt;=0,0,MAX($C$81*V$5/12,Inputs!$C$8)))+$I$81*(V$5&gt;Inputs!$C$12)*$D$81*(1+Inputs!$C$11*(V$5-Inputs!$C$12)/12)</f>
        <v>4410</v>
      </c>
      <c r="W85" s="42" t="n">
        <f aca="false">$D$81*(1+IF($C$81&lt;=0,0,MAX($C$81*W$5/12,Inputs!$C$8)))+$I$81*(W$5&gt;Inputs!$C$12)*$D$81*(1+Inputs!$C$11*(W$5-Inputs!$C$12)/12)</f>
        <v>4410</v>
      </c>
      <c r="X85" s="42" t="n">
        <f aca="false">$D$81*(1+IF($C$81&lt;=0,0,MAX($C$81*X$5/12,Inputs!$C$8)))+$I$81*(X$5&gt;Inputs!$C$12)*$D$81*(1+Inputs!$C$11*(X$5-Inputs!$C$12)/12)</f>
        <v>4410</v>
      </c>
      <c r="Y85" s="42" t="n">
        <f aca="false">$D$81*(1+IF($C$81&lt;=0,0,MAX($C$81*Y$5/12,Inputs!$C$8)))+$I$81*(Y$5&gt;Inputs!$C$12)*$D$81*(1+Inputs!$C$11*(Y$5-Inputs!$C$12)/12)</f>
        <v>4410</v>
      </c>
      <c r="Z85" s="42" t="n">
        <f aca="false">$D$81*(1+IF($C$81&lt;=0,0,MAX($C$81*Z$5/12,Inputs!$C$8)))+$I$81*(Z$5&gt;Inputs!$C$12)*$D$81*(1+Inputs!$C$11*(Z$5-Inputs!$C$12)/12)</f>
        <v>4410</v>
      </c>
      <c r="AA85" s="42" t="n">
        <f aca="false">$D$81*(1+IF($C$81&lt;=0,0,MAX($C$81*AA$5/12,Inputs!$C$8)))+$I$81*(AA$5&gt;Inputs!$C$12)*$D$81*(1+Inputs!$C$11*(AA$5-Inputs!$C$12)/12)</f>
        <v>8673</v>
      </c>
      <c r="AB85" s="42" t="n">
        <f aca="false">$D$81*(1+IF($C$81&lt;=0,0,MAX($C$81*AB$5/12,Inputs!$C$8)))+$I$81*(AB$5&gt;Inputs!$C$12)*$D$81*(1+Inputs!$C$11*(AB$5-Inputs!$C$12)/12)</f>
        <v>8736</v>
      </c>
      <c r="AC85" s="42" t="n">
        <f aca="false">$D$81*(1+IF($C$81&lt;=0,0,MAX($C$81*AC$5/12,Inputs!$C$8)))+$I$81*(AC$5&gt;Inputs!$C$12)*$D$81*(1+Inputs!$C$11*(AC$5-Inputs!$C$12)/12)</f>
        <v>8799</v>
      </c>
      <c r="AD85" s="42" t="n">
        <f aca="false">$D$81*(1+IF($C$81&lt;=0,0,MAX($C$81*AD$5/12,Inputs!$C$8)))+$I$81*(AD$5&gt;Inputs!$C$12)*$D$81*(1+Inputs!$C$11*(AD$5-Inputs!$C$12)/12)</f>
        <v>8862</v>
      </c>
      <c r="AE85" s="42" t="n">
        <f aca="false">$D$81*(1+IF($C$81&lt;=0,0,MAX($C$81*AE$5/12,Inputs!$C$8)))+$I$81*(AE$5&gt;Inputs!$C$12)*$D$81*(1+Inputs!$C$11*(AE$5-Inputs!$C$12)/12)</f>
        <v>8925</v>
      </c>
      <c r="AF85" s="42" t="n">
        <f aca="false">$D$81*(1+IF($C$81&lt;=0,0,MAX($C$81*AF$5/12,Inputs!$C$8)))+$I$81*(AF$5&gt;Inputs!$C$12)*$D$81*(1+Inputs!$C$11*(AF$5-Inputs!$C$12)/12)</f>
        <v>8988</v>
      </c>
      <c r="AG85" s="42" t="n">
        <f aca="false">$D$81*(1+IF($C$81&lt;=0,0,MAX($C$81*AG$5/12,Inputs!$C$8)))+$I$81*(AG$5&gt;Inputs!$C$12)*$D$81*(1+Inputs!$C$11*(AG$5-Inputs!$C$12)/12)</f>
        <v>9051</v>
      </c>
      <c r="AH85" s="42" t="n">
        <f aca="false">$D$81*(1+IF($C$81&lt;=0,0,MAX($C$81*AH$5/12,Inputs!$C$8)))+$I$81*(AH$5&gt;Inputs!$C$12)*$D$81*(1+Inputs!$C$11*(AH$5-Inputs!$C$12)/12)</f>
        <v>9114</v>
      </c>
      <c r="AI85" s="42" t="n">
        <f aca="false">$D$81*(1+IF($C$81&lt;=0,0,MAX($C$81*AI$5/12,Inputs!$C$8)))+$I$81*(AI$5&gt;Inputs!$C$12)*$D$81*(1+Inputs!$C$11*(AI$5-Inputs!$C$12)/12)</f>
        <v>9177</v>
      </c>
      <c r="AJ85" s="42" t="n">
        <f aca="false">$D$81*(1+IF($C$81&lt;=0,0,MAX($C$81*AJ$5/12,Inputs!$C$8)))+$I$81*(AJ$5&gt;Inputs!$C$12)*$D$81*(1+Inputs!$C$11*(AJ$5-Inputs!$C$12)/12)</f>
        <v>9240</v>
      </c>
      <c r="AK85" s="42" t="n">
        <f aca="false">$D$81*(1+IF($C$81&lt;=0,0,MAX($C$81*AK$5/12,Inputs!$C$8)))+$I$81*(AK$5&gt;Inputs!$C$12)*$D$81*(1+Inputs!$C$11*(AK$5-Inputs!$C$12)/12)</f>
        <v>9303</v>
      </c>
      <c r="AL85" s="42" t="n">
        <f aca="false">$D$81*(1+IF($C$81&lt;=0,0,MAX($C$81*AL$5/12,Inputs!$C$8)))+$I$81*(AL$5&gt;Inputs!$C$12)*$D$81*(1+Inputs!$C$11*(AL$5-Inputs!$C$12)/12)</f>
        <v>9366</v>
      </c>
    </row>
    <row r="86" customFormat="false" ht="15" hidden="false" customHeight="false" outlineLevel="0" collapsed="false">
      <c r="B86" s="31" t="s">
        <v>187</v>
      </c>
      <c r="N86" s="42" t="n">
        <f aca="false">-($D$81+$J$81)*(N$5=0)+IF(AND(N$5-$K$81&gt;=1,N$5-$K$81&lt;=Inputs!$C$13),INDEX($N$84:$AL$84,1,N$5-$K$81+1)*INDEX($N$85:$AL$85,1,N$5-$K$81+1),0)-$I$81*((N$5=Inputs!$C$12)*$C$83*$D$81+(N$5=Inputs!$C$13)*$D$83*($D$81+Inputs!$C$14))+$I$81*((N$5=Inputs!$C$15+$K$81)*$E$83*$I$83+(N$5=Inputs!$C$16+$K$81)*$F$83*$J$83+(N$5=Inputs!$C$17)*$G$83*$H$81*$H$83)</f>
        <v>-4210</v>
      </c>
      <c r="O86" s="42" t="n">
        <f aca="false">-($D$81+$J$81)*(O$5=0)+IF(AND(O$5-$K$81&gt;=1,O$5-$K$81&lt;=Inputs!$C$13),INDEX($N$84:$AL$84,1,O$5-$K$81+1)*INDEX($N$85:$AL$85,1,O$5-$K$81+1),0)-$I$81*((O$5=Inputs!$C$12)*$C$83*$D$81+(O$5=Inputs!$C$13)*$D$83*($D$81+Inputs!$C$14))+$I$81*((O$5=Inputs!$C$15+$K$81)*$E$83*$I$83+(O$5=Inputs!$C$16+$K$81)*$F$83*$J$83+(O$5=Inputs!$C$17)*$G$83*$H$81*$H$83)</f>
        <v>0</v>
      </c>
      <c r="P86" s="42" t="n">
        <f aca="false">-($D$81+$J$81)*(P$5=0)+IF(AND(P$5-$K$81&gt;=1,P$5-$K$81&lt;=Inputs!$C$13),INDEX($N$84:$AL$84,1,P$5-$K$81+1)*INDEX($N$85:$AL$85,1,P$5-$K$81+1),0)-$I$81*((P$5=Inputs!$C$12)*$C$83*$D$81+(P$5=Inputs!$C$13)*$D$83*($D$81+Inputs!$C$14))+$I$81*((P$5=Inputs!$C$15+$K$81)*$E$83*$I$83+(P$5=Inputs!$C$16+$K$81)*$F$83*$J$83+(P$5=Inputs!$C$17)*$G$83*$H$81*$H$83)</f>
        <v>521.262</v>
      </c>
      <c r="Q86" s="42" t="n">
        <f aca="false">-($D$81+$J$81)*(Q$5=0)+IF(AND(Q$5-$K$81&gt;=1,Q$5-$K$81&lt;=Inputs!$C$13),INDEX($N$84:$AL$84,1,Q$5-$K$81+1)*INDEX($N$85:$AL$85,1,Q$5-$K$81+1),0)-$I$81*((Q$5=Inputs!$C$12)*$C$83*$D$81+(Q$5=Inputs!$C$13)*$D$83*($D$81+Inputs!$C$14))+$I$81*((Q$5=Inputs!$C$15+$K$81)*$E$83*$I$83+(Q$5=Inputs!$C$16+$K$81)*$F$83*$J$83+(Q$5=Inputs!$C$17)*$G$83*$H$81*$H$83)</f>
        <v>434.385</v>
      </c>
      <c r="R86" s="42" t="n">
        <f aca="false">-($D$81+$J$81)*(R$5=0)+IF(AND(R$5-$K$81&gt;=1,R$5-$K$81&lt;=Inputs!$C$13),INDEX($N$84:$AL$84,1,R$5-$K$81+1)*INDEX($N$85:$AL$85,1,R$5-$K$81+1),0)-$I$81*((R$5=Inputs!$C$12)*$C$83*$D$81+(R$5=Inputs!$C$13)*$D$83*($D$81+Inputs!$C$14))+$I$81*((R$5=Inputs!$C$15+$K$81)*$E$83*$I$83+(R$5=Inputs!$C$16+$K$81)*$F$83*$J$83+(R$5=Inputs!$C$17)*$G$83*$H$81*$H$83)</f>
        <v>390.9465</v>
      </c>
      <c r="S86" s="42" t="n">
        <f aca="false">-($D$81+$J$81)*(S$5=0)+IF(AND(S$5-$K$81&gt;=1,S$5-$K$81&lt;=Inputs!$C$13),INDEX($N$84:$AL$84,1,S$5-$K$81+1)*INDEX($N$85:$AL$85,1,S$5-$K$81+1),0)-$I$81*((S$5=Inputs!$C$12)*$C$83*$D$81+(S$5=Inputs!$C$13)*$D$83*($D$81+Inputs!$C$14))+$I$81*((S$5=Inputs!$C$15+$K$81)*$E$83*$I$83+(S$5=Inputs!$C$16+$K$81)*$F$83*$J$83+(S$5=Inputs!$C$17)*$G$83*$H$81*$H$83)</f>
        <v>304.0695</v>
      </c>
      <c r="T86" s="42" t="n">
        <f aca="false">-($D$81+$J$81)*(T$5=0)+IF(AND(T$5-$K$81&gt;=1,T$5-$K$81&lt;=Inputs!$C$13),INDEX($N$84:$AL$84,1,T$5-$K$81+1)*INDEX($N$85:$AL$85,1,T$5-$K$81+1),0)-$I$81*((T$5=Inputs!$C$12)*$C$83*$D$81+(T$5=Inputs!$C$13)*$D$83*($D$81+Inputs!$C$14))+$I$81*((T$5=Inputs!$C$15+$K$81)*$E$83*$I$83+(T$5=Inputs!$C$16+$K$81)*$F$83*$J$83+(T$5=Inputs!$C$17)*$G$83*$H$81*$H$83)</f>
        <v>304.0695</v>
      </c>
      <c r="U86" s="42" t="n">
        <f aca="false">-($D$81+$J$81)*(U$5=0)+IF(AND(U$5-$K$81&gt;=1,U$5-$K$81&lt;=Inputs!$C$13),INDEX($N$84:$AL$84,1,U$5-$K$81+1)*INDEX($N$85:$AL$85,1,U$5-$K$81+1),0)-$I$81*((U$5=Inputs!$C$12)*$C$83*$D$81+(U$5=Inputs!$C$13)*$D$83*($D$81+Inputs!$C$14))+$I$81*((U$5=Inputs!$C$15+$K$81)*$E$83*$I$83+(U$5=Inputs!$C$16+$K$81)*$F$83*$J$83+(U$5=Inputs!$C$17)*$G$83*$H$81*$H$83)</f>
        <v>304.0695</v>
      </c>
      <c r="V86" s="42" t="n">
        <f aca="false">-($D$81+$J$81)*(V$5=0)+IF(AND(V$5-$K$81&gt;=1,V$5-$K$81&lt;=Inputs!$C$13),INDEX($N$84:$AL$84,1,V$5-$K$81+1)*INDEX($N$85:$AL$85,1,V$5-$K$81+1),0)-$I$81*((V$5=Inputs!$C$12)*$C$83*$D$81+(V$5=Inputs!$C$13)*$D$83*($D$81+Inputs!$C$14))+$I$81*((V$5=Inputs!$C$15+$K$81)*$E$83*$I$83+(V$5=Inputs!$C$16+$K$81)*$F$83*$J$83+(V$5=Inputs!$C$17)*$G$83*$H$81*$H$83)</f>
        <v>188.2335</v>
      </c>
      <c r="W86" s="42" t="n">
        <f aca="false">-($D$81+$J$81)*(W$5=0)+IF(AND(W$5-$K$81&gt;=1,W$5-$K$81&lt;=Inputs!$C$13),INDEX($N$84:$AL$84,1,W$5-$K$81+1)*INDEX($N$85:$AL$85,1,W$5-$K$81+1),0)-$I$81*((W$5=Inputs!$C$12)*$C$83*$D$81+(W$5=Inputs!$C$13)*$D$83*($D$81+Inputs!$C$14))+$I$81*((W$5=Inputs!$C$15+$K$81)*$E$83*$I$83+(W$5=Inputs!$C$16+$K$81)*$F$83*$J$83+(W$5=Inputs!$C$17)*$G$83*$H$81*$H$83)</f>
        <v>188.2335</v>
      </c>
      <c r="X86" s="42" t="n">
        <f aca="false">-($D$81+$J$81)*(X$5=0)+IF(AND(X$5-$K$81&gt;=1,X$5-$K$81&lt;=Inputs!$C$13),INDEX($N$84:$AL$84,1,X$5-$K$81+1)*INDEX($N$85:$AL$85,1,X$5-$K$81+1),0)-$I$81*((X$5=Inputs!$C$12)*$C$83*$D$81+(X$5=Inputs!$C$13)*$D$83*($D$81+Inputs!$C$14))+$I$81*((X$5=Inputs!$C$15+$K$81)*$E$83*$I$83+(X$5=Inputs!$C$16+$K$81)*$F$83*$J$83+(X$5=Inputs!$C$17)*$G$83*$H$81*$H$83)</f>
        <v>188.2335</v>
      </c>
      <c r="Y86" s="42" t="n">
        <f aca="false">-($D$81+$J$81)*(Y$5=0)+IF(AND(Y$5-$K$81&gt;=1,Y$5-$K$81&lt;=Inputs!$C$13),INDEX($N$84:$AL$84,1,Y$5-$K$81+1)*INDEX($N$85:$AL$85,1,Y$5-$K$81+1),0)-$I$81*((Y$5=Inputs!$C$12)*$C$83*$D$81+(Y$5=Inputs!$C$13)*$D$83*($D$81+Inputs!$C$14))+$I$81*((Y$5=Inputs!$C$15+$K$81)*$E$83*$I$83+(Y$5=Inputs!$C$16+$K$81)*$F$83*$J$83+(Y$5=Inputs!$C$17)*$G$83*$H$81*$H$83)</f>
        <v>159.2745</v>
      </c>
      <c r="Z86" s="42" t="n">
        <f aca="false">-($D$81+$J$81)*(Z$5=0)+IF(AND(Z$5-$K$81&gt;=1,Z$5-$K$81&lt;=Inputs!$C$13),INDEX($N$84:$AL$84,1,Z$5-$K$81+1)*INDEX($N$85:$AL$85,1,Z$5-$K$81+1),0)-$I$81*((Z$5=Inputs!$C$12)*$C$83*$D$81+(Z$5=Inputs!$C$13)*$D$83*($D$81+Inputs!$C$14))+$I$81*((Z$5=Inputs!$C$15+$K$81)*$E$83*$I$83+(Z$5=Inputs!$C$16+$K$81)*$F$83*$J$83+(Z$5=Inputs!$C$17)*$G$83*$H$81*$H$83)</f>
        <v>-896.6055</v>
      </c>
      <c r="AA86" s="42" t="n">
        <f aca="false">-($D$81+$J$81)*(AA$5=0)+IF(AND(AA$5-$K$81&gt;=1,AA$5-$K$81&lt;=Inputs!$C$13),INDEX($N$84:$AL$84,1,AA$5-$K$81+1)*INDEX($N$85:$AL$85,1,AA$5-$K$81+1),0)-$I$81*((AA$5=Inputs!$C$12)*$C$83*$D$81+(AA$5=Inputs!$C$13)*$D$83*($D$81+Inputs!$C$14))+$I$81*((AA$5=Inputs!$C$15+$K$81)*$E$83*$I$83+(AA$5=Inputs!$C$16+$K$81)*$F$83*$J$83+(AA$5=Inputs!$C$17)*$G$83*$H$81*$H$83)</f>
        <v>159.2745</v>
      </c>
      <c r="AB86" s="42" t="n">
        <f aca="false">-($D$81+$J$81)*(AB$5=0)+IF(AND(AB$5-$K$81&gt;=1,AB$5-$K$81&lt;=Inputs!$C$13),INDEX($N$84:$AL$84,1,AB$5-$K$81+1)*INDEX($N$85:$AL$85,1,AB$5-$K$81+1),0)-$I$81*((AB$5=Inputs!$C$12)*$C$83*$D$81+(AB$5=Inputs!$C$13)*$D$83*($D$81+Inputs!$C$14))+$I$81*((AB$5=Inputs!$C$15+$K$81)*$E$83*$I$83+(AB$5=Inputs!$C$16+$K$81)*$F$83*$J$83+(AB$5=Inputs!$C$17)*$G$83*$H$81*$H$83)</f>
        <v>199.33445</v>
      </c>
      <c r="AC86" s="42" t="n">
        <f aca="false">-($D$81+$J$81)*(AC$5=0)+IF(AND(AC$5-$K$81&gt;=1,AC$5-$K$81&lt;=Inputs!$C$13),INDEX($N$84:$AL$84,1,AC$5-$K$81+1)*INDEX($N$85:$AL$85,1,AC$5-$K$81+1),0)-$I$81*((AC$5=Inputs!$C$12)*$C$83*$D$81+(AC$5=Inputs!$C$13)*$D$83*($D$81+Inputs!$C$14))+$I$81*((AC$5=Inputs!$C$15+$K$81)*$E$83*$I$83+(AC$5=Inputs!$C$16+$K$81)*$F$83*$J$83+(AC$5=Inputs!$C$17)*$G$83*$H$81*$H$83)</f>
        <v>200.7824</v>
      </c>
      <c r="AD86" s="42" t="n">
        <f aca="false">-($D$81+$J$81)*(AD$5=0)+IF(AND(AD$5-$K$81&gt;=1,AD$5-$K$81&lt;=Inputs!$C$13),INDEX($N$84:$AL$84,1,AD$5-$K$81+1)*INDEX($N$85:$AL$85,1,AD$5-$K$81+1),0)-$I$81*((AD$5=Inputs!$C$12)*$C$83*$D$81+(AD$5=Inputs!$C$13)*$D$83*($D$81+Inputs!$C$14))+$I$81*((AD$5=Inputs!$C$15+$K$81)*$E$83*$I$83+(AD$5=Inputs!$C$16+$K$81)*$F$83*$J$83+(AD$5=Inputs!$C$17)*$G$83*$H$81*$H$83)</f>
        <v>202.230350000001</v>
      </c>
      <c r="AE86" s="42" t="n">
        <f aca="false">-($D$81+$J$81)*(AE$5=0)+IF(AND(AE$5-$K$81&gt;=1,AE$5-$K$81&lt;=Inputs!$C$13),INDEX($N$84:$AL$84,1,AE$5-$K$81+1)*INDEX($N$85:$AL$85,1,AE$5-$K$81+1),0)-$I$81*((AE$5=Inputs!$C$12)*$C$83*$D$81+(AE$5=Inputs!$C$13)*$D$83*($D$81+Inputs!$C$14))+$I$81*((AE$5=Inputs!$C$15+$K$81)*$E$83*$I$83+(AE$5=Inputs!$C$16+$K$81)*$F$83*$J$83+(AE$5=Inputs!$C$17)*$G$83*$H$81*$H$83)</f>
        <v>203.6783</v>
      </c>
      <c r="AF86" s="42" t="n">
        <f aca="false">-($D$81+$J$81)*(AF$5=0)+IF(AND(AF$5-$K$81&gt;=1,AF$5-$K$81&lt;=Inputs!$C$13),INDEX($N$84:$AL$84,1,AF$5-$K$81+1)*INDEX($N$85:$AL$85,1,AF$5-$K$81+1),0)-$I$81*((AF$5=Inputs!$C$12)*$C$83*$D$81+(AF$5=Inputs!$C$13)*$D$83*($D$81+Inputs!$C$14))+$I$81*((AF$5=Inputs!$C$15+$K$81)*$E$83*$I$83+(AF$5=Inputs!$C$16+$K$81)*$F$83*$J$83+(AF$5=Inputs!$C$17)*$G$83*$H$81*$H$83)</f>
        <v>205.12625</v>
      </c>
      <c r="AG86" s="42" t="n">
        <f aca="false">-($D$81+$J$81)*(AG$5=0)+IF(AND(AG$5-$K$81&gt;=1,AG$5-$K$81&lt;=Inputs!$C$13),INDEX($N$84:$AL$84,1,AG$5-$K$81+1)*INDEX($N$85:$AL$85,1,AG$5-$K$81+1),0)-$I$81*((AG$5=Inputs!$C$12)*$C$83*$D$81+(AG$5=Inputs!$C$13)*$D$83*($D$81+Inputs!$C$14))+$I$81*((AG$5=Inputs!$C$15+$K$81)*$E$83*$I$83+(AG$5=Inputs!$C$16+$K$81)*$F$83*$J$83+(AG$5=Inputs!$C$17)*$G$83*$H$81*$H$83)</f>
        <v>206.5742</v>
      </c>
      <c r="AH86" s="42" t="n">
        <f aca="false">-($D$81+$J$81)*(AH$5=0)+IF(AND(AH$5-$K$81&gt;=1,AH$5-$K$81&lt;=Inputs!$C$13),INDEX($N$84:$AL$84,1,AH$5-$K$81+1)*INDEX($N$85:$AL$85,1,AH$5-$K$81+1),0)-$I$81*((AH$5=Inputs!$C$12)*$C$83*$D$81+(AH$5=Inputs!$C$13)*$D$83*($D$81+Inputs!$C$14))+$I$81*((AH$5=Inputs!$C$15+$K$81)*$E$83*$I$83+(AH$5=Inputs!$C$16+$K$81)*$F$83*$J$83+(AH$5=Inputs!$C$17)*$G$83*$H$81*$H$83)</f>
        <v>148.58725</v>
      </c>
      <c r="AI86" s="42" t="n">
        <f aca="false">-($D$81+$J$81)*(AI$5=0)+IF(AND(AI$5-$K$81&gt;=1,AI$5-$K$81&lt;=Inputs!$C$13),INDEX($N$84:$AL$84,1,AI$5-$K$81+1)*INDEX($N$85:$AL$85,1,AI$5-$K$81+1),0)-$I$81*((AI$5=Inputs!$C$12)*$C$83*$D$81+(AI$5=Inputs!$C$13)*$D$83*($D$81+Inputs!$C$14))+$I$81*((AI$5=Inputs!$C$15+$K$81)*$E$83*$I$83+(AI$5=Inputs!$C$16+$K$81)*$F$83*$J$83+(AI$5=Inputs!$C$17)*$G$83*$H$81*$H$83)</f>
        <v>149.621499999999</v>
      </c>
      <c r="AJ86" s="42" t="n">
        <f aca="false">-($D$81+$J$81)*(AJ$5=0)+IF(AND(AJ$5-$K$81&gt;=1,AJ$5-$K$81&lt;=Inputs!$C$13),INDEX($N$84:$AL$84,1,AJ$5-$K$81+1)*INDEX($N$85:$AL$85,1,AJ$5-$K$81+1),0)-$I$81*((AJ$5=Inputs!$C$12)*$C$83*$D$81+(AJ$5=Inputs!$C$13)*$D$83*($D$81+Inputs!$C$14))+$I$81*((AJ$5=Inputs!$C$15+$K$81)*$E$83*$I$83+(AJ$5=Inputs!$C$16+$K$81)*$F$83*$J$83+(AJ$5=Inputs!$C$17)*$G$83*$H$81*$H$83)</f>
        <v>150.655749999999</v>
      </c>
      <c r="AK86" s="42" t="n">
        <f aca="false">-($D$81+$J$81)*(AK$5=0)+IF(AND(AK$5-$K$81&gt;=1,AK$5-$K$81&lt;=Inputs!$C$13),INDEX($N$84:$AL$84,1,AK$5-$K$81+1)*INDEX($N$85:$AL$85,1,AK$5-$K$81+1),0)-$I$81*((AK$5=Inputs!$C$12)*$C$83*$D$81+(AK$5=Inputs!$C$13)*$D$83*($D$81+Inputs!$C$14))+$I$81*((AK$5=Inputs!$C$15+$K$81)*$E$83*$I$83+(AK$5=Inputs!$C$16+$K$81)*$F$83*$J$83+(AK$5=Inputs!$C$17)*$G$83*$H$81*$H$83)</f>
        <v>151.69</v>
      </c>
      <c r="AL86" s="42" t="n">
        <f aca="false">-($D$81+$J$81)*(AL$5=0)+IF(AND(AL$5-$K$81&gt;=1,AL$5-$K$81&lt;=Inputs!$C$13),INDEX($N$84:$AL$84,1,AL$5-$K$81+1)*INDEX($N$85:$AL$85,1,AL$5-$K$81+1),0)-$I$81*((AL$5=Inputs!$C$12)*$C$83*$D$81+(AL$5=Inputs!$C$13)*$D$83*($D$81+Inputs!$C$14))+$I$81*((AL$5=Inputs!$C$15+$K$81)*$E$83*$I$83+(AL$5=Inputs!$C$16+$K$81)*$F$83*$J$83+(AL$5=Inputs!$C$17)*$G$83*$H$81*$H$83)</f>
        <v>62.7242500000004</v>
      </c>
      <c r="AM86" s="42" t="n">
        <f aca="false">-($D$81+$J$81)*(AM$5=0)+IF(AND(AM$5-$K$81&gt;=1,AM$5-$K$81&lt;=Inputs!$C$13),INDEX($N$84:$AL$84,1,AM$5-$K$81+1)*INDEX($N$85:$AL$85,1,AM$5-$K$81+1),0)-$I$81*((AM$5=Inputs!$C$12)*$C$83*$D$81+(AM$5=Inputs!$C$13)*$D$83*($D$81+Inputs!$C$14))+$I$81*((AM$5=Inputs!$C$15+$K$81)*$E$83*$I$83+(AM$5=Inputs!$C$16+$K$81)*$F$83*$J$83+(AM$5=Inputs!$C$17)*$G$83*$H$81*$H$83)</f>
        <v>153.758499999999</v>
      </c>
      <c r="AN86" s="42" t="n">
        <f aca="false">-($D$81+$J$81)*(AN$5=0)+IF(AND(AN$5-$K$81&gt;=1,AN$5-$K$81&lt;=Inputs!$C$13),INDEX($N$84:$AL$84,1,AN$5-$K$81+1)*INDEX($N$85:$AL$85,1,AN$5-$K$81+1),0)-$I$81*((AN$5=Inputs!$C$12)*$C$83*$D$81+(AN$5=Inputs!$C$13)*$D$83*($D$81+Inputs!$C$14))+$I$81*((AN$5=Inputs!$C$15+$K$81)*$E$83*$I$83+(AN$5=Inputs!$C$16+$K$81)*$F$83*$J$83+(AN$5=Inputs!$C$17)*$G$83*$H$81*$H$83)</f>
        <v>0</v>
      </c>
      <c r="AO86" s="42" t="n">
        <f aca="false">-($D$81+$J$81)*(AO$5=0)+IF(AND(AO$5-$K$81&gt;=1,AO$5-$K$81&lt;=Inputs!$C$13),INDEX($N$84:$AL$84,1,AO$5-$K$81+1)*INDEX($N$85:$AL$85,1,AO$5-$K$81+1),0)-$I$81*((AO$5=Inputs!$C$12)*$C$83*$D$81+(AO$5=Inputs!$C$13)*$D$83*($D$81+Inputs!$C$14))+$I$81*((AO$5=Inputs!$C$15+$K$81)*$E$83*$I$83+(AO$5=Inputs!$C$16+$K$81)*$F$83*$J$83+(AO$5=Inputs!$C$17)*$G$83*$H$81*$H$83)</f>
        <v>0</v>
      </c>
      <c r="AP86" s="42" t="n">
        <f aca="false">-($D$81+$J$81)*(AP$5=0)+IF(AND(AP$5-$K$81&gt;=1,AP$5-$K$81&lt;=Inputs!$C$13),INDEX($N$84:$AL$84,1,AP$5-$K$81+1)*INDEX($N$85:$AL$85,1,AP$5-$K$81+1),0)-$I$81*((AP$5=Inputs!$C$12)*$C$83*$D$81+(AP$5=Inputs!$C$13)*$D$83*($D$81+Inputs!$C$14))+$I$81*((AP$5=Inputs!$C$15+$K$81)*$E$83*$I$83+(AP$5=Inputs!$C$16+$K$81)*$F$83*$J$83+(AP$5=Inputs!$C$17)*$G$83*$H$81*$H$83)</f>
        <v>188.928</v>
      </c>
      <c r="AQ86" s="42" t="n">
        <f aca="false">-($D$81+$J$81)*(AQ$5=0)+IF(AND(AQ$5-$K$81&gt;=1,AQ$5-$K$81&lt;=Inputs!$C$13),INDEX($N$84:$AL$84,1,AQ$5-$K$81+1)*INDEX($N$85:$AL$85,1,AQ$5-$K$81+1),0)-$I$81*((AQ$5=Inputs!$C$12)*$C$83*$D$81+(AQ$5=Inputs!$C$13)*$D$83*($D$81+Inputs!$C$14))+$I$81*((AQ$5=Inputs!$C$15+$K$81)*$E$83*$I$83+(AQ$5=Inputs!$C$16+$K$81)*$F$83*$J$83+(AQ$5=Inputs!$C$17)*$G$83*$H$81*$H$83)</f>
        <v>0</v>
      </c>
      <c r="AR86" s="42" t="n">
        <f aca="false">-($D$81+$J$81)*(AR$5=0)+IF(AND(AR$5-$K$81&gt;=1,AR$5-$K$81&lt;=Inputs!$C$13),INDEX($N$84:$AL$84,1,AR$5-$K$81+1)*INDEX($N$85:$AL$85,1,AR$5-$K$81+1),0)-$I$81*((AR$5=Inputs!$C$12)*$C$83*$D$81+(AR$5=Inputs!$C$13)*$D$83*($D$81+Inputs!$C$14))+$I$81*((AR$5=Inputs!$C$15+$K$81)*$E$83*$I$83+(AR$5=Inputs!$C$16+$K$81)*$F$83*$J$83+(AR$5=Inputs!$C$17)*$G$83*$H$81*$H$83)</f>
        <v>0</v>
      </c>
      <c r="AS86" s="42" t="n">
        <f aca="false">-($D$81+$J$81)*(AS$5=0)+IF(AND(AS$5-$K$81&gt;=1,AS$5-$K$81&lt;=Inputs!$C$13),INDEX($N$84:$AL$84,1,AS$5-$K$81+1)*INDEX($N$85:$AL$85,1,AS$5-$K$81+1),0)-$I$81*((AS$5=Inputs!$C$12)*$C$83*$D$81+(AS$5=Inputs!$C$13)*$D$83*($D$81+Inputs!$C$14))+$I$81*((AS$5=Inputs!$C$15+$K$81)*$E$83*$I$83+(AS$5=Inputs!$C$16+$K$81)*$F$83*$J$83+(AS$5=Inputs!$C$17)*$G$83*$H$81*$H$83)</f>
        <v>45.9477</v>
      </c>
      <c r="AT86" s="42" t="n">
        <f aca="false">-($D$81+$J$81)*(AT$5=0)+IF(AND(AT$5-$K$81&gt;=1,AT$5-$K$81&lt;=Inputs!$C$13),INDEX($N$84:$AL$84,1,AT$5-$K$81+1)*INDEX($N$85:$AL$85,1,AT$5-$K$81+1),0)-$I$81*((AT$5=Inputs!$C$12)*$C$83*$D$81+(AT$5=Inputs!$C$13)*$D$83*($D$81+Inputs!$C$14))+$I$81*((AT$5=Inputs!$C$15+$K$81)*$E$83*$I$83+(AT$5=Inputs!$C$16+$K$81)*$F$83*$J$83+(AT$5=Inputs!$C$17)*$G$83*$H$81*$H$83)</f>
        <v>0</v>
      </c>
      <c r="AU86" s="42" t="n">
        <f aca="false">-($D$81+$J$81)*(AU$5=0)+IF(AND(AU$5-$K$81&gt;=1,AU$5-$K$81&lt;=Inputs!$C$13),INDEX($N$84:$AL$84,1,AU$5-$K$81+1)*INDEX($N$85:$AL$85,1,AU$5-$K$81+1),0)-$I$81*((AU$5=Inputs!$C$12)*$C$83*$D$81+(AU$5=Inputs!$C$13)*$D$83*($D$81+Inputs!$C$14))+$I$81*((AU$5=Inputs!$C$15+$K$81)*$E$83*$I$83+(AU$5=Inputs!$C$16+$K$81)*$F$83*$J$83+(AU$5=Inputs!$C$17)*$G$83*$H$81*$H$83)</f>
        <v>0</v>
      </c>
      <c r="AV86" s="42" t="n">
        <f aca="false">-($D$81+$J$81)*(AV$5=0)+IF(AND(AV$5-$K$81&gt;=1,AV$5-$K$81&lt;=Inputs!$C$13),INDEX($N$84:$AL$84,1,AV$5-$K$81+1)*INDEX($N$85:$AL$85,1,AV$5-$K$81+1),0)-$I$81*((AV$5=Inputs!$C$12)*$C$83*$D$81+(AV$5=Inputs!$C$13)*$D$83*($D$81+Inputs!$C$14))+$I$81*((AV$5=Inputs!$C$15+$K$81)*$E$83*$I$83+(AV$5=Inputs!$C$16+$K$81)*$F$83*$J$83+(AV$5=Inputs!$C$17)*$G$83*$H$81*$H$83)</f>
        <v>0</v>
      </c>
      <c r="AW86" s="42" t="n">
        <f aca="false">-($D$81+$J$81)*(AW$5=0)+IF(AND(AW$5-$K$81&gt;=1,AW$5-$K$81&lt;=Inputs!$C$13),INDEX($N$84:$AL$84,1,AW$5-$K$81+1)*INDEX($N$85:$AL$85,1,AW$5-$K$81+1),0)-$I$81*((AW$5=Inputs!$C$12)*$C$83*$D$81+(AW$5=Inputs!$C$13)*$D$83*($D$81+Inputs!$C$14))+$I$81*((AW$5=Inputs!$C$15+$K$81)*$E$83*$I$83+(AW$5=Inputs!$C$16+$K$81)*$F$83*$J$83+(AW$5=Inputs!$C$17)*$G$83*$H$81*$H$83)</f>
        <v>0</v>
      </c>
      <c r="AX86" s="42" t="n">
        <f aca="false">-($D$81+$J$81)*(AX$5=0)+IF(AND(AX$5-$K$81&gt;=1,AX$5-$K$81&lt;=Inputs!$C$13),INDEX($N$84:$AL$84,1,AX$5-$K$81+1)*INDEX($N$85:$AL$85,1,AX$5-$K$81+1),0)-$I$81*((AX$5=Inputs!$C$12)*$C$83*$D$81+(AX$5=Inputs!$C$13)*$D$83*($D$81+Inputs!$C$14))+$I$81*((AX$5=Inputs!$C$15+$K$81)*$E$83*$I$83+(AX$5=Inputs!$C$16+$K$81)*$F$83*$J$83+(AX$5=Inputs!$C$17)*$G$83*$H$81*$H$83)</f>
        <v>1.94400000000001</v>
      </c>
      <c r="AY86" s="42" t="n">
        <f aca="false">-($D$81+$J$81)*(AY$5=0)+IF(AND(AY$5-$K$81&gt;=1,AY$5-$K$81&lt;=Inputs!$C$13),INDEX($N$84:$AL$84,1,AY$5-$K$81+1)*INDEX($N$85:$AL$85,1,AY$5-$K$81+1),0)-$I$81*((AY$5=Inputs!$C$12)*$C$83*$D$81+(AY$5=Inputs!$C$13)*$D$83*($D$81+Inputs!$C$14))+$I$81*((AY$5=Inputs!$C$15+$K$81)*$E$83*$I$83+(AY$5=Inputs!$C$16+$K$81)*$F$83*$J$83+(AY$5=Inputs!$C$17)*$G$83*$H$81*$H$83)</f>
        <v>0</v>
      </c>
    </row>
    <row r="88" customFormat="false" ht="15" hidden="false" customHeight="false" outlineLevel="0" collapsed="false">
      <c r="B88" s="7" t="s">
        <v>232</v>
      </c>
      <c r="C88" s="8"/>
      <c r="D88" s="8"/>
      <c r="E88" s="8"/>
      <c r="F88" s="8"/>
      <c r="G88" s="8"/>
      <c r="H88" s="8"/>
      <c r="I88" s="8"/>
      <c r="J88" s="8"/>
      <c r="K88" s="8"/>
      <c r="L88" s="8"/>
    </row>
    <row r="89" customFormat="false" ht="30" hidden="false" customHeight="true" outlineLevel="0" collapsed="false">
      <c r="B89" s="37"/>
      <c r="C89" s="38" t="s">
        <v>169</v>
      </c>
      <c r="D89" s="38" t="s">
        <v>170</v>
      </c>
      <c r="E89" s="38" t="s">
        <v>171</v>
      </c>
      <c r="F89" s="38" t="s">
        <v>43</v>
      </c>
      <c r="G89" s="38" t="s">
        <v>44</v>
      </c>
      <c r="H89" s="38" t="s">
        <v>45</v>
      </c>
      <c r="I89" s="38" t="s">
        <v>172</v>
      </c>
      <c r="J89" s="38" t="s">
        <v>90</v>
      </c>
      <c r="K89" s="38" t="s">
        <v>89</v>
      </c>
      <c r="L89" s="38" t="s">
        <v>173</v>
      </c>
    </row>
    <row r="90" customFormat="false" ht="15" hidden="false" customHeight="false" outlineLevel="0" collapsed="false">
      <c r="B90" s="39" t="s">
        <v>174</v>
      </c>
      <c r="C90" s="26" t="n">
        <f aca="false">MAX(0,Bid_Floor!$C$81-Inputs!$C$7)</f>
        <v>0</v>
      </c>
      <c r="D90" s="30" t="n">
        <f aca="false">Inputs!$E$23</f>
        <v>4200</v>
      </c>
      <c r="E90" s="26" t="n">
        <f aca="false">Inputs!$F$23</f>
        <v>0.985</v>
      </c>
      <c r="F90" s="25" t="n">
        <f aca="false">Inputs!$G$23</f>
        <v>0.8</v>
      </c>
      <c r="G90" s="25" t="n">
        <f aca="false">Inputs!$H$23</f>
        <v>0.95</v>
      </c>
      <c r="H90" s="25" t="n">
        <f aca="false">Inputs!$I$23</f>
        <v>0.9</v>
      </c>
      <c r="I90" s="22" t="n">
        <f aca="false">Inputs!$J$23</f>
        <v>1</v>
      </c>
      <c r="J90" s="23" t="n">
        <f aca="false">Inputs!$C$9</f>
        <v>10</v>
      </c>
      <c r="K90" s="22" t="n">
        <f aca="false">Inputs!$C$10</f>
        <v>1</v>
      </c>
      <c r="L90" s="22" t="n">
        <f aca="false">1</f>
        <v>1</v>
      </c>
    </row>
    <row r="91" customFormat="false" ht="30" hidden="false" customHeight="true" outlineLevel="0" collapsed="false">
      <c r="B91" s="37"/>
      <c r="C91" s="38" t="s">
        <v>175</v>
      </c>
      <c r="D91" s="38" t="s">
        <v>176</v>
      </c>
      <c r="E91" s="38" t="s">
        <v>177</v>
      </c>
      <c r="F91" s="38" t="s">
        <v>178</v>
      </c>
      <c r="G91" s="38" t="s">
        <v>112</v>
      </c>
      <c r="H91" s="38" t="s">
        <v>179</v>
      </c>
      <c r="I91" s="38" t="s">
        <v>180</v>
      </c>
      <c r="J91" s="38" t="s">
        <v>181</v>
      </c>
      <c r="K91" s="38" t="s">
        <v>182</v>
      </c>
      <c r="L91" s="38" t="s">
        <v>183</v>
      </c>
    </row>
    <row r="92" customFormat="false" ht="15" hidden="false" customHeight="false" outlineLevel="0" collapsed="false">
      <c r="B92" s="39" t="s">
        <v>184</v>
      </c>
      <c r="C92" s="40" t="n">
        <f aca="false">1-$E$90*CHOOSE($L$90,INDEX(Timing!$C$7:$AA$7,1,Inputs!$C$12+1),INDEX(Timing!$C$8:$AA$8,1,Inputs!$C$12+1))</f>
        <v>0.2514</v>
      </c>
      <c r="D92" s="40" t="n">
        <f aca="false">1-$E$90*CHOOSE($L$90,INDEX(Timing!$C$7:$AA$7,1,Inputs!$C$13+1),INDEX(Timing!$C$8:$AA$8,1,Inputs!$C$13+1))</f>
        <v>0.015</v>
      </c>
      <c r="E92" s="40" t="n">
        <f aca="false">$I$90*$D$92*$F$90</f>
        <v>0.012</v>
      </c>
      <c r="F92" s="40" t="n">
        <f aca="false">$I$90*($D$92-$E$92)*$G$90</f>
        <v>0.00285</v>
      </c>
      <c r="G92" s="40" t="n">
        <f aca="false">$I$90*($D$92-$E$92-$F$92)</f>
        <v>0.00015</v>
      </c>
      <c r="H92" s="23" t="n">
        <f aca="false">$I$90*(3*$D$90+Inputs!$C$14)</f>
        <v>14400</v>
      </c>
      <c r="I92" s="23" t="n">
        <f aca="false">$I$90*($D$90*(1+IF($C$90&lt;=0,0,MAX($C$90*Inputs!$C$15/12,Inputs!$C$8)))+$D$90*(1+Inputs!$C$11*(Inputs!$C$15-Inputs!$C$12)/12)+$D$90*(1+Inputs!$C$11*(Inputs!$C$15-Inputs!$C$13)/12)+Inputs!$C$14)</f>
        <v>15534</v>
      </c>
      <c r="J92" s="23" t="n">
        <f aca="false">$I$90*($D$90*(1+IF($C$90&lt;=0,0,MAX($C$90*Inputs!$C$16/12,Inputs!$C$8)))+$D$90*(1+Inputs!$C$11*(Inputs!$C$16-Inputs!$C$12)/12)+$D$90*(1+Inputs!$C$11*(Inputs!$C$16-Inputs!$C$13)/12)+Inputs!$C$14)</f>
        <v>15912</v>
      </c>
      <c r="K92" s="40" t="n">
        <f aca="false">IRR($N$95:$AY$95,0.005)</f>
        <v>0.00195023012549657</v>
      </c>
      <c r="L92" s="41" t="n">
        <f aca="false">(1+$K$92)^12-1</f>
        <v>0.0236554247768412</v>
      </c>
    </row>
    <row r="93" customFormat="false" ht="15" hidden="false" customHeight="false" outlineLevel="0" collapsed="false">
      <c r="B93" s="9" t="s">
        <v>185</v>
      </c>
      <c r="N93" s="40" t="n">
        <f aca="false">0</f>
        <v>0</v>
      </c>
      <c r="O93" s="40" t="n">
        <f aca="false">$E$90*(CHOOSE($L$90,Timing!D$7,Timing!D$8)-CHOOSE($L$90,Timing!C$7,Timing!C$8))</f>
        <v>0.1182</v>
      </c>
      <c r="P93" s="40" t="n">
        <f aca="false">$E$90*(CHOOSE($L$90,Timing!E$7,Timing!E$8)-CHOOSE($L$90,Timing!D$7,Timing!D$8))</f>
        <v>0.0985</v>
      </c>
      <c r="Q93" s="40" t="n">
        <f aca="false">$E$90*(CHOOSE($L$90,Timing!F$7,Timing!F$8)-CHOOSE($L$90,Timing!E$7,Timing!E$8))</f>
        <v>0.08865</v>
      </c>
      <c r="R93" s="40" t="n">
        <f aca="false">$E$90*(CHOOSE($L$90,Timing!G$7,Timing!G$8)-CHOOSE($L$90,Timing!F$7,Timing!F$8))</f>
        <v>0.06895</v>
      </c>
      <c r="S93" s="40" t="n">
        <f aca="false">$E$90*(CHOOSE($L$90,Timing!H$7,Timing!H$8)-CHOOSE($L$90,Timing!G$7,Timing!G$8))</f>
        <v>0.06895</v>
      </c>
      <c r="T93" s="40" t="n">
        <f aca="false">$E$90*(CHOOSE($L$90,Timing!I$7,Timing!I$8)-CHOOSE($L$90,Timing!H$7,Timing!H$8))</f>
        <v>0.06895</v>
      </c>
      <c r="U93" s="40" t="n">
        <f aca="false">$E$90*(CHOOSE($L$90,Timing!J$7,Timing!J$8)-CHOOSE($L$90,Timing!I$7,Timing!I$8))</f>
        <v>0.0426833333333333</v>
      </c>
      <c r="V93" s="40" t="n">
        <f aca="false">$E$90*(CHOOSE($L$90,Timing!K$7,Timing!K$8)-CHOOSE($L$90,Timing!J$7,Timing!J$8))</f>
        <v>0.0426833333333333</v>
      </c>
      <c r="W93" s="40" t="n">
        <f aca="false">$E$90*(CHOOSE($L$90,Timing!L$7,Timing!L$8)-CHOOSE($L$90,Timing!K$7,Timing!K$8))</f>
        <v>0.0426833333333333</v>
      </c>
      <c r="X93" s="40" t="n">
        <f aca="false">$E$90*(CHOOSE($L$90,Timing!M$7,Timing!M$8)-CHOOSE($L$90,Timing!L$7,Timing!L$8))</f>
        <v>0.0361166666666666</v>
      </c>
      <c r="Y93" s="40" t="n">
        <f aca="false">$E$90*(CHOOSE($L$90,Timing!N$7,Timing!N$8)-CHOOSE($L$90,Timing!M$7,Timing!M$8))</f>
        <v>0.0361166666666667</v>
      </c>
      <c r="Z93" s="40" t="n">
        <f aca="false">$E$90*(CHOOSE($L$90,Timing!O$7,Timing!O$8)-CHOOSE($L$90,Timing!N$7,Timing!N$8))</f>
        <v>0.0361166666666666</v>
      </c>
      <c r="AA93" s="40" t="n">
        <f aca="false">$E$90*(CHOOSE($L$90,Timing!P$7,Timing!P$8)-CHOOSE($L$90,Timing!O$7,Timing!O$8))</f>
        <v>0.0229833333333333</v>
      </c>
      <c r="AB93" s="40" t="n">
        <f aca="false">$E$90*(CHOOSE($L$90,Timing!Q$7,Timing!Q$8)-CHOOSE($L$90,Timing!P$7,Timing!P$8))</f>
        <v>0.0229833333333333</v>
      </c>
      <c r="AC93" s="40" t="n">
        <f aca="false">$E$90*(CHOOSE($L$90,Timing!R$7,Timing!R$8)-CHOOSE($L$90,Timing!Q$7,Timing!Q$8))</f>
        <v>0.0229833333333334</v>
      </c>
      <c r="AD93" s="40" t="n">
        <f aca="false">$E$90*(CHOOSE($L$90,Timing!S$7,Timing!S$8)-CHOOSE($L$90,Timing!R$7,Timing!R$8))</f>
        <v>0.0229833333333333</v>
      </c>
      <c r="AE93" s="40" t="n">
        <f aca="false">$E$90*(CHOOSE($L$90,Timing!T$7,Timing!T$8)-CHOOSE($L$90,Timing!S$7,Timing!S$8))</f>
        <v>0.0229833333333333</v>
      </c>
      <c r="AF93" s="40" t="n">
        <f aca="false">$E$90*(CHOOSE($L$90,Timing!U$7,Timing!U$8)-CHOOSE($L$90,Timing!T$7,Timing!T$8))</f>
        <v>0.0229833333333333</v>
      </c>
      <c r="AG93" s="40" t="n">
        <f aca="false">$E$90*(CHOOSE($L$90,Timing!V$7,Timing!V$8)-CHOOSE($L$90,Timing!U$7,Timing!U$8))</f>
        <v>0.0164166666666667</v>
      </c>
      <c r="AH93" s="40" t="n">
        <f aca="false">$E$90*(CHOOSE($L$90,Timing!W$7,Timing!W$8)-CHOOSE($L$90,Timing!V$7,Timing!V$8))</f>
        <v>0.0164166666666666</v>
      </c>
      <c r="AI93" s="40" t="n">
        <f aca="false">$E$90*(CHOOSE($L$90,Timing!X$7,Timing!X$8)-CHOOSE($L$90,Timing!W$7,Timing!W$8))</f>
        <v>0.0164166666666666</v>
      </c>
      <c r="AJ93" s="40" t="n">
        <f aca="false">$E$90*(CHOOSE($L$90,Timing!Y$7,Timing!Y$8)-CHOOSE($L$90,Timing!X$7,Timing!X$8))</f>
        <v>0.0164166666666667</v>
      </c>
      <c r="AK93" s="40" t="n">
        <f aca="false">$E$90*(CHOOSE($L$90,Timing!Z$7,Timing!Z$8)-CHOOSE($L$90,Timing!Y$7,Timing!Y$8))</f>
        <v>0.0164166666666667</v>
      </c>
      <c r="AL93" s="40" t="n">
        <f aca="false">$E$90*(CHOOSE($L$90,Timing!AA$7,Timing!AA$8)-CHOOSE($L$90,Timing!Z$7,Timing!Z$8))</f>
        <v>0.0164166666666666</v>
      </c>
    </row>
    <row r="94" customFormat="false" ht="15" hidden="false" customHeight="false" outlineLevel="0" collapsed="false">
      <c r="B94" s="9" t="s">
        <v>186</v>
      </c>
      <c r="N94" s="42" t="n">
        <f aca="false">0</f>
        <v>0</v>
      </c>
      <c r="O94" s="42" t="n">
        <f aca="false">$D$90*(1+IF($C$90&lt;=0,0,MAX($C$90*O$5/12,Inputs!$C$8)))+$I$90*(O$5&gt;Inputs!$C$12)*$D$90*(1+Inputs!$C$11*(O$5-Inputs!$C$12)/12)</f>
        <v>4200</v>
      </c>
      <c r="P94" s="42" t="n">
        <f aca="false">$D$90*(1+IF($C$90&lt;=0,0,MAX($C$90*P$5/12,Inputs!$C$8)))+$I$90*(P$5&gt;Inputs!$C$12)*$D$90*(1+Inputs!$C$11*(P$5-Inputs!$C$12)/12)</f>
        <v>4200</v>
      </c>
      <c r="Q94" s="42" t="n">
        <f aca="false">$D$90*(1+IF($C$90&lt;=0,0,MAX($C$90*Q$5/12,Inputs!$C$8)))+$I$90*(Q$5&gt;Inputs!$C$12)*$D$90*(1+Inputs!$C$11*(Q$5-Inputs!$C$12)/12)</f>
        <v>4200</v>
      </c>
      <c r="R94" s="42" t="n">
        <f aca="false">$D$90*(1+IF($C$90&lt;=0,0,MAX($C$90*R$5/12,Inputs!$C$8)))+$I$90*(R$5&gt;Inputs!$C$12)*$D$90*(1+Inputs!$C$11*(R$5-Inputs!$C$12)/12)</f>
        <v>4200</v>
      </c>
      <c r="S94" s="42" t="n">
        <f aca="false">$D$90*(1+IF($C$90&lt;=0,0,MAX($C$90*S$5/12,Inputs!$C$8)))+$I$90*(S$5&gt;Inputs!$C$12)*$D$90*(1+Inputs!$C$11*(S$5-Inputs!$C$12)/12)</f>
        <v>4200</v>
      </c>
      <c r="T94" s="42" t="n">
        <f aca="false">$D$90*(1+IF($C$90&lt;=0,0,MAX($C$90*T$5/12,Inputs!$C$8)))+$I$90*(T$5&gt;Inputs!$C$12)*$D$90*(1+Inputs!$C$11*(T$5-Inputs!$C$12)/12)</f>
        <v>4200</v>
      </c>
      <c r="U94" s="42" t="n">
        <f aca="false">$D$90*(1+IF($C$90&lt;=0,0,MAX($C$90*U$5/12,Inputs!$C$8)))+$I$90*(U$5&gt;Inputs!$C$12)*$D$90*(1+Inputs!$C$11*(U$5-Inputs!$C$12)/12)</f>
        <v>4200</v>
      </c>
      <c r="V94" s="42" t="n">
        <f aca="false">$D$90*(1+IF($C$90&lt;=0,0,MAX($C$90*V$5/12,Inputs!$C$8)))+$I$90*(V$5&gt;Inputs!$C$12)*$D$90*(1+Inputs!$C$11*(V$5-Inputs!$C$12)/12)</f>
        <v>4200</v>
      </c>
      <c r="W94" s="42" t="n">
        <f aca="false">$D$90*(1+IF($C$90&lt;=0,0,MAX($C$90*W$5/12,Inputs!$C$8)))+$I$90*(W$5&gt;Inputs!$C$12)*$D$90*(1+Inputs!$C$11*(W$5-Inputs!$C$12)/12)</f>
        <v>4200</v>
      </c>
      <c r="X94" s="42" t="n">
        <f aca="false">$D$90*(1+IF($C$90&lt;=0,0,MAX($C$90*X$5/12,Inputs!$C$8)))+$I$90*(X$5&gt;Inputs!$C$12)*$D$90*(1+Inputs!$C$11*(X$5-Inputs!$C$12)/12)</f>
        <v>4200</v>
      </c>
      <c r="Y94" s="42" t="n">
        <f aca="false">$D$90*(1+IF($C$90&lt;=0,0,MAX($C$90*Y$5/12,Inputs!$C$8)))+$I$90*(Y$5&gt;Inputs!$C$12)*$D$90*(1+Inputs!$C$11*(Y$5-Inputs!$C$12)/12)</f>
        <v>4200</v>
      </c>
      <c r="Z94" s="42" t="n">
        <f aca="false">$D$90*(1+IF($C$90&lt;=0,0,MAX($C$90*Z$5/12,Inputs!$C$8)))+$I$90*(Z$5&gt;Inputs!$C$12)*$D$90*(1+Inputs!$C$11*(Z$5-Inputs!$C$12)/12)</f>
        <v>4200</v>
      </c>
      <c r="AA94" s="42" t="n">
        <f aca="false">$D$90*(1+IF($C$90&lt;=0,0,MAX($C$90*AA$5/12,Inputs!$C$8)))+$I$90*(AA$5&gt;Inputs!$C$12)*$D$90*(1+Inputs!$C$11*(AA$5-Inputs!$C$12)/12)</f>
        <v>8463</v>
      </c>
      <c r="AB94" s="42" t="n">
        <f aca="false">$D$90*(1+IF($C$90&lt;=0,0,MAX($C$90*AB$5/12,Inputs!$C$8)))+$I$90*(AB$5&gt;Inputs!$C$12)*$D$90*(1+Inputs!$C$11*(AB$5-Inputs!$C$12)/12)</f>
        <v>8526</v>
      </c>
      <c r="AC94" s="42" t="n">
        <f aca="false">$D$90*(1+IF($C$90&lt;=0,0,MAX($C$90*AC$5/12,Inputs!$C$8)))+$I$90*(AC$5&gt;Inputs!$C$12)*$D$90*(1+Inputs!$C$11*(AC$5-Inputs!$C$12)/12)</f>
        <v>8589</v>
      </c>
      <c r="AD94" s="42" t="n">
        <f aca="false">$D$90*(1+IF($C$90&lt;=0,0,MAX($C$90*AD$5/12,Inputs!$C$8)))+$I$90*(AD$5&gt;Inputs!$C$12)*$D$90*(1+Inputs!$C$11*(AD$5-Inputs!$C$12)/12)</f>
        <v>8652</v>
      </c>
      <c r="AE94" s="42" t="n">
        <f aca="false">$D$90*(1+IF($C$90&lt;=0,0,MAX($C$90*AE$5/12,Inputs!$C$8)))+$I$90*(AE$5&gt;Inputs!$C$12)*$D$90*(1+Inputs!$C$11*(AE$5-Inputs!$C$12)/12)</f>
        <v>8715</v>
      </c>
      <c r="AF94" s="42" t="n">
        <f aca="false">$D$90*(1+IF($C$90&lt;=0,0,MAX($C$90*AF$5/12,Inputs!$C$8)))+$I$90*(AF$5&gt;Inputs!$C$12)*$D$90*(1+Inputs!$C$11*(AF$5-Inputs!$C$12)/12)</f>
        <v>8778</v>
      </c>
      <c r="AG94" s="42" t="n">
        <f aca="false">$D$90*(1+IF($C$90&lt;=0,0,MAX($C$90*AG$5/12,Inputs!$C$8)))+$I$90*(AG$5&gt;Inputs!$C$12)*$D$90*(1+Inputs!$C$11*(AG$5-Inputs!$C$12)/12)</f>
        <v>8841</v>
      </c>
      <c r="AH94" s="42" t="n">
        <f aca="false">$D$90*(1+IF($C$90&lt;=0,0,MAX($C$90*AH$5/12,Inputs!$C$8)))+$I$90*(AH$5&gt;Inputs!$C$12)*$D$90*(1+Inputs!$C$11*(AH$5-Inputs!$C$12)/12)</f>
        <v>8904</v>
      </c>
      <c r="AI94" s="42" t="n">
        <f aca="false">$D$90*(1+IF($C$90&lt;=0,0,MAX($C$90*AI$5/12,Inputs!$C$8)))+$I$90*(AI$5&gt;Inputs!$C$12)*$D$90*(1+Inputs!$C$11*(AI$5-Inputs!$C$12)/12)</f>
        <v>8967</v>
      </c>
      <c r="AJ94" s="42" t="n">
        <f aca="false">$D$90*(1+IF($C$90&lt;=0,0,MAX($C$90*AJ$5/12,Inputs!$C$8)))+$I$90*(AJ$5&gt;Inputs!$C$12)*$D$90*(1+Inputs!$C$11*(AJ$5-Inputs!$C$12)/12)</f>
        <v>9030</v>
      </c>
      <c r="AK94" s="42" t="n">
        <f aca="false">$D$90*(1+IF($C$90&lt;=0,0,MAX($C$90*AK$5/12,Inputs!$C$8)))+$I$90*(AK$5&gt;Inputs!$C$12)*$D$90*(1+Inputs!$C$11*(AK$5-Inputs!$C$12)/12)</f>
        <v>9093</v>
      </c>
      <c r="AL94" s="42" t="n">
        <f aca="false">$D$90*(1+IF($C$90&lt;=0,0,MAX($C$90*AL$5/12,Inputs!$C$8)))+$I$90*(AL$5&gt;Inputs!$C$12)*$D$90*(1+Inputs!$C$11*(AL$5-Inputs!$C$12)/12)</f>
        <v>9156</v>
      </c>
    </row>
    <row r="95" customFormat="false" ht="15" hidden="false" customHeight="false" outlineLevel="0" collapsed="false">
      <c r="B95" s="31" t="s">
        <v>187</v>
      </c>
      <c r="N95" s="42" t="n">
        <f aca="false">-($D$90+$J$90)*(N$5=0)+IF(AND(N$5-$K$90&gt;=1,N$5-$K$90&lt;=Inputs!$C$13),INDEX($N$93:$AL$93,1,N$5-$K$90+1)*INDEX($N$94:$AL$94,1,N$5-$K$90+1),0)-$I$90*((N$5=Inputs!$C$12)*$C$92*$D$90+(N$5=Inputs!$C$13)*$D$92*($D$90+Inputs!$C$14))+$I$90*((N$5=Inputs!$C$15+$K$90)*$E$92*$I$92+(N$5=Inputs!$C$16+$K$90)*$F$92*$J$92+(N$5=Inputs!$C$17)*$G$92*$H$90*$H$92)</f>
        <v>-4210</v>
      </c>
      <c r="O95" s="42" t="n">
        <f aca="false">-($D$90+$J$90)*(O$5=0)+IF(AND(O$5-$K$90&gt;=1,O$5-$K$90&lt;=Inputs!$C$13),INDEX($N$93:$AL$93,1,O$5-$K$90+1)*INDEX($N$94:$AL$94,1,O$5-$K$90+1),0)-$I$90*((O$5=Inputs!$C$12)*$C$92*$D$90+(O$5=Inputs!$C$13)*$D$92*($D$90+Inputs!$C$14))+$I$90*((O$5=Inputs!$C$15+$K$90)*$E$92*$I$92+(O$5=Inputs!$C$16+$K$90)*$F$92*$J$92+(O$5=Inputs!$C$17)*$G$92*$H$90*$H$92)</f>
        <v>0</v>
      </c>
      <c r="P95" s="42" t="n">
        <f aca="false">-($D$90+$J$90)*(P$5=0)+IF(AND(P$5-$K$90&gt;=1,P$5-$K$90&lt;=Inputs!$C$13),INDEX($N$93:$AL$93,1,P$5-$K$90+1)*INDEX($N$94:$AL$94,1,P$5-$K$90+1),0)-$I$90*((P$5=Inputs!$C$12)*$C$92*$D$90+(P$5=Inputs!$C$13)*$D$92*($D$90+Inputs!$C$14))+$I$90*((P$5=Inputs!$C$15+$K$90)*$E$92*$I$92+(P$5=Inputs!$C$16+$K$90)*$F$92*$J$92+(P$5=Inputs!$C$17)*$G$92*$H$90*$H$92)</f>
        <v>496.44</v>
      </c>
      <c r="Q95" s="42" t="n">
        <f aca="false">-($D$90+$J$90)*(Q$5=0)+IF(AND(Q$5-$K$90&gt;=1,Q$5-$K$90&lt;=Inputs!$C$13),INDEX($N$93:$AL$93,1,Q$5-$K$90+1)*INDEX($N$94:$AL$94,1,Q$5-$K$90+1),0)-$I$90*((Q$5=Inputs!$C$12)*$C$92*$D$90+(Q$5=Inputs!$C$13)*$D$92*($D$90+Inputs!$C$14))+$I$90*((Q$5=Inputs!$C$15+$K$90)*$E$92*$I$92+(Q$5=Inputs!$C$16+$K$90)*$F$92*$J$92+(Q$5=Inputs!$C$17)*$G$92*$H$90*$H$92)</f>
        <v>413.7</v>
      </c>
      <c r="R95" s="42" t="n">
        <f aca="false">-($D$90+$J$90)*(R$5=0)+IF(AND(R$5-$K$90&gt;=1,R$5-$K$90&lt;=Inputs!$C$13),INDEX($N$93:$AL$93,1,R$5-$K$90+1)*INDEX($N$94:$AL$94,1,R$5-$K$90+1),0)-$I$90*((R$5=Inputs!$C$12)*$C$92*$D$90+(R$5=Inputs!$C$13)*$D$92*($D$90+Inputs!$C$14))+$I$90*((R$5=Inputs!$C$15+$K$90)*$E$92*$I$92+(R$5=Inputs!$C$16+$K$90)*$F$92*$J$92+(R$5=Inputs!$C$17)*$G$92*$H$90*$H$92)</f>
        <v>372.33</v>
      </c>
      <c r="S95" s="42" t="n">
        <f aca="false">-($D$90+$J$90)*(S$5=0)+IF(AND(S$5-$K$90&gt;=1,S$5-$K$90&lt;=Inputs!$C$13),INDEX($N$93:$AL$93,1,S$5-$K$90+1)*INDEX($N$94:$AL$94,1,S$5-$K$90+1),0)-$I$90*((S$5=Inputs!$C$12)*$C$92*$D$90+(S$5=Inputs!$C$13)*$D$92*($D$90+Inputs!$C$14))+$I$90*((S$5=Inputs!$C$15+$K$90)*$E$92*$I$92+(S$5=Inputs!$C$16+$K$90)*$F$92*$J$92+(S$5=Inputs!$C$17)*$G$92*$H$90*$H$92)</f>
        <v>289.59</v>
      </c>
      <c r="T95" s="42" t="n">
        <f aca="false">-($D$90+$J$90)*(T$5=0)+IF(AND(T$5-$K$90&gt;=1,T$5-$K$90&lt;=Inputs!$C$13),INDEX($N$93:$AL$93,1,T$5-$K$90+1)*INDEX($N$94:$AL$94,1,T$5-$K$90+1),0)-$I$90*((T$5=Inputs!$C$12)*$C$92*$D$90+(T$5=Inputs!$C$13)*$D$92*($D$90+Inputs!$C$14))+$I$90*((T$5=Inputs!$C$15+$K$90)*$E$92*$I$92+(T$5=Inputs!$C$16+$K$90)*$F$92*$J$92+(T$5=Inputs!$C$17)*$G$92*$H$90*$H$92)</f>
        <v>289.59</v>
      </c>
      <c r="U95" s="42" t="n">
        <f aca="false">-($D$90+$J$90)*(U$5=0)+IF(AND(U$5-$K$90&gt;=1,U$5-$K$90&lt;=Inputs!$C$13),INDEX($N$93:$AL$93,1,U$5-$K$90+1)*INDEX($N$94:$AL$94,1,U$5-$K$90+1),0)-$I$90*((U$5=Inputs!$C$12)*$C$92*$D$90+(U$5=Inputs!$C$13)*$D$92*($D$90+Inputs!$C$14))+$I$90*((U$5=Inputs!$C$15+$K$90)*$E$92*$I$92+(U$5=Inputs!$C$16+$K$90)*$F$92*$J$92+(U$5=Inputs!$C$17)*$G$92*$H$90*$H$92)</f>
        <v>289.59</v>
      </c>
      <c r="V95" s="42" t="n">
        <f aca="false">-($D$90+$J$90)*(V$5=0)+IF(AND(V$5-$K$90&gt;=1,V$5-$K$90&lt;=Inputs!$C$13),INDEX($N$93:$AL$93,1,V$5-$K$90+1)*INDEX($N$94:$AL$94,1,V$5-$K$90+1),0)-$I$90*((V$5=Inputs!$C$12)*$C$92*$D$90+(V$5=Inputs!$C$13)*$D$92*($D$90+Inputs!$C$14))+$I$90*((V$5=Inputs!$C$15+$K$90)*$E$92*$I$92+(V$5=Inputs!$C$16+$K$90)*$F$92*$J$92+(V$5=Inputs!$C$17)*$G$92*$H$90*$H$92)</f>
        <v>179.27</v>
      </c>
      <c r="W95" s="42" t="n">
        <f aca="false">-($D$90+$J$90)*(W$5=0)+IF(AND(W$5-$K$90&gt;=1,W$5-$K$90&lt;=Inputs!$C$13),INDEX($N$93:$AL$93,1,W$5-$K$90+1)*INDEX($N$94:$AL$94,1,W$5-$K$90+1),0)-$I$90*((W$5=Inputs!$C$12)*$C$92*$D$90+(W$5=Inputs!$C$13)*$D$92*($D$90+Inputs!$C$14))+$I$90*((W$5=Inputs!$C$15+$K$90)*$E$92*$I$92+(W$5=Inputs!$C$16+$K$90)*$F$92*$J$92+(W$5=Inputs!$C$17)*$G$92*$H$90*$H$92)</f>
        <v>179.27</v>
      </c>
      <c r="X95" s="42" t="n">
        <f aca="false">-($D$90+$J$90)*(X$5=0)+IF(AND(X$5-$K$90&gt;=1,X$5-$K$90&lt;=Inputs!$C$13),INDEX($N$93:$AL$93,1,X$5-$K$90+1)*INDEX($N$94:$AL$94,1,X$5-$K$90+1),0)-$I$90*((X$5=Inputs!$C$12)*$C$92*$D$90+(X$5=Inputs!$C$13)*$D$92*($D$90+Inputs!$C$14))+$I$90*((X$5=Inputs!$C$15+$K$90)*$E$92*$I$92+(X$5=Inputs!$C$16+$K$90)*$F$92*$J$92+(X$5=Inputs!$C$17)*$G$92*$H$90*$H$92)</f>
        <v>179.27</v>
      </c>
      <c r="Y95" s="42" t="n">
        <f aca="false">-($D$90+$J$90)*(Y$5=0)+IF(AND(Y$5-$K$90&gt;=1,Y$5-$K$90&lt;=Inputs!$C$13),INDEX($N$93:$AL$93,1,Y$5-$K$90+1)*INDEX($N$94:$AL$94,1,Y$5-$K$90+1),0)-$I$90*((Y$5=Inputs!$C$12)*$C$92*$D$90+(Y$5=Inputs!$C$13)*$D$92*($D$90+Inputs!$C$14))+$I$90*((Y$5=Inputs!$C$15+$K$90)*$E$92*$I$92+(Y$5=Inputs!$C$16+$K$90)*$F$92*$J$92+(Y$5=Inputs!$C$17)*$G$92*$H$90*$H$92)</f>
        <v>151.69</v>
      </c>
      <c r="Z95" s="42" t="n">
        <f aca="false">-($D$90+$J$90)*(Z$5=0)+IF(AND(Z$5-$K$90&gt;=1,Z$5-$K$90&lt;=Inputs!$C$13),INDEX($N$93:$AL$93,1,Z$5-$K$90+1)*INDEX($N$94:$AL$94,1,Z$5-$K$90+1),0)-$I$90*((Z$5=Inputs!$C$12)*$C$92*$D$90+(Z$5=Inputs!$C$13)*$D$92*($D$90+Inputs!$C$14))+$I$90*((Z$5=Inputs!$C$15+$K$90)*$E$92*$I$92+(Z$5=Inputs!$C$16+$K$90)*$F$92*$J$92+(Z$5=Inputs!$C$17)*$G$92*$H$90*$H$92)</f>
        <v>-904.19</v>
      </c>
      <c r="AA95" s="42" t="n">
        <f aca="false">-($D$90+$J$90)*(AA$5=0)+IF(AND(AA$5-$K$90&gt;=1,AA$5-$K$90&lt;=Inputs!$C$13),INDEX($N$93:$AL$93,1,AA$5-$K$90+1)*INDEX($N$94:$AL$94,1,AA$5-$K$90+1),0)-$I$90*((AA$5=Inputs!$C$12)*$C$92*$D$90+(AA$5=Inputs!$C$13)*$D$92*($D$90+Inputs!$C$14))+$I$90*((AA$5=Inputs!$C$15+$K$90)*$E$92*$I$92+(AA$5=Inputs!$C$16+$K$90)*$F$92*$J$92+(AA$5=Inputs!$C$17)*$G$92*$H$90*$H$92)</f>
        <v>151.69</v>
      </c>
      <c r="AB95" s="42" t="n">
        <f aca="false">-($D$90+$J$90)*(AB$5=0)+IF(AND(AB$5-$K$90&gt;=1,AB$5-$K$90&lt;=Inputs!$C$13),INDEX($N$93:$AL$93,1,AB$5-$K$90+1)*INDEX($N$94:$AL$94,1,AB$5-$K$90+1),0)-$I$90*((AB$5=Inputs!$C$12)*$C$92*$D$90+(AB$5=Inputs!$C$13)*$D$92*($D$90+Inputs!$C$14))+$I$90*((AB$5=Inputs!$C$15+$K$90)*$E$92*$I$92+(AB$5=Inputs!$C$16+$K$90)*$F$92*$J$92+(AB$5=Inputs!$C$17)*$G$92*$H$90*$H$92)</f>
        <v>194.50795</v>
      </c>
      <c r="AC95" s="42" t="n">
        <f aca="false">-($D$90+$J$90)*(AC$5=0)+IF(AND(AC$5-$K$90&gt;=1,AC$5-$K$90&lt;=Inputs!$C$13),INDEX($N$93:$AL$93,1,AC$5-$K$90+1)*INDEX($N$94:$AL$94,1,AC$5-$K$90+1),0)-$I$90*((AC$5=Inputs!$C$12)*$C$92*$D$90+(AC$5=Inputs!$C$13)*$D$92*($D$90+Inputs!$C$14))+$I$90*((AC$5=Inputs!$C$15+$K$90)*$E$92*$I$92+(AC$5=Inputs!$C$16+$K$90)*$F$92*$J$92+(AC$5=Inputs!$C$17)*$G$92*$H$90*$H$92)</f>
        <v>195.9559</v>
      </c>
      <c r="AD95" s="42" t="n">
        <f aca="false">-($D$90+$J$90)*(AD$5=0)+IF(AND(AD$5-$K$90&gt;=1,AD$5-$K$90&lt;=Inputs!$C$13),INDEX($N$93:$AL$93,1,AD$5-$K$90+1)*INDEX($N$94:$AL$94,1,AD$5-$K$90+1),0)-$I$90*((AD$5=Inputs!$C$12)*$C$92*$D$90+(AD$5=Inputs!$C$13)*$D$92*($D$90+Inputs!$C$14))+$I$90*((AD$5=Inputs!$C$15+$K$90)*$E$92*$I$92+(AD$5=Inputs!$C$16+$K$90)*$F$92*$J$92+(AD$5=Inputs!$C$17)*$G$92*$H$90*$H$92)</f>
        <v>197.403850000001</v>
      </c>
      <c r="AE95" s="42" t="n">
        <f aca="false">-($D$90+$J$90)*(AE$5=0)+IF(AND(AE$5-$K$90&gt;=1,AE$5-$K$90&lt;=Inputs!$C$13),INDEX($N$93:$AL$93,1,AE$5-$K$90+1)*INDEX($N$94:$AL$94,1,AE$5-$K$90+1),0)-$I$90*((AE$5=Inputs!$C$12)*$C$92*$D$90+(AE$5=Inputs!$C$13)*$D$92*($D$90+Inputs!$C$14))+$I$90*((AE$5=Inputs!$C$15+$K$90)*$E$92*$I$92+(AE$5=Inputs!$C$16+$K$90)*$F$92*$J$92+(AE$5=Inputs!$C$17)*$G$92*$H$90*$H$92)</f>
        <v>198.8518</v>
      </c>
      <c r="AF95" s="42" t="n">
        <f aca="false">-($D$90+$J$90)*(AF$5=0)+IF(AND(AF$5-$K$90&gt;=1,AF$5-$K$90&lt;=Inputs!$C$13),INDEX($N$93:$AL$93,1,AF$5-$K$90+1)*INDEX($N$94:$AL$94,1,AF$5-$K$90+1),0)-$I$90*((AF$5=Inputs!$C$12)*$C$92*$D$90+(AF$5=Inputs!$C$13)*$D$92*($D$90+Inputs!$C$14))+$I$90*((AF$5=Inputs!$C$15+$K$90)*$E$92*$I$92+(AF$5=Inputs!$C$16+$K$90)*$F$92*$J$92+(AF$5=Inputs!$C$17)*$G$92*$H$90*$H$92)</f>
        <v>200.29975</v>
      </c>
      <c r="AG95" s="42" t="n">
        <f aca="false">-($D$90+$J$90)*(AG$5=0)+IF(AND(AG$5-$K$90&gt;=1,AG$5-$K$90&lt;=Inputs!$C$13),INDEX($N$93:$AL$93,1,AG$5-$K$90+1)*INDEX($N$94:$AL$94,1,AG$5-$K$90+1),0)-$I$90*((AG$5=Inputs!$C$12)*$C$92*$D$90+(AG$5=Inputs!$C$13)*$D$92*($D$90+Inputs!$C$14))+$I$90*((AG$5=Inputs!$C$15+$K$90)*$E$92*$I$92+(AG$5=Inputs!$C$16+$K$90)*$F$92*$J$92+(AG$5=Inputs!$C$17)*$G$92*$H$90*$H$92)</f>
        <v>201.7477</v>
      </c>
      <c r="AH95" s="42" t="n">
        <f aca="false">-($D$90+$J$90)*(AH$5=0)+IF(AND(AH$5-$K$90&gt;=1,AH$5-$K$90&lt;=Inputs!$C$13),INDEX($N$93:$AL$93,1,AH$5-$K$90+1)*INDEX($N$94:$AL$94,1,AH$5-$K$90+1),0)-$I$90*((AH$5=Inputs!$C$12)*$C$92*$D$90+(AH$5=Inputs!$C$13)*$D$92*($D$90+Inputs!$C$14))+$I$90*((AH$5=Inputs!$C$15+$K$90)*$E$92*$I$92+(AH$5=Inputs!$C$16+$K$90)*$F$92*$J$92+(AH$5=Inputs!$C$17)*$G$92*$H$90*$H$92)</f>
        <v>145.13975</v>
      </c>
      <c r="AI95" s="42" t="n">
        <f aca="false">-($D$90+$J$90)*(AI$5=0)+IF(AND(AI$5-$K$90&gt;=1,AI$5-$K$90&lt;=Inputs!$C$13),INDEX($N$93:$AL$93,1,AI$5-$K$90+1)*INDEX($N$94:$AL$94,1,AI$5-$K$90+1),0)-$I$90*((AI$5=Inputs!$C$12)*$C$92*$D$90+(AI$5=Inputs!$C$13)*$D$92*($D$90+Inputs!$C$14))+$I$90*((AI$5=Inputs!$C$15+$K$90)*$E$92*$I$92+(AI$5=Inputs!$C$16+$K$90)*$F$92*$J$92+(AI$5=Inputs!$C$17)*$G$92*$H$90*$H$92)</f>
        <v>146.173999999999</v>
      </c>
      <c r="AJ95" s="42" t="n">
        <f aca="false">-($D$90+$J$90)*(AJ$5=0)+IF(AND(AJ$5-$K$90&gt;=1,AJ$5-$K$90&lt;=Inputs!$C$13),INDEX($N$93:$AL$93,1,AJ$5-$K$90+1)*INDEX($N$94:$AL$94,1,AJ$5-$K$90+1),0)-$I$90*((AJ$5=Inputs!$C$12)*$C$92*$D$90+(AJ$5=Inputs!$C$13)*$D$92*($D$90+Inputs!$C$14))+$I$90*((AJ$5=Inputs!$C$15+$K$90)*$E$92*$I$92+(AJ$5=Inputs!$C$16+$K$90)*$F$92*$J$92+(AJ$5=Inputs!$C$17)*$G$92*$H$90*$H$92)</f>
        <v>147.208249999999</v>
      </c>
      <c r="AK95" s="42" t="n">
        <f aca="false">-($D$90+$J$90)*(AK$5=0)+IF(AND(AK$5-$K$90&gt;=1,AK$5-$K$90&lt;=Inputs!$C$13),INDEX($N$93:$AL$93,1,AK$5-$K$90+1)*INDEX($N$94:$AL$94,1,AK$5-$K$90+1),0)-$I$90*((AK$5=Inputs!$C$12)*$C$92*$D$90+(AK$5=Inputs!$C$13)*$D$92*($D$90+Inputs!$C$14))+$I$90*((AK$5=Inputs!$C$15+$K$90)*$E$92*$I$92+(AK$5=Inputs!$C$16+$K$90)*$F$92*$J$92+(AK$5=Inputs!$C$17)*$G$92*$H$90*$H$92)</f>
        <v>148.2425</v>
      </c>
      <c r="AL95" s="42" t="n">
        <f aca="false">-($D$90+$J$90)*(AL$5=0)+IF(AND(AL$5-$K$90&gt;=1,AL$5-$K$90&lt;=Inputs!$C$13),INDEX($N$93:$AL$93,1,AL$5-$K$90+1)*INDEX($N$94:$AL$94,1,AL$5-$K$90+1),0)-$I$90*((AL$5=Inputs!$C$12)*$C$92*$D$90+(AL$5=Inputs!$C$13)*$D$92*($D$90+Inputs!$C$14))+$I$90*((AL$5=Inputs!$C$15+$K$90)*$E$92*$I$92+(AL$5=Inputs!$C$16+$K$90)*$F$92*$J$92+(AL$5=Inputs!$C$17)*$G$92*$H$90*$H$92)</f>
        <v>59.2767500000004</v>
      </c>
      <c r="AM95" s="42" t="n">
        <f aca="false">-($D$90+$J$90)*(AM$5=0)+IF(AND(AM$5-$K$90&gt;=1,AM$5-$K$90&lt;=Inputs!$C$13),INDEX($N$93:$AL$93,1,AM$5-$K$90+1)*INDEX($N$94:$AL$94,1,AM$5-$K$90+1),0)-$I$90*((AM$5=Inputs!$C$12)*$C$92*$D$90+(AM$5=Inputs!$C$13)*$D$92*($D$90+Inputs!$C$14))+$I$90*((AM$5=Inputs!$C$15+$K$90)*$E$92*$I$92+(AM$5=Inputs!$C$16+$K$90)*$F$92*$J$92+(AM$5=Inputs!$C$17)*$G$92*$H$90*$H$92)</f>
        <v>150.310999999999</v>
      </c>
      <c r="AN95" s="42" t="n">
        <f aca="false">-($D$90+$J$90)*(AN$5=0)+IF(AND(AN$5-$K$90&gt;=1,AN$5-$K$90&lt;=Inputs!$C$13),INDEX($N$93:$AL$93,1,AN$5-$K$90+1)*INDEX($N$94:$AL$94,1,AN$5-$K$90+1),0)-$I$90*((AN$5=Inputs!$C$12)*$C$92*$D$90+(AN$5=Inputs!$C$13)*$D$92*($D$90+Inputs!$C$14))+$I$90*((AN$5=Inputs!$C$15+$K$90)*$E$92*$I$92+(AN$5=Inputs!$C$16+$K$90)*$F$92*$J$92+(AN$5=Inputs!$C$17)*$G$92*$H$90*$H$92)</f>
        <v>0</v>
      </c>
      <c r="AO95" s="42" t="n">
        <f aca="false">-($D$90+$J$90)*(AO$5=0)+IF(AND(AO$5-$K$90&gt;=1,AO$5-$K$90&lt;=Inputs!$C$13),INDEX($N$93:$AL$93,1,AO$5-$K$90+1)*INDEX($N$94:$AL$94,1,AO$5-$K$90+1),0)-$I$90*((AO$5=Inputs!$C$12)*$C$92*$D$90+(AO$5=Inputs!$C$13)*$D$92*($D$90+Inputs!$C$14))+$I$90*((AO$5=Inputs!$C$15+$K$90)*$E$92*$I$92+(AO$5=Inputs!$C$16+$K$90)*$F$92*$J$92+(AO$5=Inputs!$C$17)*$G$92*$H$90*$H$92)</f>
        <v>0</v>
      </c>
      <c r="AP95" s="42" t="n">
        <f aca="false">-($D$90+$J$90)*(AP$5=0)+IF(AND(AP$5-$K$90&gt;=1,AP$5-$K$90&lt;=Inputs!$C$13),INDEX($N$93:$AL$93,1,AP$5-$K$90+1)*INDEX($N$94:$AL$94,1,AP$5-$K$90+1),0)-$I$90*((AP$5=Inputs!$C$12)*$C$92*$D$90+(AP$5=Inputs!$C$13)*$D$92*($D$90+Inputs!$C$14))+$I$90*((AP$5=Inputs!$C$15+$K$90)*$E$92*$I$92+(AP$5=Inputs!$C$16+$K$90)*$F$92*$J$92+(AP$5=Inputs!$C$17)*$G$92*$H$90*$H$92)</f>
        <v>186.408</v>
      </c>
      <c r="AQ95" s="42" t="n">
        <f aca="false">-($D$90+$J$90)*(AQ$5=0)+IF(AND(AQ$5-$K$90&gt;=1,AQ$5-$K$90&lt;=Inputs!$C$13),INDEX($N$93:$AL$93,1,AQ$5-$K$90+1)*INDEX($N$94:$AL$94,1,AQ$5-$K$90+1),0)-$I$90*((AQ$5=Inputs!$C$12)*$C$92*$D$90+(AQ$5=Inputs!$C$13)*$D$92*($D$90+Inputs!$C$14))+$I$90*((AQ$5=Inputs!$C$15+$K$90)*$E$92*$I$92+(AQ$5=Inputs!$C$16+$K$90)*$F$92*$J$92+(AQ$5=Inputs!$C$17)*$G$92*$H$90*$H$92)</f>
        <v>0</v>
      </c>
      <c r="AR95" s="42" t="n">
        <f aca="false">-($D$90+$J$90)*(AR$5=0)+IF(AND(AR$5-$K$90&gt;=1,AR$5-$K$90&lt;=Inputs!$C$13),INDEX($N$93:$AL$93,1,AR$5-$K$90+1)*INDEX($N$94:$AL$94,1,AR$5-$K$90+1),0)-$I$90*((AR$5=Inputs!$C$12)*$C$92*$D$90+(AR$5=Inputs!$C$13)*$D$92*($D$90+Inputs!$C$14))+$I$90*((AR$5=Inputs!$C$15+$K$90)*$E$92*$I$92+(AR$5=Inputs!$C$16+$K$90)*$F$92*$J$92+(AR$5=Inputs!$C$17)*$G$92*$H$90*$H$92)</f>
        <v>0</v>
      </c>
      <c r="AS95" s="42" t="n">
        <f aca="false">-($D$90+$J$90)*(AS$5=0)+IF(AND(AS$5-$K$90&gt;=1,AS$5-$K$90&lt;=Inputs!$C$13),INDEX($N$93:$AL$93,1,AS$5-$K$90+1)*INDEX($N$94:$AL$94,1,AS$5-$K$90+1),0)-$I$90*((AS$5=Inputs!$C$12)*$C$92*$D$90+(AS$5=Inputs!$C$13)*$D$92*($D$90+Inputs!$C$14))+$I$90*((AS$5=Inputs!$C$15+$K$90)*$E$92*$I$92+(AS$5=Inputs!$C$16+$K$90)*$F$92*$J$92+(AS$5=Inputs!$C$17)*$G$92*$H$90*$H$92)</f>
        <v>45.3492</v>
      </c>
      <c r="AT95" s="42" t="n">
        <f aca="false">-($D$90+$J$90)*(AT$5=0)+IF(AND(AT$5-$K$90&gt;=1,AT$5-$K$90&lt;=Inputs!$C$13),INDEX($N$93:$AL$93,1,AT$5-$K$90+1)*INDEX($N$94:$AL$94,1,AT$5-$K$90+1),0)-$I$90*((AT$5=Inputs!$C$12)*$C$92*$D$90+(AT$5=Inputs!$C$13)*$D$92*($D$90+Inputs!$C$14))+$I$90*((AT$5=Inputs!$C$15+$K$90)*$E$92*$I$92+(AT$5=Inputs!$C$16+$K$90)*$F$92*$J$92+(AT$5=Inputs!$C$17)*$G$92*$H$90*$H$92)</f>
        <v>0</v>
      </c>
      <c r="AU95" s="42" t="n">
        <f aca="false">-($D$90+$J$90)*(AU$5=0)+IF(AND(AU$5-$K$90&gt;=1,AU$5-$K$90&lt;=Inputs!$C$13),INDEX($N$93:$AL$93,1,AU$5-$K$90+1)*INDEX($N$94:$AL$94,1,AU$5-$K$90+1),0)-$I$90*((AU$5=Inputs!$C$12)*$C$92*$D$90+(AU$5=Inputs!$C$13)*$D$92*($D$90+Inputs!$C$14))+$I$90*((AU$5=Inputs!$C$15+$K$90)*$E$92*$I$92+(AU$5=Inputs!$C$16+$K$90)*$F$92*$J$92+(AU$5=Inputs!$C$17)*$G$92*$H$90*$H$92)</f>
        <v>0</v>
      </c>
      <c r="AV95" s="42" t="n">
        <f aca="false">-($D$90+$J$90)*(AV$5=0)+IF(AND(AV$5-$K$90&gt;=1,AV$5-$K$90&lt;=Inputs!$C$13),INDEX($N$93:$AL$93,1,AV$5-$K$90+1)*INDEX($N$94:$AL$94,1,AV$5-$K$90+1),0)-$I$90*((AV$5=Inputs!$C$12)*$C$92*$D$90+(AV$5=Inputs!$C$13)*$D$92*($D$90+Inputs!$C$14))+$I$90*((AV$5=Inputs!$C$15+$K$90)*$E$92*$I$92+(AV$5=Inputs!$C$16+$K$90)*$F$92*$J$92+(AV$5=Inputs!$C$17)*$G$92*$H$90*$H$92)</f>
        <v>0</v>
      </c>
      <c r="AW95" s="42" t="n">
        <f aca="false">-($D$90+$J$90)*(AW$5=0)+IF(AND(AW$5-$K$90&gt;=1,AW$5-$K$90&lt;=Inputs!$C$13),INDEX($N$93:$AL$93,1,AW$5-$K$90+1)*INDEX($N$94:$AL$94,1,AW$5-$K$90+1),0)-$I$90*((AW$5=Inputs!$C$12)*$C$92*$D$90+(AW$5=Inputs!$C$13)*$D$92*($D$90+Inputs!$C$14))+$I$90*((AW$5=Inputs!$C$15+$K$90)*$E$92*$I$92+(AW$5=Inputs!$C$16+$K$90)*$F$92*$J$92+(AW$5=Inputs!$C$17)*$G$92*$H$90*$H$92)</f>
        <v>0</v>
      </c>
      <c r="AX95" s="42" t="n">
        <f aca="false">-($D$90+$J$90)*(AX$5=0)+IF(AND(AX$5-$K$90&gt;=1,AX$5-$K$90&lt;=Inputs!$C$13),INDEX($N$93:$AL$93,1,AX$5-$K$90+1)*INDEX($N$94:$AL$94,1,AX$5-$K$90+1),0)-$I$90*((AX$5=Inputs!$C$12)*$C$92*$D$90+(AX$5=Inputs!$C$13)*$D$92*($D$90+Inputs!$C$14))+$I$90*((AX$5=Inputs!$C$15+$K$90)*$E$92*$I$92+(AX$5=Inputs!$C$16+$K$90)*$F$92*$J$92+(AX$5=Inputs!$C$17)*$G$92*$H$90*$H$92)</f>
        <v>1.94400000000001</v>
      </c>
      <c r="AY95" s="42" t="n">
        <f aca="false">-($D$90+$J$90)*(AY$5=0)+IF(AND(AY$5-$K$90&gt;=1,AY$5-$K$90&lt;=Inputs!$C$13),INDEX($N$93:$AL$93,1,AY$5-$K$90+1)*INDEX($N$94:$AL$94,1,AY$5-$K$90+1),0)-$I$90*((AY$5=Inputs!$C$12)*$C$92*$D$90+(AY$5=Inputs!$C$13)*$D$92*($D$90+Inputs!$C$14))+$I$90*((AY$5=Inputs!$C$15+$K$90)*$E$92*$I$92+(AY$5=Inputs!$C$16+$K$90)*$F$92*$J$92+(AY$5=Inputs!$C$17)*$G$92*$H$90*$H$92)</f>
        <v>0</v>
      </c>
    </row>
    <row r="97" customFormat="false" ht="15" hidden="false" customHeight="false" outlineLevel="0" collapsed="false">
      <c r="B97" s="7" t="s">
        <v>233</v>
      </c>
      <c r="C97" s="8"/>
      <c r="D97" s="8"/>
      <c r="E97" s="8"/>
      <c r="F97" s="8"/>
      <c r="G97" s="8"/>
      <c r="H97" s="8"/>
      <c r="I97" s="8"/>
      <c r="J97" s="8"/>
      <c r="K97" s="8"/>
      <c r="L97" s="8"/>
    </row>
    <row r="98" customFormat="false" ht="30" hidden="false" customHeight="true" outlineLevel="0" collapsed="false">
      <c r="B98" s="37"/>
      <c r="C98" s="38" t="s">
        <v>169</v>
      </c>
      <c r="D98" s="38" t="s">
        <v>170</v>
      </c>
      <c r="E98" s="38" t="s">
        <v>171</v>
      </c>
      <c r="F98" s="38" t="s">
        <v>43</v>
      </c>
      <c r="G98" s="38" t="s">
        <v>44</v>
      </c>
      <c r="H98" s="38" t="s">
        <v>45</v>
      </c>
      <c r="I98" s="38" t="s">
        <v>172</v>
      </c>
      <c r="J98" s="38" t="s">
        <v>90</v>
      </c>
      <c r="K98" s="38" t="s">
        <v>89</v>
      </c>
      <c r="L98" s="38" t="s">
        <v>173</v>
      </c>
    </row>
    <row r="99" customFormat="false" ht="15" hidden="false" customHeight="false" outlineLevel="0" collapsed="false">
      <c r="B99" s="39" t="s">
        <v>174</v>
      </c>
      <c r="C99" s="10" t="n">
        <v>0.0025</v>
      </c>
      <c r="D99" s="30" t="n">
        <f aca="false">Inputs!$E$24</f>
        <v>3600</v>
      </c>
      <c r="E99" s="26" t="n">
        <f aca="false">Inputs!$F$24</f>
        <v>0.93</v>
      </c>
      <c r="F99" s="25" t="n">
        <f aca="false">Inputs!$G$24</f>
        <v>0.6</v>
      </c>
      <c r="G99" s="25" t="n">
        <f aca="false">Inputs!$H$24</f>
        <v>0.85</v>
      </c>
      <c r="H99" s="25" t="n">
        <f aca="false">Inputs!$I$24</f>
        <v>0.9</v>
      </c>
      <c r="I99" s="22" t="n">
        <f aca="false">Inputs!$J$24</f>
        <v>1</v>
      </c>
      <c r="J99" s="23" t="n">
        <f aca="false">Inputs!$C$9</f>
        <v>10</v>
      </c>
      <c r="K99" s="22" t="n">
        <f aca="false">Inputs!$C$10</f>
        <v>1</v>
      </c>
      <c r="L99" s="22" t="n">
        <f aca="false">1</f>
        <v>1</v>
      </c>
    </row>
    <row r="100" customFormat="false" ht="30" hidden="false" customHeight="true" outlineLevel="0" collapsed="false">
      <c r="B100" s="37"/>
      <c r="C100" s="38" t="s">
        <v>175</v>
      </c>
      <c r="D100" s="38" t="s">
        <v>176</v>
      </c>
      <c r="E100" s="38" t="s">
        <v>177</v>
      </c>
      <c r="F100" s="38" t="s">
        <v>178</v>
      </c>
      <c r="G100" s="38" t="s">
        <v>112</v>
      </c>
      <c r="H100" s="38" t="s">
        <v>179</v>
      </c>
      <c r="I100" s="38" t="s">
        <v>180</v>
      </c>
      <c r="J100" s="38" t="s">
        <v>181</v>
      </c>
      <c r="K100" s="38" t="s">
        <v>182</v>
      </c>
      <c r="L100" s="38" t="s">
        <v>183</v>
      </c>
    </row>
    <row r="101" customFormat="false" ht="15" hidden="false" customHeight="false" outlineLevel="0" collapsed="false">
      <c r="B101" s="39" t="s">
        <v>184</v>
      </c>
      <c r="C101" s="40" t="n">
        <f aca="false">1-$E$99*CHOOSE($L$99,INDEX(Timing!$C$7:$AA$7,1,Inputs!$C$12+1),INDEX(Timing!$C$8:$AA$8,1,Inputs!$C$12+1))</f>
        <v>0.2932</v>
      </c>
      <c r="D101" s="40" t="n">
        <f aca="false">1-$E$99*CHOOSE($L$99,INDEX(Timing!$C$7:$AA$7,1,Inputs!$C$13+1),INDEX(Timing!$C$8:$AA$8,1,Inputs!$C$13+1))</f>
        <v>0.07</v>
      </c>
      <c r="E101" s="40" t="n">
        <f aca="false">$I$99*$D$101*$F$99</f>
        <v>0.042</v>
      </c>
      <c r="F101" s="40" t="n">
        <f aca="false">$I$99*($D$101-$E$101)*$G$99</f>
        <v>0.0238</v>
      </c>
      <c r="G101" s="40" t="n">
        <f aca="false">$I$99*($D$101-$E$101-$F$101)</f>
        <v>0.0042</v>
      </c>
      <c r="H101" s="23" t="n">
        <f aca="false">$I$99*(3*$D$99+Inputs!$C$14)</f>
        <v>12600</v>
      </c>
      <c r="I101" s="23" t="n">
        <f aca="false">$I$99*($D$99*(1+IF($C$99&lt;=0,0,MAX($C$99*Inputs!$C$15/12,Inputs!$C$8)))+$D$99*(1+Inputs!$C$11*(Inputs!$C$15-Inputs!$C$12)/12)+$D$99*(1+Inputs!$C$11*(Inputs!$C$15-Inputs!$C$13)/12)+Inputs!$C$14)</f>
        <v>13752</v>
      </c>
      <c r="J101" s="23" t="n">
        <f aca="false">$I$99*($D$99*(1+IF($C$99&lt;=0,0,MAX($C$99*Inputs!$C$16/12,Inputs!$C$8)))+$D$99*(1+Inputs!$C$11*(Inputs!$C$16-Inputs!$C$12)/12)+$D$99*(1+Inputs!$C$11*(Inputs!$C$16-Inputs!$C$13)/12)+Inputs!$C$14)</f>
        <v>14076</v>
      </c>
      <c r="K101" s="40" t="n">
        <f aca="false">IRR($N$104:$AY$104,0.005)</f>
        <v>0.00591608408356769</v>
      </c>
      <c r="L101" s="41" t="n">
        <f aca="false">(1+$K$101)^12-1</f>
        <v>0.0733491784311997</v>
      </c>
    </row>
    <row r="102" customFormat="false" ht="15" hidden="false" customHeight="false" outlineLevel="0" collapsed="false">
      <c r="B102" s="9" t="s">
        <v>185</v>
      </c>
      <c r="N102" s="40" t="n">
        <f aca="false">0</f>
        <v>0</v>
      </c>
      <c r="O102" s="40" t="n">
        <f aca="false">$E$99*(CHOOSE($L$99,Timing!D$7,Timing!D$8)-CHOOSE($L$99,Timing!C$7,Timing!C$8))</f>
        <v>0.1116</v>
      </c>
      <c r="P102" s="40" t="n">
        <f aca="false">$E$99*(CHOOSE($L$99,Timing!E$7,Timing!E$8)-CHOOSE($L$99,Timing!D$7,Timing!D$8))</f>
        <v>0.093</v>
      </c>
      <c r="Q102" s="40" t="n">
        <f aca="false">$E$99*(CHOOSE($L$99,Timing!F$7,Timing!F$8)-CHOOSE($L$99,Timing!E$7,Timing!E$8))</f>
        <v>0.0837</v>
      </c>
      <c r="R102" s="40" t="n">
        <f aca="false">$E$99*(CHOOSE($L$99,Timing!G$7,Timing!G$8)-CHOOSE($L$99,Timing!F$7,Timing!F$8))</f>
        <v>0.0651</v>
      </c>
      <c r="S102" s="40" t="n">
        <f aca="false">$E$99*(CHOOSE($L$99,Timing!H$7,Timing!H$8)-CHOOSE($L$99,Timing!G$7,Timing!G$8))</f>
        <v>0.0651</v>
      </c>
      <c r="T102" s="40" t="n">
        <f aca="false">$E$99*(CHOOSE($L$99,Timing!I$7,Timing!I$8)-CHOOSE($L$99,Timing!H$7,Timing!H$8))</f>
        <v>0.0651</v>
      </c>
      <c r="U102" s="40" t="n">
        <f aca="false">$E$99*(CHOOSE($L$99,Timing!J$7,Timing!J$8)-CHOOSE($L$99,Timing!I$7,Timing!I$8))</f>
        <v>0.0403</v>
      </c>
      <c r="V102" s="40" t="n">
        <f aca="false">$E$99*(CHOOSE($L$99,Timing!K$7,Timing!K$8)-CHOOSE($L$99,Timing!J$7,Timing!J$8))</f>
        <v>0.0403</v>
      </c>
      <c r="W102" s="40" t="n">
        <f aca="false">$E$99*(CHOOSE($L$99,Timing!L$7,Timing!L$8)-CHOOSE($L$99,Timing!K$7,Timing!K$8))</f>
        <v>0.0403</v>
      </c>
      <c r="X102" s="40" t="n">
        <f aca="false">$E$99*(CHOOSE($L$99,Timing!M$7,Timing!M$8)-CHOOSE($L$99,Timing!L$7,Timing!L$8))</f>
        <v>0.0341</v>
      </c>
      <c r="Y102" s="40" t="n">
        <f aca="false">$E$99*(CHOOSE($L$99,Timing!N$7,Timing!N$8)-CHOOSE($L$99,Timing!M$7,Timing!M$8))</f>
        <v>0.0341000000000001</v>
      </c>
      <c r="Z102" s="40" t="n">
        <f aca="false">$E$99*(CHOOSE($L$99,Timing!O$7,Timing!O$8)-CHOOSE($L$99,Timing!N$7,Timing!N$8))</f>
        <v>0.0341</v>
      </c>
      <c r="AA102" s="40" t="n">
        <f aca="false">$E$99*(CHOOSE($L$99,Timing!P$7,Timing!P$8)-CHOOSE($L$99,Timing!O$7,Timing!O$8))</f>
        <v>0.0217</v>
      </c>
      <c r="AB102" s="40" t="n">
        <f aca="false">$E$99*(CHOOSE($L$99,Timing!Q$7,Timing!Q$8)-CHOOSE($L$99,Timing!P$7,Timing!P$8))</f>
        <v>0.0217</v>
      </c>
      <c r="AC102" s="40" t="n">
        <f aca="false">$E$99*(CHOOSE($L$99,Timing!R$7,Timing!R$8)-CHOOSE($L$99,Timing!Q$7,Timing!Q$8))</f>
        <v>0.0217000000000001</v>
      </c>
      <c r="AD102" s="40" t="n">
        <f aca="false">$E$99*(CHOOSE($L$99,Timing!S$7,Timing!S$8)-CHOOSE($L$99,Timing!R$7,Timing!R$8))</f>
        <v>0.0217</v>
      </c>
      <c r="AE102" s="40" t="n">
        <f aca="false">$E$99*(CHOOSE($L$99,Timing!T$7,Timing!T$8)-CHOOSE($L$99,Timing!S$7,Timing!S$8))</f>
        <v>0.0217</v>
      </c>
      <c r="AF102" s="40" t="n">
        <f aca="false">$E$99*(CHOOSE($L$99,Timing!U$7,Timing!U$8)-CHOOSE($L$99,Timing!T$7,Timing!T$8))</f>
        <v>0.0217</v>
      </c>
      <c r="AG102" s="40" t="n">
        <f aca="false">$E$99*(CHOOSE($L$99,Timing!V$7,Timing!V$8)-CHOOSE($L$99,Timing!U$7,Timing!U$8))</f>
        <v>0.0155</v>
      </c>
      <c r="AH102" s="40" t="n">
        <f aca="false">$E$99*(CHOOSE($L$99,Timing!W$7,Timing!W$8)-CHOOSE($L$99,Timing!V$7,Timing!V$8))</f>
        <v>0.0154999999999999</v>
      </c>
      <c r="AI102" s="40" t="n">
        <f aca="false">$E$99*(CHOOSE($L$99,Timing!X$7,Timing!X$8)-CHOOSE($L$99,Timing!W$7,Timing!W$8))</f>
        <v>0.0154999999999999</v>
      </c>
      <c r="AJ102" s="40" t="n">
        <f aca="false">$E$99*(CHOOSE($L$99,Timing!Y$7,Timing!Y$8)-CHOOSE($L$99,Timing!X$7,Timing!X$8))</f>
        <v>0.0155</v>
      </c>
      <c r="AK102" s="40" t="n">
        <f aca="false">$E$99*(CHOOSE($L$99,Timing!Z$7,Timing!Z$8)-CHOOSE($L$99,Timing!Y$7,Timing!Y$8))</f>
        <v>0.0155</v>
      </c>
      <c r="AL102" s="40" t="n">
        <f aca="false">$E$99*(CHOOSE($L$99,Timing!AA$7,Timing!AA$8)-CHOOSE($L$99,Timing!Z$7,Timing!Z$8))</f>
        <v>0.0154999999999999</v>
      </c>
    </row>
    <row r="103" customFormat="false" ht="15" hidden="false" customHeight="false" outlineLevel="0" collapsed="false">
      <c r="B103" s="9" t="s">
        <v>186</v>
      </c>
      <c r="N103" s="42" t="n">
        <f aca="false">0</f>
        <v>0</v>
      </c>
      <c r="O103" s="42" t="n">
        <f aca="false">$D$99*(1+IF($C$99&lt;=0,0,MAX($C$99*O$5/12,Inputs!$C$8)))+$I$99*(O$5&gt;Inputs!$C$12)*$D$99*(1+Inputs!$C$11*(O$5-Inputs!$C$12)/12)</f>
        <v>3780</v>
      </c>
      <c r="P103" s="42" t="n">
        <f aca="false">$D$99*(1+IF($C$99&lt;=0,0,MAX($C$99*P$5/12,Inputs!$C$8)))+$I$99*(P$5&gt;Inputs!$C$12)*$D$99*(1+Inputs!$C$11*(P$5-Inputs!$C$12)/12)</f>
        <v>3780</v>
      </c>
      <c r="Q103" s="42" t="n">
        <f aca="false">$D$99*(1+IF($C$99&lt;=0,0,MAX($C$99*Q$5/12,Inputs!$C$8)))+$I$99*(Q$5&gt;Inputs!$C$12)*$D$99*(1+Inputs!$C$11*(Q$5-Inputs!$C$12)/12)</f>
        <v>3780</v>
      </c>
      <c r="R103" s="42" t="n">
        <f aca="false">$D$99*(1+IF($C$99&lt;=0,0,MAX($C$99*R$5/12,Inputs!$C$8)))+$I$99*(R$5&gt;Inputs!$C$12)*$D$99*(1+Inputs!$C$11*(R$5-Inputs!$C$12)/12)</f>
        <v>3780</v>
      </c>
      <c r="S103" s="42" t="n">
        <f aca="false">$D$99*(1+IF($C$99&lt;=0,0,MAX($C$99*S$5/12,Inputs!$C$8)))+$I$99*(S$5&gt;Inputs!$C$12)*$D$99*(1+Inputs!$C$11*(S$5-Inputs!$C$12)/12)</f>
        <v>3780</v>
      </c>
      <c r="T103" s="42" t="n">
        <f aca="false">$D$99*(1+IF($C$99&lt;=0,0,MAX($C$99*T$5/12,Inputs!$C$8)))+$I$99*(T$5&gt;Inputs!$C$12)*$D$99*(1+Inputs!$C$11*(T$5-Inputs!$C$12)/12)</f>
        <v>3780</v>
      </c>
      <c r="U103" s="42" t="n">
        <f aca="false">$D$99*(1+IF($C$99&lt;=0,0,MAX($C$99*U$5/12,Inputs!$C$8)))+$I$99*(U$5&gt;Inputs!$C$12)*$D$99*(1+Inputs!$C$11*(U$5-Inputs!$C$12)/12)</f>
        <v>3780</v>
      </c>
      <c r="V103" s="42" t="n">
        <f aca="false">$D$99*(1+IF($C$99&lt;=0,0,MAX($C$99*V$5/12,Inputs!$C$8)))+$I$99*(V$5&gt;Inputs!$C$12)*$D$99*(1+Inputs!$C$11*(V$5-Inputs!$C$12)/12)</f>
        <v>3780</v>
      </c>
      <c r="W103" s="42" t="n">
        <f aca="false">$D$99*(1+IF($C$99&lt;=0,0,MAX($C$99*W$5/12,Inputs!$C$8)))+$I$99*(W$5&gt;Inputs!$C$12)*$D$99*(1+Inputs!$C$11*(W$5-Inputs!$C$12)/12)</f>
        <v>3780</v>
      </c>
      <c r="X103" s="42" t="n">
        <f aca="false">$D$99*(1+IF($C$99&lt;=0,0,MAX($C$99*X$5/12,Inputs!$C$8)))+$I$99*(X$5&gt;Inputs!$C$12)*$D$99*(1+Inputs!$C$11*(X$5-Inputs!$C$12)/12)</f>
        <v>3780</v>
      </c>
      <c r="Y103" s="42" t="n">
        <f aca="false">$D$99*(1+IF($C$99&lt;=0,0,MAX($C$99*Y$5/12,Inputs!$C$8)))+$I$99*(Y$5&gt;Inputs!$C$12)*$D$99*(1+Inputs!$C$11*(Y$5-Inputs!$C$12)/12)</f>
        <v>3780</v>
      </c>
      <c r="Z103" s="42" t="n">
        <f aca="false">$D$99*(1+IF($C$99&lt;=0,0,MAX($C$99*Z$5/12,Inputs!$C$8)))+$I$99*(Z$5&gt;Inputs!$C$12)*$D$99*(1+Inputs!$C$11*(Z$5-Inputs!$C$12)/12)</f>
        <v>3780</v>
      </c>
      <c r="AA103" s="42" t="n">
        <f aca="false">$D$99*(1+IF($C$99&lt;=0,0,MAX($C$99*AA$5/12,Inputs!$C$8)))+$I$99*(AA$5&gt;Inputs!$C$12)*$D$99*(1+Inputs!$C$11*(AA$5-Inputs!$C$12)/12)</f>
        <v>7434</v>
      </c>
      <c r="AB103" s="42" t="n">
        <f aca="false">$D$99*(1+IF($C$99&lt;=0,0,MAX($C$99*AB$5/12,Inputs!$C$8)))+$I$99*(AB$5&gt;Inputs!$C$12)*$D$99*(1+Inputs!$C$11*(AB$5-Inputs!$C$12)/12)</f>
        <v>7488</v>
      </c>
      <c r="AC103" s="42" t="n">
        <f aca="false">$D$99*(1+IF($C$99&lt;=0,0,MAX($C$99*AC$5/12,Inputs!$C$8)))+$I$99*(AC$5&gt;Inputs!$C$12)*$D$99*(1+Inputs!$C$11*(AC$5-Inputs!$C$12)/12)</f>
        <v>7542</v>
      </c>
      <c r="AD103" s="42" t="n">
        <f aca="false">$D$99*(1+IF($C$99&lt;=0,0,MAX($C$99*AD$5/12,Inputs!$C$8)))+$I$99*(AD$5&gt;Inputs!$C$12)*$D$99*(1+Inputs!$C$11*(AD$5-Inputs!$C$12)/12)</f>
        <v>7596</v>
      </c>
      <c r="AE103" s="42" t="n">
        <f aca="false">$D$99*(1+IF($C$99&lt;=0,0,MAX($C$99*AE$5/12,Inputs!$C$8)))+$I$99*(AE$5&gt;Inputs!$C$12)*$D$99*(1+Inputs!$C$11*(AE$5-Inputs!$C$12)/12)</f>
        <v>7650</v>
      </c>
      <c r="AF103" s="42" t="n">
        <f aca="false">$D$99*(1+IF($C$99&lt;=0,0,MAX($C$99*AF$5/12,Inputs!$C$8)))+$I$99*(AF$5&gt;Inputs!$C$12)*$D$99*(1+Inputs!$C$11*(AF$5-Inputs!$C$12)/12)</f>
        <v>7704</v>
      </c>
      <c r="AG103" s="42" t="n">
        <f aca="false">$D$99*(1+IF($C$99&lt;=0,0,MAX($C$99*AG$5/12,Inputs!$C$8)))+$I$99*(AG$5&gt;Inputs!$C$12)*$D$99*(1+Inputs!$C$11*(AG$5-Inputs!$C$12)/12)</f>
        <v>7758</v>
      </c>
      <c r="AH103" s="42" t="n">
        <f aca="false">$D$99*(1+IF($C$99&lt;=0,0,MAX($C$99*AH$5/12,Inputs!$C$8)))+$I$99*(AH$5&gt;Inputs!$C$12)*$D$99*(1+Inputs!$C$11*(AH$5-Inputs!$C$12)/12)</f>
        <v>7812</v>
      </c>
      <c r="AI103" s="42" t="n">
        <f aca="false">$D$99*(1+IF($C$99&lt;=0,0,MAX($C$99*AI$5/12,Inputs!$C$8)))+$I$99*(AI$5&gt;Inputs!$C$12)*$D$99*(1+Inputs!$C$11*(AI$5-Inputs!$C$12)/12)</f>
        <v>7866</v>
      </c>
      <c r="AJ103" s="42" t="n">
        <f aca="false">$D$99*(1+IF($C$99&lt;=0,0,MAX($C$99*AJ$5/12,Inputs!$C$8)))+$I$99*(AJ$5&gt;Inputs!$C$12)*$D$99*(1+Inputs!$C$11*(AJ$5-Inputs!$C$12)/12)</f>
        <v>7920</v>
      </c>
      <c r="AK103" s="42" t="n">
        <f aca="false">$D$99*(1+IF($C$99&lt;=0,0,MAX($C$99*AK$5/12,Inputs!$C$8)))+$I$99*(AK$5&gt;Inputs!$C$12)*$D$99*(1+Inputs!$C$11*(AK$5-Inputs!$C$12)/12)</f>
        <v>7974</v>
      </c>
      <c r="AL103" s="42" t="n">
        <f aca="false">$D$99*(1+IF($C$99&lt;=0,0,MAX($C$99*AL$5/12,Inputs!$C$8)))+$I$99*(AL$5&gt;Inputs!$C$12)*$D$99*(1+Inputs!$C$11*(AL$5-Inputs!$C$12)/12)</f>
        <v>8028</v>
      </c>
    </row>
    <row r="104" customFormat="false" ht="15" hidden="false" customHeight="false" outlineLevel="0" collapsed="false">
      <c r="B104" s="31" t="s">
        <v>187</v>
      </c>
      <c r="N104" s="42" t="n">
        <f aca="false">-($D$99+$J$99)*(N$5=0)+IF(AND(N$5-$K$99&gt;=1,N$5-$K$99&lt;=Inputs!$C$13),INDEX($N$102:$AL$102,1,N$5-$K$99+1)*INDEX($N$103:$AL$103,1,N$5-$K$99+1),0)-$I$99*((N$5=Inputs!$C$12)*$C$101*$D$99+(N$5=Inputs!$C$13)*$D$101*($D$99+Inputs!$C$14))+$I$99*((N$5=Inputs!$C$15+$K$99)*$E$101*$I$101+(N$5=Inputs!$C$16+$K$99)*$F$101*$J$101+(N$5=Inputs!$C$17)*$G$101*$H$99*$H$101)</f>
        <v>-3610</v>
      </c>
      <c r="O104" s="42" t="n">
        <f aca="false">-($D$99+$J$99)*(O$5=0)+IF(AND(O$5-$K$99&gt;=1,O$5-$K$99&lt;=Inputs!$C$13),INDEX($N$102:$AL$102,1,O$5-$K$99+1)*INDEX($N$103:$AL$103,1,O$5-$K$99+1),0)-$I$99*((O$5=Inputs!$C$12)*$C$101*$D$99+(O$5=Inputs!$C$13)*$D$101*($D$99+Inputs!$C$14))+$I$99*((O$5=Inputs!$C$15+$K$99)*$E$101*$I$101+(O$5=Inputs!$C$16+$K$99)*$F$101*$J$101+(O$5=Inputs!$C$17)*$G$101*$H$99*$H$101)</f>
        <v>0</v>
      </c>
      <c r="P104" s="42" t="n">
        <f aca="false">-($D$99+$J$99)*(P$5=0)+IF(AND(P$5-$K$99&gt;=1,P$5-$K$99&lt;=Inputs!$C$13),INDEX($N$102:$AL$102,1,P$5-$K$99+1)*INDEX($N$103:$AL$103,1,P$5-$K$99+1),0)-$I$99*((P$5=Inputs!$C$12)*$C$101*$D$99+(P$5=Inputs!$C$13)*$D$101*($D$99+Inputs!$C$14))+$I$99*((P$5=Inputs!$C$15+$K$99)*$E$101*$I$101+(P$5=Inputs!$C$16+$K$99)*$F$101*$J$101+(P$5=Inputs!$C$17)*$G$101*$H$99*$H$101)</f>
        <v>421.848</v>
      </c>
      <c r="Q104" s="42" t="n">
        <f aca="false">-($D$99+$J$99)*(Q$5=0)+IF(AND(Q$5-$K$99&gt;=1,Q$5-$K$99&lt;=Inputs!$C$13),INDEX($N$102:$AL$102,1,Q$5-$K$99+1)*INDEX($N$103:$AL$103,1,Q$5-$K$99+1),0)-$I$99*((Q$5=Inputs!$C$12)*$C$101*$D$99+(Q$5=Inputs!$C$13)*$D$101*($D$99+Inputs!$C$14))+$I$99*((Q$5=Inputs!$C$15+$K$99)*$E$101*$I$101+(Q$5=Inputs!$C$16+$K$99)*$F$101*$J$101+(Q$5=Inputs!$C$17)*$G$101*$H$99*$H$101)</f>
        <v>351.54</v>
      </c>
      <c r="R104" s="42" t="n">
        <f aca="false">-($D$99+$J$99)*(R$5=0)+IF(AND(R$5-$K$99&gt;=1,R$5-$K$99&lt;=Inputs!$C$13),INDEX($N$102:$AL$102,1,R$5-$K$99+1)*INDEX($N$103:$AL$103,1,R$5-$K$99+1),0)-$I$99*((R$5=Inputs!$C$12)*$C$101*$D$99+(R$5=Inputs!$C$13)*$D$101*($D$99+Inputs!$C$14))+$I$99*((R$5=Inputs!$C$15+$K$99)*$E$101*$I$101+(R$5=Inputs!$C$16+$K$99)*$F$101*$J$101+(R$5=Inputs!$C$17)*$G$101*$H$99*$H$101)</f>
        <v>316.386</v>
      </c>
      <c r="S104" s="42" t="n">
        <f aca="false">-($D$99+$J$99)*(S$5=0)+IF(AND(S$5-$K$99&gt;=1,S$5-$K$99&lt;=Inputs!$C$13),INDEX($N$102:$AL$102,1,S$5-$K$99+1)*INDEX($N$103:$AL$103,1,S$5-$K$99+1),0)-$I$99*((S$5=Inputs!$C$12)*$C$101*$D$99+(S$5=Inputs!$C$13)*$D$101*($D$99+Inputs!$C$14))+$I$99*((S$5=Inputs!$C$15+$K$99)*$E$101*$I$101+(S$5=Inputs!$C$16+$K$99)*$F$101*$J$101+(S$5=Inputs!$C$17)*$G$101*$H$99*$H$101)</f>
        <v>246.078</v>
      </c>
      <c r="T104" s="42" t="n">
        <f aca="false">-($D$99+$J$99)*(T$5=0)+IF(AND(T$5-$K$99&gt;=1,T$5-$K$99&lt;=Inputs!$C$13),INDEX($N$102:$AL$102,1,T$5-$K$99+1)*INDEX($N$103:$AL$103,1,T$5-$K$99+1),0)-$I$99*((T$5=Inputs!$C$12)*$C$101*$D$99+(T$5=Inputs!$C$13)*$D$101*($D$99+Inputs!$C$14))+$I$99*((T$5=Inputs!$C$15+$K$99)*$E$101*$I$101+(T$5=Inputs!$C$16+$K$99)*$F$101*$J$101+(T$5=Inputs!$C$17)*$G$101*$H$99*$H$101)</f>
        <v>246.078</v>
      </c>
      <c r="U104" s="42" t="n">
        <f aca="false">-($D$99+$J$99)*(U$5=0)+IF(AND(U$5-$K$99&gt;=1,U$5-$K$99&lt;=Inputs!$C$13),INDEX($N$102:$AL$102,1,U$5-$K$99+1)*INDEX($N$103:$AL$103,1,U$5-$K$99+1),0)-$I$99*((U$5=Inputs!$C$12)*$C$101*$D$99+(U$5=Inputs!$C$13)*$D$101*($D$99+Inputs!$C$14))+$I$99*((U$5=Inputs!$C$15+$K$99)*$E$101*$I$101+(U$5=Inputs!$C$16+$K$99)*$F$101*$J$101+(U$5=Inputs!$C$17)*$G$101*$H$99*$H$101)</f>
        <v>246.078</v>
      </c>
      <c r="V104" s="42" t="n">
        <f aca="false">-($D$99+$J$99)*(V$5=0)+IF(AND(V$5-$K$99&gt;=1,V$5-$K$99&lt;=Inputs!$C$13),INDEX($N$102:$AL$102,1,V$5-$K$99+1)*INDEX($N$103:$AL$103,1,V$5-$K$99+1),0)-$I$99*((V$5=Inputs!$C$12)*$C$101*$D$99+(V$5=Inputs!$C$13)*$D$101*($D$99+Inputs!$C$14))+$I$99*((V$5=Inputs!$C$15+$K$99)*$E$101*$I$101+(V$5=Inputs!$C$16+$K$99)*$F$101*$J$101+(V$5=Inputs!$C$17)*$G$101*$H$99*$H$101)</f>
        <v>152.334</v>
      </c>
      <c r="W104" s="42" t="n">
        <f aca="false">-($D$99+$J$99)*(W$5=0)+IF(AND(W$5-$K$99&gt;=1,W$5-$K$99&lt;=Inputs!$C$13),INDEX($N$102:$AL$102,1,W$5-$K$99+1)*INDEX($N$103:$AL$103,1,W$5-$K$99+1),0)-$I$99*((W$5=Inputs!$C$12)*$C$101*$D$99+(W$5=Inputs!$C$13)*$D$101*($D$99+Inputs!$C$14))+$I$99*((W$5=Inputs!$C$15+$K$99)*$E$101*$I$101+(W$5=Inputs!$C$16+$K$99)*$F$101*$J$101+(W$5=Inputs!$C$17)*$G$101*$H$99*$H$101)</f>
        <v>152.334</v>
      </c>
      <c r="X104" s="42" t="n">
        <f aca="false">-($D$99+$J$99)*(X$5=0)+IF(AND(X$5-$K$99&gt;=1,X$5-$K$99&lt;=Inputs!$C$13),INDEX($N$102:$AL$102,1,X$5-$K$99+1)*INDEX($N$103:$AL$103,1,X$5-$K$99+1),0)-$I$99*((X$5=Inputs!$C$12)*$C$101*$D$99+(X$5=Inputs!$C$13)*$D$101*($D$99+Inputs!$C$14))+$I$99*((X$5=Inputs!$C$15+$K$99)*$E$101*$I$101+(X$5=Inputs!$C$16+$K$99)*$F$101*$J$101+(X$5=Inputs!$C$17)*$G$101*$H$99*$H$101)</f>
        <v>152.334</v>
      </c>
      <c r="Y104" s="42" t="n">
        <f aca="false">-($D$99+$J$99)*(Y$5=0)+IF(AND(Y$5-$K$99&gt;=1,Y$5-$K$99&lt;=Inputs!$C$13),INDEX($N$102:$AL$102,1,Y$5-$K$99+1)*INDEX($N$103:$AL$103,1,Y$5-$K$99+1),0)-$I$99*((Y$5=Inputs!$C$12)*$C$101*$D$99+(Y$5=Inputs!$C$13)*$D$101*($D$99+Inputs!$C$14))+$I$99*((Y$5=Inputs!$C$15+$K$99)*$E$101*$I$101+(Y$5=Inputs!$C$16+$K$99)*$F$101*$J$101+(Y$5=Inputs!$C$17)*$G$101*$H$99*$H$101)</f>
        <v>128.898</v>
      </c>
      <c r="Z104" s="42" t="n">
        <f aca="false">-($D$99+$J$99)*(Z$5=0)+IF(AND(Z$5-$K$99&gt;=1,Z$5-$K$99&lt;=Inputs!$C$13),INDEX($N$102:$AL$102,1,Z$5-$K$99+1)*INDEX($N$103:$AL$103,1,Z$5-$K$99+1),0)-$I$99*((Z$5=Inputs!$C$12)*$C$101*$D$99+(Z$5=Inputs!$C$13)*$D$101*($D$99+Inputs!$C$14))+$I$99*((Z$5=Inputs!$C$15+$K$99)*$E$101*$I$101+(Z$5=Inputs!$C$16+$K$99)*$F$101*$J$101+(Z$5=Inputs!$C$17)*$G$101*$H$99*$H$101)</f>
        <v>-926.622</v>
      </c>
      <c r="AA104" s="42" t="n">
        <f aca="false">-($D$99+$J$99)*(AA$5=0)+IF(AND(AA$5-$K$99&gt;=1,AA$5-$K$99&lt;=Inputs!$C$13),INDEX($N$102:$AL$102,1,AA$5-$K$99+1)*INDEX($N$103:$AL$103,1,AA$5-$K$99+1),0)-$I$99*((AA$5=Inputs!$C$12)*$C$101*$D$99+(AA$5=Inputs!$C$13)*$D$101*($D$99+Inputs!$C$14))+$I$99*((AA$5=Inputs!$C$15+$K$99)*$E$101*$I$101+(AA$5=Inputs!$C$16+$K$99)*$F$101*$J$101+(AA$5=Inputs!$C$17)*$G$101*$H$99*$H$101)</f>
        <v>128.898</v>
      </c>
      <c r="AB104" s="42" t="n">
        <f aca="false">-($D$99+$J$99)*(AB$5=0)+IF(AND(AB$5-$K$99&gt;=1,AB$5-$K$99&lt;=Inputs!$C$13),INDEX($N$102:$AL$102,1,AB$5-$K$99+1)*INDEX($N$103:$AL$103,1,AB$5-$K$99+1),0)-$I$99*((AB$5=Inputs!$C$12)*$C$101*$D$99+(AB$5=Inputs!$C$13)*$D$101*($D$99+Inputs!$C$14))+$I$99*((AB$5=Inputs!$C$15+$K$99)*$E$101*$I$101+(AB$5=Inputs!$C$16+$K$99)*$F$101*$J$101+(AB$5=Inputs!$C$17)*$G$101*$H$99*$H$101)</f>
        <v>161.3178</v>
      </c>
      <c r="AC104" s="42" t="n">
        <f aca="false">-($D$99+$J$99)*(AC$5=0)+IF(AND(AC$5-$K$99&gt;=1,AC$5-$K$99&lt;=Inputs!$C$13),INDEX($N$102:$AL$102,1,AC$5-$K$99+1)*INDEX($N$103:$AL$103,1,AC$5-$K$99+1),0)-$I$99*((AC$5=Inputs!$C$12)*$C$101*$D$99+(AC$5=Inputs!$C$13)*$D$101*($D$99+Inputs!$C$14))+$I$99*((AC$5=Inputs!$C$15+$K$99)*$E$101*$I$101+(AC$5=Inputs!$C$16+$K$99)*$F$101*$J$101+(AC$5=Inputs!$C$17)*$G$101*$H$99*$H$101)</f>
        <v>162.4896</v>
      </c>
      <c r="AD104" s="42" t="n">
        <f aca="false">-($D$99+$J$99)*(AD$5=0)+IF(AND(AD$5-$K$99&gt;=1,AD$5-$K$99&lt;=Inputs!$C$13),INDEX($N$102:$AL$102,1,AD$5-$K$99+1)*INDEX($N$103:$AL$103,1,AD$5-$K$99+1),0)-$I$99*((AD$5=Inputs!$C$12)*$C$101*$D$99+(AD$5=Inputs!$C$13)*$D$101*($D$99+Inputs!$C$14))+$I$99*((AD$5=Inputs!$C$15+$K$99)*$E$101*$I$101+(AD$5=Inputs!$C$16+$K$99)*$F$101*$J$101+(AD$5=Inputs!$C$17)*$G$101*$H$99*$H$101)</f>
        <v>163.661400000001</v>
      </c>
      <c r="AE104" s="42" t="n">
        <f aca="false">-($D$99+$J$99)*(AE$5=0)+IF(AND(AE$5-$K$99&gt;=1,AE$5-$K$99&lt;=Inputs!$C$13),INDEX($N$102:$AL$102,1,AE$5-$K$99+1)*INDEX($N$103:$AL$103,1,AE$5-$K$99+1),0)-$I$99*((AE$5=Inputs!$C$12)*$C$101*$D$99+(AE$5=Inputs!$C$13)*$D$101*($D$99+Inputs!$C$14))+$I$99*((AE$5=Inputs!$C$15+$K$99)*$E$101*$I$101+(AE$5=Inputs!$C$16+$K$99)*$F$101*$J$101+(AE$5=Inputs!$C$17)*$G$101*$H$99*$H$101)</f>
        <v>164.8332</v>
      </c>
      <c r="AF104" s="42" t="n">
        <f aca="false">-($D$99+$J$99)*(AF$5=0)+IF(AND(AF$5-$K$99&gt;=1,AF$5-$K$99&lt;=Inputs!$C$13),INDEX($N$102:$AL$102,1,AF$5-$K$99+1)*INDEX($N$103:$AL$103,1,AF$5-$K$99+1),0)-$I$99*((AF$5=Inputs!$C$12)*$C$101*$D$99+(AF$5=Inputs!$C$13)*$D$101*($D$99+Inputs!$C$14))+$I$99*((AF$5=Inputs!$C$15+$K$99)*$E$101*$I$101+(AF$5=Inputs!$C$16+$K$99)*$F$101*$J$101+(AF$5=Inputs!$C$17)*$G$101*$H$99*$H$101)</f>
        <v>166.005</v>
      </c>
      <c r="AG104" s="42" t="n">
        <f aca="false">-($D$99+$J$99)*(AG$5=0)+IF(AND(AG$5-$K$99&gt;=1,AG$5-$K$99&lt;=Inputs!$C$13),INDEX($N$102:$AL$102,1,AG$5-$K$99+1)*INDEX($N$103:$AL$103,1,AG$5-$K$99+1),0)-$I$99*((AG$5=Inputs!$C$12)*$C$101*$D$99+(AG$5=Inputs!$C$13)*$D$101*($D$99+Inputs!$C$14))+$I$99*((AG$5=Inputs!$C$15+$K$99)*$E$101*$I$101+(AG$5=Inputs!$C$16+$K$99)*$F$101*$J$101+(AG$5=Inputs!$C$17)*$G$101*$H$99*$H$101)</f>
        <v>167.1768</v>
      </c>
      <c r="AH104" s="42" t="n">
        <f aca="false">-($D$99+$J$99)*(AH$5=0)+IF(AND(AH$5-$K$99&gt;=1,AH$5-$K$99&lt;=Inputs!$C$13),INDEX($N$102:$AL$102,1,AH$5-$K$99+1)*INDEX($N$103:$AL$103,1,AH$5-$K$99+1),0)-$I$99*((AH$5=Inputs!$C$12)*$C$101*$D$99+(AH$5=Inputs!$C$13)*$D$101*($D$99+Inputs!$C$14))+$I$99*((AH$5=Inputs!$C$15+$K$99)*$E$101*$I$101+(AH$5=Inputs!$C$16+$K$99)*$F$101*$J$101+(AH$5=Inputs!$C$17)*$G$101*$H$99*$H$101)</f>
        <v>120.249</v>
      </c>
      <c r="AI104" s="42" t="n">
        <f aca="false">-($D$99+$J$99)*(AI$5=0)+IF(AND(AI$5-$K$99&gt;=1,AI$5-$K$99&lt;=Inputs!$C$13),INDEX($N$102:$AL$102,1,AI$5-$K$99+1)*INDEX($N$103:$AL$103,1,AI$5-$K$99+1),0)-$I$99*((AI$5=Inputs!$C$12)*$C$101*$D$99+(AI$5=Inputs!$C$13)*$D$101*($D$99+Inputs!$C$14))+$I$99*((AI$5=Inputs!$C$15+$K$99)*$E$101*$I$101+(AI$5=Inputs!$C$16+$K$99)*$F$101*$J$101+(AI$5=Inputs!$C$17)*$G$101*$H$99*$H$101)</f>
        <v>121.086</v>
      </c>
      <c r="AJ104" s="42" t="n">
        <f aca="false">-($D$99+$J$99)*(AJ$5=0)+IF(AND(AJ$5-$K$99&gt;=1,AJ$5-$K$99&lt;=Inputs!$C$13),INDEX($N$102:$AL$102,1,AJ$5-$K$99+1)*INDEX($N$103:$AL$103,1,AJ$5-$K$99+1),0)-$I$99*((AJ$5=Inputs!$C$12)*$C$101*$D$99+(AJ$5=Inputs!$C$13)*$D$101*($D$99+Inputs!$C$14))+$I$99*((AJ$5=Inputs!$C$15+$K$99)*$E$101*$I$101+(AJ$5=Inputs!$C$16+$K$99)*$F$101*$J$101+(AJ$5=Inputs!$C$17)*$G$101*$H$99*$H$101)</f>
        <v>121.923</v>
      </c>
      <c r="AK104" s="42" t="n">
        <f aca="false">-($D$99+$J$99)*(AK$5=0)+IF(AND(AK$5-$K$99&gt;=1,AK$5-$K$99&lt;=Inputs!$C$13),INDEX($N$102:$AL$102,1,AK$5-$K$99+1)*INDEX($N$103:$AL$103,1,AK$5-$K$99+1),0)-$I$99*((AK$5=Inputs!$C$12)*$C$101*$D$99+(AK$5=Inputs!$C$13)*$D$101*($D$99+Inputs!$C$14))+$I$99*((AK$5=Inputs!$C$15+$K$99)*$E$101*$I$101+(AK$5=Inputs!$C$16+$K$99)*$F$101*$J$101+(AK$5=Inputs!$C$17)*$G$101*$H$99*$H$101)</f>
        <v>122.76</v>
      </c>
      <c r="AL104" s="42" t="n">
        <f aca="false">-($D$99+$J$99)*(AL$5=0)+IF(AND(AL$5-$K$99&gt;=1,AL$5-$K$99&lt;=Inputs!$C$13),INDEX($N$102:$AL$102,1,AL$5-$K$99+1)*INDEX($N$103:$AL$103,1,AL$5-$K$99+1),0)-$I$99*((AL$5=Inputs!$C$12)*$C$101*$D$99+(AL$5=Inputs!$C$13)*$D$101*($D$99+Inputs!$C$14))+$I$99*((AL$5=Inputs!$C$15+$K$99)*$E$101*$I$101+(AL$5=Inputs!$C$16+$K$99)*$F$101*$J$101+(AL$5=Inputs!$C$17)*$G$101*$H$99*$H$101)</f>
        <v>-254.402999999999</v>
      </c>
      <c r="AM104" s="42" t="n">
        <f aca="false">-($D$99+$J$99)*(AM$5=0)+IF(AND(AM$5-$K$99&gt;=1,AM$5-$K$99&lt;=Inputs!$C$13),INDEX($N$102:$AL$102,1,AM$5-$K$99+1)*INDEX($N$103:$AL$103,1,AM$5-$K$99+1),0)-$I$99*((AM$5=Inputs!$C$12)*$C$101*$D$99+(AM$5=Inputs!$C$13)*$D$101*($D$99+Inputs!$C$14))+$I$99*((AM$5=Inputs!$C$15+$K$99)*$E$101*$I$101+(AM$5=Inputs!$C$16+$K$99)*$F$101*$J$101+(AM$5=Inputs!$C$17)*$G$101*$H$99*$H$101)</f>
        <v>124.434</v>
      </c>
      <c r="AN104" s="42" t="n">
        <f aca="false">-($D$99+$J$99)*(AN$5=0)+IF(AND(AN$5-$K$99&gt;=1,AN$5-$K$99&lt;=Inputs!$C$13),INDEX($N$102:$AL$102,1,AN$5-$K$99+1)*INDEX($N$103:$AL$103,1,AN$5-$K$99+1),0)-$I$99*((AN$5=Inputs!$C$12)*$C$101*$D$99+(AN$5=Inputs!$C$13)*$D$101*($D$99+Inputs!$C$14))+$I$99*((AN$5=Inputs!$C$15+$K$99)*$E$101*$I$101+(AN$5=Inputs!$C$16+$K$99)*$F$101*$J$101+(AN$5=Inputs!$C$17)*$G$101*$H$99*$H$101)</f>
        <v>0</v>
      </c>
      <c r="AO104" s="42" t="n">
        <f aca="false">-($D$99+$J$99)*(AO$5=0)+IF(AND(AO$5-$K$99&gt;=1,AO$5-$K$99&lt;=Inputs!$C$13),INDEX($N$102:$AL$102,1,AO$5-$K$99+1)*INDEX($N$103:$AL$103,1,AO$5-$K$99+1),0)-$I$99*((AO$5=Inputs!$C$12)*$C$101*$D$99+(AO$5=Inputs!$C$13)*$D$101*($D$99+Inputs!$C$14))+$I$99*((AO$5=Inputs!$C$15+$K$99)*$E$101*$I$101+(AO$5=Inputs!$C$16+$K$99)*$F$101*$J$101+(AO$5=Inputs!$C$17)*$G$101*$H$99*$H$101)</f>
        <v>0</v>
      </c>
      <c r="AP104" s="42" t="n">
        <f aca="false">-($D$99+$J$99)*(AP$5=0)+IF(AND(AP$5-$K$99&gt;=1,AP$5-$K$99&lt;=Inputs!$C$13),INDEX($N$102:$AL$102,1,AP$5-$K$99+1)*INDEX($N$103:$AL$103,1,AP$5-$K$99+1),0)-$I$99*((AP$5=Inputs!$C$12)*$C$101*$D$99+(AP$5=Inputs!$C$13)*$D$101*($D$99+Inputs!$C$14))+$I$99*((AP$5=Inputs!$C$15+$K$99)*$E$101*$I$101+(AP$5=Inputs!$C$16+$K$99)*$F$101*$J$101+(AP$5=Inputs!$C$17)*$G$101*$H$99*$H$101)</f>
        <v>577.584</v>
      </c>
      <c r="AQ104" s="42" t="n">
        <f aca="false">-($D$99+$J$99)*(AQ$5=0)+IF(AND(AQ$5-$K$99&gt;=1,AQ$5-$K$99&lt;=Inputs!$C$13),INDEX($N$102:$AL$102,1,AQ$5-$K$99+1)*INDEX($N$103:$AL$103,1,AQ$5-$K$99+1),0)-$I$99*((AQ$5=Inputs!$C$12)*$C$101*$D$99+(AQ$5=Inputs!$C$13)*$D$101*($D$99+Inputs!$C$14))+$I$99*((AQ$5=Inputs!$C$15+$K$99)*$E$101*$I$101+(AQ$5=Inputs!$C$16+$K$99)*$F$101*$J$101+(AQ$5=Inputs!$C$17)*$G$101*$H$99*$H$101)</f>
        <v>0</v>
      </c>
      <c r="AR104" s="42" t="n">
        <f aca="false">-($D$99+$J$99)*(AR$5=0)+IF(AND(AR$5-$K$99&gt;=1,AR$5-$K$99&lt;=Inputs!$C$13),INDEX($N$102:$AL$102,1,AR$5-$K$99+1)*INDEX($N$103:$AL$103,1,AR$5-$K$99+1),0)-$I$99*((AR$5=Inputs!$C$12)*$C$101*$D$99+(AR$5=Inputs!$C$13)*$D$101*($D$99+Inputs!$C$14))+$I$99*((AR$5=Inputs!$C$15+$K$99)*$E$101*$I$101+(AR$5=Inputs!$C$16+$K$99)*$F$101*$J$101+(AR$5=Inputs!$C$17)*$G$101*$H$99*$H$101)</f>
        <v>0</v>
      </c>
      <c r="AS104" s="42" t="n">
        <f aca="false">-($D$99+$J$99)*(AS$5=0)+IF(AND(AS$5-$K$99&gt;=1,AS$5-$K$99&lt;=Inputs!$C$13),INDEX($N$102:$AL$102,1,AS$5-$K$99+1)*INDEX($N$103:$AL$103,1,AS$5-$K$99+1),0)-$I$99*((AS$5=Inputs!$C$12)*$C$101*$D$99+(AS$5=Inputs!$C$13)*$D$101*($D$99+Inputs!$C$14))+$I$99*((AS$5=Inputs!$C$15+$K$99)*$E$101*$I$101+(AS$5=Inputs!$C$16+$K$99)*$F$101*$J$101+(AS$5=Inputs!$C$17)*$G$101*$H$99*$H$101)</f>
        <v>335.0088</v>
      </c>
      <c r="AT104" s="42" t="n">
        <f aca="false">-($D$99+$J$99)*(AT$5=0)+IF(AND(AT$5-$K$99&gt;=1,AT$5-$K$99&lt;=Inputs!$C$13),INDEX($N$102:$AL$102,1,AT$5-$K$99+1)*INDEX($N$103:$AL$103,1,AT$5-$K$99+1),0)-$I$99*((AT$5=Inputs!$C$12)*$C$101*$D$99+(AT$5=Inputs!$C$13)*$D$101*($D$99+Inputs!$C$14))+$I$99*((AT$5=Inputs!$C$15+$K$99)*$E$101*$I$101+(AT$5=Inputs!$C$16+$K$99)*$F$101*$J$101+(AT$5=Inputs!$C$17)*$G$101*$H$99*$H$101)</f>
        <v>0</v>
      </c>
      <c r="AU104" s="42" t="n">
        <f aca="false">-($D$99+$J$99)*(AU$5=0)+IF(AND(AU$5-$K$99&gt;=1,AU$5-$K$99&lt;=Inputs!$C$13),INDEX($N$102:$AL$102,1,AU$5-$K$99+1)*INDEX($N$103:$AL$103,1,AU$5-$K$99+1),0)-$I$99*((AU$5=Inputs!$C$12)*$C$101*$D$99+(AU$5=Inputs!$C$13)*$D$101*($D$99+Inputs!$C$14))+$I$99*((AU$5=Inputs!$C$15+$K$99)*$E$101*$I$101+(AU$5=Inputs!$C$16+$K$99)*$F$101*$J$101+(AU$5=Inputs!$C$17)*$G$101*$H$99*$H$101)</f>
        <v>0</v>
      </c>
      <c r="AV104" s="42" t="n">
        <f aca="false">-($D$99+$J$99)*(AV$5=0)+IF(AND(AV$5-$K$99&gt;=1,AV$5-$K$99&lt;=Inputs!$C$13),INDEX($N$102:$AL$102,1,AV$5-$K$99+1)*INDEX($N$103:$AL$103,1,AV$5-$K$99+1),0)-$I$99*((AV$5=Inputs!$C$12)*$C$101*$D$99+(AV$5=Inputs!$C$13)*$D$101*($D$99+Inputs!$C$14))+$I$99*((AV$5=Inputs!$C$15+$K$99)*$E$101*$I$101+(AV$5=Inputs!$C$16+$K$99)*$F$101*$J$101+(AV$5=Inputs!$C$17)*$G$101*$H$99*$H$101)</f>
        <v>0</v>
      </c>
      <c r="AW104" s="42" t="n">
        <f aca="false">-($D$99+$J$99)*(AW$5=0)+IF(AND(AW$5-$K$99&gt;=1,AW$5-$K$99&lt;=Inputs!$C$13),INDEX($N$102:$AL$102,1,AW$5-$K$99+1)*INDEX($N$103:$AL$103,1,AW$5-$K$99+1),0)-$I$99*((AW$5=Inputs!$C$12)*$C$101*$D$99+(AW$5=Inputs!$C$13)*$D$101*($D$99+Inputs!$C$14))+$I$99*((AW$5=Inputs!$C$15+$K$99)*$E$101*$I$101+(AW$5=Inputs!$C$16+$K$99)*$F$101*$J$101+(AW$5=Inputs!$C$17)*$G$101*$H$99*$H$101)</f>
        <v>0</v>
      </c>
      <c r="AX104" s="42" t="n">
        <f aca="false">-($D$99+$J$99)*(AX$5=0)+IF(AND(AX$5-$K$99&gt;=1,AX$5-$K$99&lt;=Inputs!$C$13),INDEX($N$102:$AL$102,1,AX$5-$K$99+1)*INDEX($N$103:$AL$103,1,AX$5-$K$99+1),0)-$I$99*((AX$5=Inputs!$C$12)*$C$101*$D$99+(AX$5=Inputs!$C$13)*$D$101*($D$99+Inputs!$C$14))+$I$99*((AX$5=Inputs!$C$15+$K$99)*$E$101*$I$101+(AX$5=Inputs!$C$16+$K$99)*$F$101*$J$101+(AX$5=Inputs!$C$17)*$G$101*$H$99*$H$101)</f>
        <v>47.628</v>
      </c>
      <c r="AY104" s="42" t="n">
        <f aca="false">-($D$99+$J$99)*(AY$5=0)+IF(AND(AY$5-$K$99&gt;=1,AY$5-$K$99&lt;=Inputs!$C$13),INDEX($N$102:$AL$102,1,AY$5-$K$99+1)*INDEX($N$103:$AL$103,1,AY$5-$K$99+1),0)-$I$99*((AY$5=Inputs!$C$12)*$C$101*$D$99+(AY$5=Inputs!$C$13)*$D$101*($D$99+Inputs!$C$14))+$I$99*((AY$5=Inputs!$C$15+$K$99)*$E$101*$I$101+(AY$5=Inputs!$C$16+$K$99)*$F$101*$J$101+(AY$5=Inputs!$C$17)*$G$101*$H$99*$H$101)</f>
        <v>0</v>
      </c>
    </row>
    <row r="106" customFormat="false" ht="15" hidden="false" customHeight="false" outlineLevel="0" collapsed="false">
      <c r="B106" s="7" t="s">
        <v>234</v>
      </c>
      <c r="C106" s="8"/>
      <c r="D106" s="8"/>
      <c r="E106" s="8"/>
      <c r="F106" s="8"/>
      <c r="G106" s="8"/>
      <c r="H106" s="8"/>
      <c r="I106" s="8"/>
      <c r="J106" s="8"/>
      <c r="K106" s="8"/>
      <c r="L106" s="8"/>
    </row>
    <row r="107" customFormat="false" ht="30" hidden="false" customHeight="true" outlineLevel="0" collapsed="false">
      <c r="B107" s="37"/>
      <c r="C107" s="38" t="s">
        <v>169</v>
      </c>
      <c r="D107" s="38" t="s">
        <v>170</v>
      </c>
      <c r="E107" s="38" t="s">
        <v>171</v>
      </c>
      <c r="F107" s="38" t="s">
        <v>43</v>
      </c>
      <c r="G107" s="38" t="s">
        <v>44</v>
      </c>
      <c r="H107" s="38" t="s">
        <v>45</v>
      </c>
      <c r="I107" s="38" t="s">
        <v>172</v>
      </c>
      <c r="J107" s="38" t="s">
        <v>90</v>
      </c>
      <c r="K107" s="38" t="s">
        <v>89</v>
      </c>
      <c r="L107" s="38" t="s">
        <v>173</v>
      </c>
    </row>
    <row r="108" customFormat="false" ht="15" hidden="false" customHeight="false" outlineLevel="0" collapsed="false">
      <c r="B108" s="39" t="s">
        <v>174</v>
      </c>
      <c r="C108" s="26" t="n">
        <f aca="false">MAX(0,Bid_Floor!$C$99-Inputs!$C$7)</f>
        <v>0</v>
      </c>
      <c r="D108" s="30" t="n">
        <f aca="false">Inputs!$E$24</f>
        <v>3600</v>
      </c>
      <c r="E108" s="26" t="n">
        <f aca="false">Inputs!$F$24</f>
        <v>0.93</v>
      </c>
      <c r="F108" s="25" t="n">
        <f aca="false">Inputs!$G$24</f>
        <v>0.6</v>
      </c>
      <c r="G108" s="25" t="n">
        <f aca="false">Inputs!$H$24</f>
        <v>0.85</v>
      </c>
      <c r="H108" s="25" t="n">
        <f aca="false">Inputs!$I$24</f>
        <v>0.9</v>
      </c>
      <c r="I108" s="22" t="n">
        <f aca="false">Inputs!$J$24</f>
        <v>1</v>
      </c>
      <c r="J108" s="23" t="n">
        <f aca="false">Inputs!$C$9</f>
        <v>10</v>
      </c>
      <c r="K108" s="22" t="n">
        <f aca="false">Inputs!$C$10</f>
        <v>1</v>
      </c>
      <c r="L108" s="22" t="n">
        <f aca="false">1</f>
        <v>1</v>
      </c>
    </row>
    <row r="109" customFormat="false" ht="30" hidden="false" customHeight="true" outlineLevel="0" collapsed="false">
      <c r="B109" s="37"/>
      <c r="C109" s="38" t="s">
        <v>175</v>
      </c>
      <c r="D109" s="38" t="s">
        <v>176</v>
      </c>
      <c r="E109" s="38" t="s">
        <v>177</v>
      </c>
      <c r="F109" s="38" t="s">
        <v>178</v>
      </c>
      <c r="G109" s="38" t="s">
        <v>112</v>
      </c>
      <c r="H109" s="38" t="s">
        <v>179</v>
      </c>
      <c r="I109" s="38" t="s">
        <v>180</v>
      </c>
      <c r="J109" s="38" t="s">
        <v>181</v>
      </c>
      <c r="K109" s="38" t="s">
        <v>182</v>
      </c>
      <c r="L109" s="38" t="s">
        <v>183</v>
      </c>
    </row>
    <row r="110" customFormat="false" ht="15" hidden="false" customHeight="false" outlineLevel="0" collapsed="false">
      <c r="B110" s="39" t="s">
        <v>184</v>
      </c>
      <c r="C110" s="40" t="n">
        <f aca="false">1-$E$108*CHOOSE($L$108,INDEX(Timing!$C$7:$AA$7,1,Inputs!$C$12+1),INDEX(Timing!$C$8:$AA$8,1,Inputs!$C$12+1))</f>
        <v>0.2932</v>
      </c>
      <c r="D110" s="40" t="n">
        <f aca="false">1-$E$108*CHOOSE($L$108,INDEX(Timing!$C$7:$AA$7,1,Inputs!$C$13+1),INDEX(Timing!$C$8:$AA$8,1,Inputs!$C$13+1))</f>
        <v>0.07</v>
      </c>
      <c r="E110" s="40" t="n">
        <f aca="false">$I$108*$D$110*$F$108</f>
        <v>0.042</v>
      </c>
      <c r="F110" s="40" t="n">
        <f aca="false">$I$108*($D$110-$E$110)*$G$108</f>
        <v>0.0238</v>
      </c>
      <c r="G110" s="40" t="n">
        <f aca="false">$I$108*($D$110-$E$110-$F$110)</f>
        <v>0.0042</v>
      </c>
      <c r="H110" s="23" t="n">
        <f aca="false">$I$108*(3*$D$108+Inputs!$C$14)</f>
        <v>12600</v>
      </c>
      <c r="I110" s="23" t="n">
        <f aca="false">$I$108*($D$108*(1+IF($C$108&lt;=0,0,MAX($C$108*Inputs!$C$15/12,Inputs!$C$8)))+$D$108*(1+Inputs!$C$11*(Inputs!$C$15-Inputs!$C$12)/12)+$D$108*(1+Inputs!$C$11*(Inputs!$C$15-Inputs!$C$13)/12)+Inputs!$C$14)</f>
        <v>13572</v>
      </c>
      <c r="J110" s="23" t="n">
        <f aca="false">$I$108*($D$108*(1+IF($C$108&lt;=0,0,MAX($C$108*Inputs!$C$16/12,Inputs!$C$8)))+$D$108*(1+Inputs!$C$11*(Inputs!$C$16-Inputs!$C$12)/12)+$D$108*(1+Inputs!$C$11*(Inputs!$C$16-Inputs!$C$13)/12)+Inputs!$C$14)</f>
        <v>13896</v>
      </c>
      <c r="K110" s="40" t="n">
        <f aca="false">IRR($N$113:$AY$113,0.005)</f>
        <v>0.00246147605479244</v>
      </c>
      <c r="L110" s="41" t="n">
        <f aca="false">(1+$K$110)^12-1</f>
        <v>0.0299408969738637</v>
      </c>
    </row>
    <row r="111" customFormat="false" ht="15" hidden="false" customHeight="false" outlineLevel="0" collapsed="false">
      <c r="B111" s="9" t="s">
        <v>185</v>
      </c>
      <c r="N111" s="40" t="n">
        <f aca="false">0</f>
        <v>0</v>
      </c>
      <c r="O111" s="40" t="n">
        <f aca="false">$E$108*(CHOOSE($L$108,Timing!D$7,Timing!D$8)-CHOOSE($L$108,Timing!C$7,Timing!C$8))</f>
        <v>0.1116</v>
      </c>
      <c r="P111" s="40" t="n">
        <f aca="false">$E$108*(CHOOSE($L$108,Timing!E$7,Timing!E$8)-CHOOSE($L$108,Timing!D$7,Timing!D$8))</f>
        <v>0.093</v>
      </c>
      <c r="Q111" s="40" t="n">
        <f aca="false">$E$108*(CHOOSE($L$108,Timing!F$7,Timing!F$8)-CHOOSE($L$108,Timing!E$7,Timing!E$8))</f>
        <v>0.0837</v>
      </c>
      <c r="R111" s="40" t="n">
        <f aca="false">$E$108*(CHOOSE($L$108,Timing!G$7,Timing!G$8)-CHOOSE($L$108,Timing!F$7,Timing!F$8))</f>
        <v>0.0651</v>
      </c>
      <c r="S111" s="40" t="n">
        <f aca="false">$E$108*(CHOOSE($L$108,Timing!H$7,Timing!H$8)-CHOOSE($L$108,Timing!G$7,Timing!G$8))</f>
        <v>0.0651</v>
      </c>
      <c r="T111" s="40" t="n">
        <f aca="false">$E$108*(CHOOSE($L$108,Timing!I$7,Timing!I$8)-CHOOSE($L$108,Timing!H$7,Timing!H$8))</f>
        <v>0.0651</v>
      </c>
      <c r="U111" s="40" t="n">
        <f aca="false">$E$108*(CHOOSE($L$108,Timing!J$7,Timing!J$8)-CHOOSE($L$108,Timing!I$7,Timing!I$8))</f>
        <v>0.0403</v>
      </c>
      <c r="V111" s="40" t="n">
        <f aca="false">$E$108*(CHOOSE($L$108,Timing!K$7,Timing!K$8)-CHOOSE($L$108,Timing!J$7,Timing!J$8))</f>
        <v>0.0403</v>
      </c>
      <c r="W111" s="40" t="n">
        <f aca="false">$E$108*(CHOOSE($L$108,Timing!L$7,Timing!L$8)-CHOOSE($L$108,Timing!K$7,Timing!K$8))</f>
        <v>0.0403</v>
      </c>
      <c r="X111" s="40" t="n">
        <f aca="false">$E$108*(CHOOSE($L$108,Timing!M$7,Timing!M$8)-CHOOSE($L$108,Timing!L$7,Timing!L$8))</f>
        <v>0.0341</v>
      </c>
      <c r="Y111" s="40" t="n">
        <f aca="false">$E$108*(CHOOSE($L$108,Timing!N$7,Timing!N$8)-CHOOSE($L$108,Timing!M$7,Timing!M$8))</f>
        <v>0.0341000000000001</v>
      </c>
      <c r="Z111" s="40" t="n">
        <f aca="false">$E$108*(CHOOSE($L$108,Timing!O$7,Timing!O$8)-CHOOSE($L$108,Timing!N$7,Timing!N$8))</f>
        <v>0.0341</v>
      </c>
      <c r="AA111" s="40" t="n">
        <f aca="false">$E$108*(CHOOSE($L$108,Timing!P$7,Timing!P$8)-CHOOSE($L$108,Timing!O$7,Timing!O$8))</f>
        <v>0.0217</v>
      </c>
      <c r="AB111" s="40" t="n">
        <f aca="false">$E$108*(CHOOSE($L$108,Timing!Q$7,Timing!Q$8)-CHOOSE($L$108,Timing!P$7,Timing!P$8))</f>
        <v>0.0217</v>
      </c>
      <c r="AC111" s="40" t="n">
        <f aca="false">$E$108*(CHOOSE($L$108,Timing!R$7,Timing!R$8)-CHOOSE($L$108,Timing!Q$7,Timing!Q$8))</f>
        <v>0.0217000000000001</v>
      </c>
      <c r="AD111" s="40" t="n">
        <f aca="false">$E$108*(CHOOSE($L$108,Timing!S$7,Timing!S$8)-CHOOSE($L$108,Timing!R$7,Timing!R$8))</f>
        <v>0.0217</v>
      </c>
      <c r="AE111" s="40" t="n">
        <f aca="false">$E$108*(CHOOSE($L$108,Timing!T$7,Timing!T$8)-CHOOSE($L$108,Timing!S$7,Timing!S$8))</f>
        <v>0.0217</v>
      </c>
      <c r="AF111" s="40" t="n">
        <f aca="false">$E$108*(CHOOSE($L$108,Timing!U$7,Timing!U$8)-CHOOSE($L$108,Timing!T$7,Timing!T$8))</f>
        <v>0.0217</v>
      </c>
      <c r="AG111" s="40" t="n">
        <f aca="false">$E$108*(CHOOSE($L$108,Timing!V$7,Timing!V$8)-CHOOSE($L$108,Timing!U$7,Timing!U$8))</f>
        <v>0.0155</v>
      </c>
      <c r="AH111" s="40" t="n">
        <f aca="false">$E$108*(CHOOSE($L$108,Timing!W$7,Timing!W$8)-CHOOSE($L$108,Timing!V$7,Timing!V$8))</f>
        <v>0.0154999999999999</v>
      </c>
      <c r="AI111" s="40" t="n">
        <f aca="false">$E$108*(CHOOSE($L$108,Timing!X$7,Timing!X$8)-CHOOSE($L$108,Timing!W$7,Timing!W$8))</f>
        <v>0.0154999999999999</v>
      </c>
      <c r="AJ111" s="40" t="n">
        <f aca="false">$E$108*(CHOOSE($L$108,Timing!Y$7,Timing!Y$8)-CHOOSE($L$108,Timing!X$7,Timing!X$8))</f>
        <v>0.0155</v>
      </c>
      <c r="AK111" s="40" t="n">
        <f aca="false">$E$108*(CHOOSE($L$108,Timing!Z$7,Timing!Z$8)-CHOOSE($L$108,Timing!Y$7,Timing!Y$8))</f>
        <v>0.0155</v>
      </c>
      <c r="AL111" s="40" t="n">
        <f aca="false">$E$108*(CHOOSE($L$108,Timing!AA$7,Timing!AA$8)-CHOOSE($L$108,Timing!Z$7,Timing!Z$8))</f>
        <v>0.0154999999999999</v>
      </c>
    </row>
    <row r="112" customFormat="false" ht="15" hidden="false" customHeight="false" outlineLevel="0" collapsed="false">
      <c r="B112" s="9" t="s">
        <v>186</v>
      </c>
      <c r="N112" s="42" t="n">
        <f aca="false">0</f>
        <v>0</v>
      </c>
      <c r="O112" s="42" t="n">
        <f aca="false">$D$108*(1+IF($C$108&lt;=0,0,MAX($C$108*O$5/12,Inputs!$C$8)))+$I$108*(O$5&gt;Inputs!$C$12)*$D$108*(1+Inputs!$C$11*(O$5-Inputs!$C$12)/12)</f>
        <v>3600</v>
      </c>
      <c r="P112" s="42" t="n">
        <f aca="false">$D$108*(1+IF($C$108&lt;=0,0,MAX($C$108*P$5/12,Inputs!$C$8)))+$I$108*(P$5&gt;Inputs!$C$12)*$D$108*(1+Inputs!$C$11*(P$5-Inputs!$C$12)/12)</f>
        <v>3600</v>
      </c>
      <c r="Q112" s="42" t="n">
        <f aca="false">$D$108*(1+IF($C$108&lt;=0,0,MAX($C$108*Q$5/12,Inputs!$C$8)))+$I$108*(Q$5&gt;Inputs!$C$12)*$D$108*(1+Inputs!$C$11*(Q$5-Inputs!$C$12)/12)</f>
        <v>3600</v>
      </c>
      <c r="R112" s="42" t="n">
        <f aca="false">$D$108*(1+IF($C$108&lt;=0,0,MAX($C$108*R$5/12,Inputs!$C$8)))+$I$108*(R$5&gt;Inputs!$C$12)*$D$108*(1+Inputs!$C$11*(R$5-Inputs!$C$12)/12)</f>
        <v>3600</v>
      </c>
      <c r="S112" s="42" t="n">
        <f aca="false">$D$108*(1+IF($C$108&lt;=0,0,MAX($C$108*S$5/12,Inputs!$C$8)))+$I$108*(S$5&gt;Inputs!$C$12)*$D$108*(1+Inputs!$C$11*(S$5-Inputs!$C$12)/12)</f>
        <v>3600</v>
      </c>
      <c r="T112" s="42" t="n">
        <f aca="false">$D$108*(1+IF($C$108&lt;=0,0,MAX($C$108*T$5/12,Inputs!$C$8)))+$I$108*(T$5&gt;Inputs!$C$12)*$D$108*(1+Inputs!$C$11*(T$5-Inputs!$C$12)/12)</f>
        <v>3600</v>
      </c>
      <c r="U112" s="42" t="n">
        <f aca="false">$D$108*(1+IF($C$108&lt;=0,0,MAX($C$108*U$5/12,Inputs!$C$8)))+$I$108*(U$5&gt;Inputs!$C$12)*$D$108*(1+Inputs!$C$11*(U$5-Inputs!$C$12)/12)</f>
        <v>3600</v>
      </c>
      <c r="V112" s="42" t="n">
        <f aca="false">$D$108*(1+IF($C$108&lt;=0,0,MAX($C$108*V$5/12,Inputs!$C$8)))+$I$108*(V$5&gt;Inputs!$C$12)*$D$108*(1+Inputs!$C$11*(V$5-Inputs!$C$12)/12)</f>
        <v>3600</v>
      </c>
      <c r="W112" s="42" t="n">
        <f aca="false">$D$108*(1+IF($C$108&lt;=0,0,MAX($C$108*W$5/12,Inputs!$C$8)))+$I$108*(W$5&gt;Inputs!$C$12)*$D$108*(1+Inputs!$C$11*(W$5-Inputs!$C$12)/12)</f>
        <v>3600</v>
      </c>
      <c r="X112" s="42" t="n">
        <f aca="false">$D$108*(1+IF($C$108&lt;=0,0,MAX($C$108*X$5/12,Inputs!$C$8)))+$I$108*(X$5&gt;Inputs!$C$12)*$D$108*(1+Inputs!$C$11*(X$5-Inputs!$C$12)/12)</f>
        <v>3600</v>
      </c>
      <c r="Y112" s="42" t="n">
        <f aca="false">$D$108*(1+IF($C$108&lt;=0,0,MAX($C$108*Y$5/12,Inputs!$C$8)))+$I$108*(Y$5&gt;Inputs!$C$12)*$D$108*(1+Inputs!$C$11*(Y$5-Inputs!$C$12)/12)</f>
        <v>3600</v>
      </c>
      <c r="Z112" s="42" t="n">
        <f aca="false">$D$108*(1+IF($C$108&lt;=0,0,MAX($C$108*Z$5/12,Inputs!$C$8)))+$I$108*(Z$5&gt;Inputs!$C$12)*$D$108*(1+Inputs!$C$11*(Z$5-Inputs!$C$12)/12)</f>
        <v>3600</v>
      </c>
      <c r="AA112" s="42" t="n">
        <f aca="false">$D$108*(1+IF($C$108&lt;=0,0,MAX($C$108*AA$5/12,Inputs!$C$8)))+$I$108*(AA$5&gt;Inputs!$C$12)*$D$108*(1+Inputs!$C$11*(AA$5-Inputs!$C$12)/12)</f>
        <v>7254</v>
      </c>
      <c r="AB112" s="42" t="n">
        <f aca="false">$D$108*(1+IF($C$108&lt;=0,0,MAX($C$108*AB$5/12,Inputs!$C$8)))+$I$108*(AB$5&gt;Inputs!$C$12)*$D$108*(1+Inputs!$C$11*(AB$5-Inputs!$C$12)/12)</f>
        <v>7308</v>
      </c>
      <c r="AC112" s="42" t="n">
        <f aca="false">$D$108*(1+IF($C$108&lt;=0,0,MAX($C$108*AC$5/12,Inputs!$C$8)))+$I$108*(AC$5&gt;Inputs!$C$12)*$D$108*(1+Inputs!$C$11*(AC$5-Inputs!$C$12)/12)</f>
        <v>7362</v>
      </c>
      <c r="AD112" s="42" t="n">
        <f aca="false">$D$108*(1+IF($C$108&lt;=0,0,MAX($C$108*AD$5/12,Inputs!$C$8)))+$I$108*(AD$5&gt;Inputs!$C$12)*$D$108*(1+Inputs!$C$11*(AD$5-Inputs!$C$12)/12)</f>
        <v>7416</v>
      </c>
      <c r="AE112" s="42" t="n">
        <f aca="false">$D$108*(1+IF($C$108&lt;=0,0,MAX($C$108*AE$5/12,Inputs!$C$8)))+$I$108*(AE$5&gt;Inputs!$C$12)*$D$108*(1+Inputs!$C$11*(AE$5-Inputs!$C$12)/12)</f>
        <v>7470</v>
      </c>
      <c r="AF112" s="42" t="n">
        <f aca="false">$D$108*(1+IF($C$108&lt;=0,0,MAX($C$108*AF$5/12,Inputs!$C$8)))+$I$108*(AF$5&gt;Inputs!$C$12)*$D$108*(1+Inputs!$C$11*(AF$5-Inputs!$C$12)/12)</f>
        <v>7524</v>
      </c>
      <c r="AG112" s="42" t="n">
        <f aca="false">$D$108*(1+IF($C$108&lt;=0,0,MAX($C$108*AG$5/12,Inputs!$C$8)))+$I$108*(AG$5&gt;Inputs!$C$12)*$D$108*(1+Inputs!$C$11*(AG$5-Inputs!$C$12)/12)</f>
        <v>7578</v>
      </c>
      <c r="AH112" s="42" t="n">
        <f aca="false">$D$108*(1+IF($C$108&lt;=0,0,MAX($C$108*AH$5/12,Inputs!$C$8)))+$I$108*(AH$5&gt;Inputs!$C$12)*$D$108*(1+Inputs!$C$11*(AH$5-Inputs!$C$12)/12)</f>
        <v>7632</v>
      </c>
      <c r="AI112" s="42" t="n">
        <f aca="false">$D$108*(1+IF($C$108&lt;=0,0,MAX($C$108*AI$5/12,Inputs!$C$8)))+$I$108*(AI$5&gt;Inputs!$C$12)*$D$108*(1+Inputs!$C$11*(AI$5-Inputs!$C$12)/12)</f>
        <v>7686</v>
      </c>
      <c r="AJ112" s="42" t="n">
        <f aca="false">$D$108*(1+IF($C$108&lt;=0,0,MAX($C$108*AJ$5/12,Inputs!$C$8)))+$I$108*(AJ$5&gt;Inputs!$C$12)*$D$108*(1+Inputs!$C$11*(AJ$5-Inputs!$C$12)/12)</f>
        <v>7740</v>
      </c>
      <c r="AK112" s="42" t="n">
        <f aca="false">$D$108*(1+IF($C$108&lt;=0,0,MAX($C$108*AK$5/12,Inputs!$C$8)))+$I$108*(AK$5&gt;Inputs!$C$12)*$D$108*(1+Inputs!$C$11*(AK$5-Inputs!$C$12)/12)</f>
        <v>7794</v>
      </c>
      <c r="AL112" s="42" t="n">
        <f aca="false">$D$108*(1+IF($C$108&lt;=0,0,MAX($C$108*AL$5/12,Inputs!$C$8)))+$I$108*(AL$5&gt;Inputs!$C$12)*$D$108*(1+Inputs!$C$11*(AL$5-Inputs!$C$12)/12)</f>
        <v>7848</v>
      </c>
    </row>
    <row r="113" customFormat="false" ht="15" hidden="false" customHeight="false" outlineLevel="0" collapsed="false">
      <c r="B113" s="31" t="s">
        <v>187</v>
      </c>
      <c r="N113" s="42" t="n">
        <f aca="false">-($D$108+$J$108)*(N$5=0)+IF(AND(N$5-$K$108&gt;=1,N$5-$K$108&lt;=Inputs!$C$13),INDEX($N$111:$AL$111,1,N$5-$K$108+1)*INDEX($N$112:$AL$112,1,N$5-$K$108+1),0)-$I$108*((N$5=Inputs!$C$12)*$C$110*$D$108+(N$5=Inputs!$C$13)*$D$110*($D$108+Inputs!$C$14))+$I$108*((N$5=Inputs!$C$15+$K$108)*$E$110*$I$110+(N$5=Inputs!$C$16+$K$108)*$F$110*$J$110+(N$5=Inputs!$C$17)*$G$110*$H$108*$H$110)</f>
        <v>-3610</v>
      </c>
      <c r="O113" s="42" t="n">
        <f aca="false">-($D$108+$J$108)*(O$5=0)+IF(AND(O$5-$K$108&gt;=1,O$5-$K$108&lt;=Inputs!$C$13),INDEX($N$111:$AL$111,1,O$5-$K$108+1)*INDEX($N$112:$AL$112,1,O$5-$K$108+1),0)-$I$108*((O$5=Inputs!$C$12)*$C$110*$D$108+(O$5=Inputs!$C$13)*$D$110*($D$108+Inputs!$C$14))+$I$108*((O$5=Inputs!$C$15+$K$108)*$E$110*$I$110+(O$5=Inputs!$C$16+$K$108)*$F$110*$J$110+(O$5=Inputs!$C$17)*$G$110*$H$108*$H$110)</f>
        <v>0</v>
      </c>
      <c r="P113" s="42" t="n">
        <f aca="false">-($D$108+$J$108)*(P$5=0)+IF(AND(P$5-$K$108&gt;=1,P$5-$K$108&lt;=Inputs!$C$13),INDEX($N$111:$AL$111,1,P$5-$K$108+1)*INDEX($N$112:$AL$112,1,P$5-$K$108+1),0)-$I$108*((P$5=Inputs!$C$12)*$C$110*$D$108+(P$5=Inputs!$C$13)*$D$110*($D$108+Inputs!$C$14))+$I$108*((P$5=Inputs!$C$15+$K$108)*$E$110*$I$110+(P$5=Inputs!$C$16+$K$108)*$F$110*$J$110+(P$5=Inputs!$C$17)*$G$110*$H$108*$H$110)</f>
        <v>401.76</v>
      </c>
      <c r="Q113" s="42" t="n">
        <f aca="false">-($D$108+$J$108)*(Q$5=0)+IF(AND(Q$5-$K$108&gt;=1,Q$5-$K$108&lt;=Inputs!$C$13),INDEX($N$111:$AL$111,1,Q$5-$K$108+1)*INDEX($N$112:$AL$112,1,Q$5-$K$108+1),0)-$I$108*((Q$5=Inputs!$C$12)*$C$110*$D$108+(Q$5=Inputs!$C$13)*$D$110*($D$108+Inputs!$C$14))+$I$108*((Q$5=Inputs!$C$15+$K$108)*$E$110*$I$110+(Q$5=Inputs!$C$16+$K$108)*$F$110*$J$110+(Q$5=Inputs!$C$17)*$G$110*$H$108*$H$110)</f>
        <v>334.8</v>
      </c>
      <c r="R113" s="42" t="n">
        <f aca="false">-($D$108+$J$108)*(R$5=0)+IF(AND(R$5-$K$108&gt;=1,R$5-$K$108&lt;=Inputs!$C$13),INDEX($N$111:$AL$111,1,R$5-$K$108+1)*INDEX($N$112:$AL$112,1,R$5-$K$108+1),0)-$I$108*((R$5=Inputs!$C$12)*$C$110*$D$108+(R$5=Inputs!$C$13)*$D$110*($D$108+Inputs!$C$14))+$I$108*((R$5=Inputs!$C$15+$K$108)*$E$110*$I$110+(R$5=Inputs!$C$16+$K$108)*$F$110*$J$110+(R$5=Inputs!$C$17)*$G$110*$H$108*$H$110)</f>
        <v>301.32</v>
      </c>
      <c r="S113" s="42" t="n">
        <f aca="false">-($D$108+$J$108)*(S$5=0)+IF(AND(S$5-$K$108&gt;=1,S$5-$K$108&lt;=Inputs!$C$13),INDEX($N$111:$AL$111,1,S$5-$K$108+1)*INDEX($N$112:$AL$112,1,S$5-$K$108+1),0)-$I$108*((S$5=Inputs!$C$12)*$C$110*$D$108+(S$5=Inputs!$C$13)*$D$110*($D$108+Inputs!$C$14))+$I$108*((S$5=Inputs!$C$15+$K$108)*$E$110*$I$110+(S$5=Inputs!$C$16+$K$108)*$F$110*$J$110+(S$5=Inputs!$C$17)*$G$110*$H$108*$H$110)</f>
        <v>234.36</v>
      </c>
      <c r="T113" s="42" t="n">
        <f aca="false">-($D$108+$J$108)*(T$5=0)+IF(AND(T$5-$K$108&gt;=1,T$5-$K$108&lt;=Inputs!$C$13),INDEX($N$111:$AL$111,1,T$5-$K$108+1)*INDEX($N$112:$AL$112,1,T$5-$K$108+1),0)-$I$108*((T$5=Inputs!$C$12)*$C$110*$D$108+(T$5=Inputs!$C$13)*$D$110*($D$108+Inputs!$C$14))+$I$108*((T$5=Inputs!$C$15+$K$108)*$E$110*$I$110+(T$5=Inputs!$C$16+$K$108)*$F$110*$J$110+(T$5=Inputs!$C$17)*$G$110*$H$108*$H$110)</f>
        <v>234.36</v>
      </c>
      <c r="U113" s="42" t="n">
        <f aca="false">-($D$108+$J$108)*(U$5=0)+IF(AND(U$5-$K$108&gt;=1,U$5-$K$108&lt;=Inputs!$C$13),INDEX($N$111:$AL$111,1,U$5-$K$108+1)*INDEX($N$112:$AL$112,1,U$5-$K$108+1),0)-$I$108*((U$5=Inputs!$C$12)*$C$110*$D$108+(U$5=Inputs!$C$13)*$D$110*($D$108+Inputs!$C$14))+$I$108*((U$5=Inputs!$C$15+$K$108)*$E$110*$I$110+(U$5=Inputs!$C$16+$K$108)*$F$110*$J$110+(U$5=Inputs!$C$17)*$G$110*$H$108*$H$110)</f>
        <v>234.36</v>
      </c>
      <c r="V113" s="42" t="n">
        <f aca="false">-($D$108+$J$108)*(V$5=0)+IF(AND(V$5-$K$108&gt;=1,V$5-$K$108&lt;=Inputs!$C$13),INDEX($N$111:$AL$111,1,V$5-$K$108+1)*INDEX($N$112:$AL$112,1,V$5-$K$108+1),0)-$I$108*((V$5=Inputs!$C$12)*$C$110*$D$108+(V$5=Inputs!$C$13)*$D$110*($D$108+Inputs!$C$14))+$I$108*((V$5=Inputs!$C$15+$K$108)*$E$110*$I$110+(V$5=Inputs!$C$16+$K$108)*$F$110*$J$110+(V$5=Inputs!$C$17)*$G$110*$H$108*$H$110)</f>
        <v>145.08</v>
      </c>
      <c r="W113" s="42" t="n">
        <f aca="false">-($D$108+$J$108)*(W$5=0)+IF(AND(W$5-$K$108&gt;=1,W$5-$K$108&lt;=Inputs!$C$13),INDEX($N$111:$AL$111,1,W$5-$K$108+1)*INDEX($N$112:$AL$112,1,W$5-$K$108+1),0)-$I$108*((W$5=Inputs!$C$12)*$C$110*$D$108+(W$5=Inputs!$C$13)*$D$110*($D$108+Inputs!$C$14))+$I$108*((W$5=Inputs!$C$15+$K$108)*$E$110*$I$110+(W$5=Inputs!$C$16+$K$108)*$F$110*$J$110+(W$5=Inputs!$C$17)*$G$110*$H$108*$H$110)</f>
        <v>145.08</v>
      </c>
      <c r="X113" s="42" t="n">
        <f aca="false">-($D$108+$J$108)*(X$5=0)+IF(AND(X$5-$K$108&gt;=1,X$5-$K$108&lt;=Inputs!$C$13),INDEX($N$111:$AL$111,1,X$5-$K$108+1)*INDEX($N$112:$AL$112,1,X$5-$K$108+1),0)-$I$108*((X$5=Inputs!$C$12)*$C$110*$D$108+(X$5=Inputs!$C$13)*$D$110*($D$108+Inputs!$C$14))+$I$108*((X$5=Inputs!$C$15+$K$108)*$E$110*$I$110+(X$5=Inputs!$C$16+$K$108)*$F$110*$J$110+(X$5=Inputs!$C$17)*$G$110*$H$108*$H$110)</f>
        <v>145.08</v>
      </c>
      <c r="Y113" s="42" t="n">
        <f aca="false">-($D$108+$J$108)*(Y$5=0)+IF(AND(Y$5-$K$108&gt;=1,Y$5-$K$108&lt;=Inputs!$C$13),INDEX($N$111:$AL$111,1,Y$5-$K$108+1)*INDEX($N$112:$AL$112,1,Y$5-$K$108+1),0)-$I$108*((Y$5=Inputs!$C$12)*$C$110*$D$108+(Y$5=Inputs!$C$13)*$D$110*($D$108+Inputs!$C$14))+$I$108*((Y$5=Inputs!$C$15+$K$108)*$E$110*$I$110+(Y$5=Inputs!$C$16+$K$108)*$F$110*$J$110+(Y$5=Inputs!$C$17)*$G$110*$H$108*$H$110)</f>
        <v>122.76</v>
      </c>
      <c r="Z113" s="42" t="n">
        <f aca="false">-($D$108+$J$108)*(Z$5=0)+IF(AND(Z$5-$K$108&gt;=1,Z$5-$K$108&lt;=Inputs!$C$13),INDEX($N$111:$AL$111,1,Z$5-$K$108+1)*INDEX($N$112:$AL$112,1,Z$5-$K$108+1),0)-$I$108*((Z$5=Inputs!$C$12)*$C$110*$D$108+(Z$5=Inputs!$C$13)*$D$110*($D$108+Inputs!$C$14))+$I$108*((Z$5=Inputs!$C$15+$K$108)*$E$110*$I$110+(Z$5=Inputs!$C$16+$K$108)*$F$110*$J$110+(Z$5=Inputs!$C$17)*$G$110*$H$108*$H$110)</f>
        <v>-932.76</v>
      </c>
      <c r="AA113" s="42" t="n">
        <f aca="false">-($D$108+$J$108)*(AA$5=0)+IF(AND(AA$5-$K$108&gt;=1,AA$5-$K$108&lt;=Inputs!$C$13),INDEX($N$111:$AL$111,1,AA$5-$K$108+1)*INDEX($N$112:$AL$112,1,AA$5-$K$108+1),0)-$I$108*((AA$5=Inputs!$C$12)*$C$110*$D$108+(AA$5=Inputs!$C$13)*$D$110*($D$108+Inputs!$C$14))+$I$108*((AA$5=Inputs!$C$15+$K$108)*$E$110*$I$110+(AA$5=Inputs!$C$16+$K$108)*$F$110*$J$110+(AA$5=Inputs!$C$17)*$G$110*$H$108*$H$110)</f>
        <v>122.76</v>
      </c>
      <c r="AB113" s="42" t="n">
        <f aca="false">-($D$108+$J$108)*(AB$5=0)+IF(AND(AB$5-$K$108&gt;=1,AB$5-$K$108&lt;=Inputs!$C$13),INDEX($N$111:$AL$111,1,AB$5-$K$108+1)*INDEX($N$112:$AL$112,1,AB$5-$K$108+1),0)-$I$108*((AB$5=Inputs!$C$12)*$C$110*$D$108+(AB$5=Inputs!$C$13)*$D$110*($D$108+Inputs!$C$14))+$I$108*((AB$5=Inputs!$C$15+$K$108)*$E$110*$I$110+(AB$5=Inputs!$C$16+$K$108)*$F$110*$J$110+(AB$5=Inputs!$C$17)*$G$110*$H$108*$H$110)</f>
        <v>157.4118</v>
      </c>
      <c r="AC113" s="42" t="n">
        <f aca="false">-($D$108+$J$108)*(AC$5=0)+IF(AND(AC$5-$K$108&gt;=1,AC$5-$K$108&lt;=Inputs!$C$13),INDEX($N$111:$AL$111,1,AC$5-$K$108+1)*INDEX($N$112:$AL$112,1,AC$5-$K$108+1),0)-$I$108*((AC$5=Inputs!$C$12)*$C$110*$D$108+(AC$5=Inputs!$C$13)*$D$110*($D$108+Inputs!$C$14))+$I$108*((AC$5=Inputs!$C$15+$K$108)*$E$110*$I$110+(AC$5=Inputs!$C$16+$K$108)*$F$110*$J$110+(AC$5=Inputs!$C$17)*$G$110*$H$108*$H$110)</f>
        <v>158.5836</v>
      </c>
      <c r="AD113" s="42" t="n">
        <f aca="false">-($D$108+$J$108)*(AD$5=0)+IF(AND(AD$5-$K$108&gt;=1,AD$5-$K$108&lt;=Inputs!$C$13),INDEX($N$111:$AL$111,1,AD$5-$K$108+1)*INDEX($N$112:$AL$112,1,AD$5-$K$108+1),0)-$I$108*((AD$5=Inputs!$C$12)*$C$110*$D$108+(AD$5=Inputs!$C$13)*$D$110*($D$108+Inputs!$C$14))+$I$108*((AD$5=Inputs!$C$15+$K$108)*$E$110*$I$110+(AD$5=Inputs!$C$16+$K$108)*$F$110*$J$110+(AD$5=Inputs!$C$17)*$G$110*$H$108*$H$110)</f>
        <v>159.755400000001</v>
      </c>
      <c r="AE113" s="42" t="n">
        <f aca="false">-($D$108+$J$108)*(AE$5=0)+IF(AND(AE$5-$K$108&gt;=1,AE$5-$K$108&lt;=Inputs!$C$13),INDEX($N$111:$AL$111,1,AE$5-$K$108+1)*INDEX($N$112:$AL$112,1,AE$5-$K$108+1),0)-$I$108*((AE$5=Inputs!$C$12)*$C$110*$D$108+(AE$5=Inputs!$C$13)*$D$110*($D$108+Inputs!$C$14))+$I$108*((AE$5=Inputs!$C$15+$K$108)*$E$110*$I$110+(AE$5=Inputs!$C$16+$K$108)*$F$110*$J$110+(AE$5=Inputs!$C$17)*$G$110*$H$108*$H$110)</f>
        <v>160.9272</v>
      </c>
      <c r="AF113" s="42" t="n">
        <f aca="false">-($D$108+$J$108)*(AF$5=0)+IF(AND(AF$5-$K$108&gt;=1,AF$5-$K$108&lt;=Inputs!$C$13),INDEX($N$111:$AL$111,1,AF$5-$K$108+1)*INDEX($N$112:$AL$112,1,AF$5-$K$108+1),0)-$I$108*((AF$5=Inputs!$C$12)*$C$110*$D$108+(AF$5=Inputs!$C$13)*$D$110*($D$108+Inputs!$C$14))+$I$108*((AF$5=Inputs!$C$15+$K$108)*$E$110*$I$110+(AF$5=Inputs!$C$16+$K$108)*$F$110*$J$110+(AF$5=Inputs!$C$17)*$G$110*$H$108*$H$110)</f>
        <v>162.099</v>
      </c>
      <c r="AG113" s="42" t="n">
        <f aca="false">-($D$108+$J$108)*(AG$5=0)+IF(AND(AG$5-$K$108&gt;=1,AG$5-$K$108&lt;=Inputs!$C$13),INDEX($N$111:$AL$111,1,AG$5-$K$108+1)*INDEX($N$112:$AL$112,1,AG$5-$K$108+1),0)-$I$108*((AG$5=Inputs!$C$12)*$C$110*$D$108+(AG$5=Inputs!$C$13)*$D$110*($D$108+Inputs!$C$14))+$I$108*((AG$5=Inputs!$C$15+$K$108)*$E$110*$I$110+(AG$5=Inputs!$C$16+$K$108)*$F$110*$J$110+(AG$5=Inputs!$C$17)*$G$110*$H$108*$H$110)</f>
        <v>163.2708</v>
      </c>
      <c r="AH113" s="42" t="n">
        <f aca="false">-($D$108+$J$108)*(AH$5=0)+IF(AND(AH$5-$K$108&gt;=1,AH$5-$K$108&lt;=Inputs!$C$13),INDEX($N$111:$AL$111,1,AH$5-$K$108+1)*INDEX($N$112:$AL$112,1,AH$5-$K$108+1),0)-$I$108*((AH$5=Inputs!$C$12)*$C$110*$D$108+(AH$5=Inputs!$C$13)*$D$110*($D$108+Inputs!$C$14))+$I$108*((AH$5=Inputs!$C$15+$K$108)*$E$110*$I$110+(AH$5=Inputs!$C$16+$K$108)*$F$110*$J$110+(AH$5=Inputs!$C$17)*$G$110*$H$108*$H$110)</f>
        <v>117.459</v>
      </c>
      <c r="AI113" s="42" t="n">
        <f aca="false">-($D$108+$J$108)*(AI$5=0)+IF(AND(AI$5-$K$108&gt;=1,AI$5-$K$108&lt;=Inputs!$C$13),INDEX($N$111:$AL$111,1,AI$5-$K$108+1)*INDEX($N$112:$AL$112,1,AI$5-$K$108+1),0)-$I$108*((AI$5=Inputs!$C$12)*$C$110*$D$108+(AI$5=Inputs!$C$13)*$D$110*($D$108+Inputs!$C$14))+$I$108*((AI$5=Inputs!$C$15+$K$108)*$E$110*$I$110+(AI$5=Inputs!$C$16+$K$108)*$F$110*$J$110+(AI$5=Inputs!$C$17)*$G$110*$H$108*$H$110)</f>
        <v>118.296</v>
      </c>
      <c r="AJ113" s="42" t="n">
        <f aca="false">-($D$108+$J$108)*(AJ$5=0)+IF(AND(AJ$5-$K$108&gt;=1,AJ$5-$K$108&lt;=Inputs!$C$13),INDEX($N$111:$AL$111,1,AJ$5-$K$108+1)*INDEX($N$112:$AL$112,1,AJ$5-$K$108+1),0)-$I$108*((AJ$5=Inputs!$C$12)*$C$110*$D$108+(AJ$5=Inputs!$C$13)*$D$110*($D$108+Inputs!$C$14))+$I$108*((AJ$5=Inputs!$C$15+$K$108)*$E$110*$I$110+(AJ$5=Inputs!$C$16+$K$108)*$F$110*$J$110+(AJ$5=Inputs!$C$17)*$G$110*$H$108*$H$110)</f>
        <v>119.133</v>
      </c>
      <c r="AK113" s="42" t="n">
        <f aca="false">-($D$108+$J$108)*(AK$5=0)+IF(AND(AK$5-$K$108&gt;=1,AK$5-$K$108&lt;=Inputs!$C$13),INDEX($N$111:$AL$111,1,AK$5-$K$108+1)*INDEX($N$112:$AL$112,1,AK$5-$K$108+1),0)-$I$108*((AK$5=Inputs!$C$12)*$C$110*$D$108+(AK$5=Inputs!$C$13)*$D$110*($D$108+Inputs!$C$14))+$I$108*((AK$5=Inputs!$C$15+$K$108)*$E$110*$I$110+(AK$5=Inputs!$C$16+$K$108)*$F$110*$J$110+(AK$5=Inputs!$C$17)*$G$110*$H$108*$H$110)</f>
        <v>119.97</v>
      </c>
      <c r="AL113" s="42" t="n">
        <f aca="false">-($D$108+$J$108)*(AL$5=0)+IF(AND(AL$5-$K$108&gt;=1,AL$5-$K$108&lt;=Inputs!$C$13),INDEX($N$111:$AL$111,1,AL$5-$K$108+1)*INDEX($N$112:$AL$112,1,AL$5-$K$108+1),0)-$I$108*((AL$5=Inputs!$C$12)*$C$110*$D$108+(AL$5=Inputs!$C$13)*$D$110*($D$108+Inputs!$C$14))+$I$108*((AL$5=Inputs!$C$15+$K$108)*$E$110*$I$110+(AL$5=Inputs!$C$16+$K$108)*$F$110*$J$110+(AL$5=Inputs!$C$17)*$G$110*$H$108*$H$110)</f>
        <v>-257.192999999999</v>
      </c>
      <c r="AM113" s="42" t="n">
        <f aca="false">-($D$108+$J$108)*(AM$5=0)+IF(AND(AM$5-$K$108&gt;=1,AM$5-$K$108&lt;=Inputs!$C$13),INDEX($N$111:$AL$111,1,AM$5-$K$108+1)*INDEX($N$112:$AL$112,1,AM$5-$K$108+1),0)-$I$108*((AM$5=Inputs!$C$12)*$C$110*$D$108+(AM$5=Inputs!$C$13)*$D$110*($D$108+Inputs!$C$14))+$I$108*((AM$5=Inputs!$C$15+$K$108)*$E$110*$I$110+(AM$5=Inputs!$C$16+$K$108)*$F$110*$J$110+(AM$5=Inputs!$C$17)*$G$110*$H$108*$H$110)</f>
        <v>121.644</v>
      </c>
      <c r="AN113" s="42" t="n">
        <f aca="false">-($D$108+$J$108)*(AN$5=0)+IF(AND(AN$5-$K$108&gt;=1,AN$5-$K$108&lt;=Inputs!$C$13),INDEX($N$111:$AL$111,1,AN$5-$K$108+1)*INDEX($N$112:$AL$112,1,AN$5-$K$108+1),0)-$I$108*((AN$5=Inputs!$C$12)*$C$110*$D$108+(AN$5=Inputs!$C$13)*$D$110*($D$108+Inputs!$C$14))+$I$108*((AN$5=Inputs!$C$15+$K$108)*$E$110*$I$110+(AN$5=Inputs!$C$16+$K$108)*$F$110*$J$110+(AN$5=Inputs!$C$17)*$G$110*$H$108*$H$110)</f>
        <v>0</v>
      </c>
      <c r="AO113" s="42" t="n">
        <f aca="false">-($D$108+$J$108)*(AO$5=0)+IF(AND(AO$5-$K$108&gt;=1,AO$5-$K$108&lt;=Inputs!$C$13),INDEX($N$111:$AL$111,1,AO$5-$K$108+1)*INDEX($N$112:$AL$112,1,AO$5-$K$108+1),0)-$I$108*((AO$5=Inputs!$C$12)*$C$110*$D$108+(AO$5=Inputs!$C$13)*$D$110*($D$108+Inputs!$C$14))+$I$108*((AO$5=Inputs!$C$15+$K$108)*$E$110*$I$110+(AO$5=Inputs!$C$16+$K$108)*$F$110*$J$110+(AO$5=Inputs!$C$17)*$G$110*$H$108*$H$110)</f>
        <v>0</v>
      </c>
      <c r="AP113" s="42" t="n">
        <f aca="false">-($D$108+$J$108)*(AP$5=0)+IF(AND(AP$5-$K$108&gt;=1,AP$5-$K$108&lt;=Inputs!$C$13),INDEX($N$111:$AL$111,1,AP$5-$K$108+1)*INDEX($N$112:$AL$112,1,AP$5-$K$108+1),0)-$I$108*((AP$5=Inputs!$C$12)*$C$110*$D$108+(AP$5=Inputs!$C$13)*$D$110*($D$108+Inputs!$C$14))+$I$108*((AP$5=Inputs!$C$15+$K$108)*$E$110*$I$110+(AP$5=Inputs!$C$16+$K$108)*$F$110*$J$110+(AP$5=Inputs!$C$17)*$G$110*$H$108*$H$110)</f>
        <v>570.024</v>
      </c>
      <c r="AQ113" s="42" t="n">
        <f aca="false">-($D$108+$J$108)*(AQ$5=0)+IF(AND(AQ$5-$K$108&gt;=1,AQ$5-$K$108&lt;=Inputs!$C$13),INDEX($N$111:$AL$111,1,AQ$5-$K$108+1)*INDEX($N$112:$AL$112,1,AQ$5-$K$108+1),0)-$I$108*((AQ$5=Inputs!$C$12)*$C$110*$D$108+(AQ$5=Inputs!$C$13)*$D$110*($D$108+Inputs!$C$14))+$I$108*((AQ$5=Inputs!$C$15+$K$108)*$E$110*$I$110+(AQ$5=Inputs!$C$16+$K$108)*$F$110*$J$110+(AQ$5=Inputs!$C$17)*$G$110*$H$108*$H$110)</f>
        <v>0</v>
      </c>
      <c r="AR113" s="42" t="n">
        <f aca="false">-($D$108+$J$108)*(AR$5=0)+IF(AND(AR$5-$K$108&gt;=1,AR$5-$K$108&lt;=Inputs!$C$13),INDEX($N$111:$AL$111,1,AR$5-$K$108+1)*INDEX($N$112:$AL$112,1,AR$5-$K$108+1),0)-$I$108*((AR$5=Inputs!$C$12)*$C$110*$D$108+(AR$5=Inputs!$C$13)*$D$110*($D$108+Inputs!$C$14))+$I$108*((AR$5=Inputs!$C$15+$K$108)*$E$110*$I$110+(AR$5=Inputs!$C$16+$K$108)*$F$110*$J$110+(AR$5=Inputs!$C$17)*$G$110*$H$108*$H$110)</f>
        <v>0</v>
      </c>
      <c r="AS113" s="42" t="n">
        <f aca="false">-($D$108+$J$108)*(AS$5=0)+IF(AND(AS$5-$K$108&gt;=1,AS$5-$K$108&lt;=Inputs!$C$13),INDEX($N$111:$AL$111,1,AS$5-$K$108+1)*INDEX($N$112:$AL$112,1,AS$5-$K$108+1),0)-$I$108*((AS$5=Inputs!$C$12)*$C$110*$D$108+(AS$5=Inputs!$C$13)*$D$110*($D$108+Inputs!$C$14))+$I$108*((AS$5=Inputs!$C$15+$K$108)*$E$110*$I$110+(AS$5=Inputs!$C$16+$K$108)*$F$110*$J$110+(AS$5=Inputs!$C$17)*$G$110*$H$108*$H$110)</f>
        <v>330.7248</v>
      </c>
      <c r="AT113" s="42" t="n">
        <f aca="false">-($D$108+$J$108)*(AT$5=0)+IF(AND(AT$5-$K$108&gt;=1,AT$5-$K$108&lt;=Inputs!$C$13),INDEX($N$111:$AL$111,1,AT$5-$K$108+1)*INDEX($N$112:$AL$112,1,AT$5-$K$108+1),0)-$I$108*((AT$5=Inputs!$C$12)*$C$110*$D$108+(AT$5=Inputs!$C$13)*$D$110*($D$108+Inputs!$C$14))+$I$108*((AT$5=Inputs!$C$15+$K$108)*$E$110*$I$110+(AT$5=Inputs!$C$16+$K$108)*$F$110*$J$110+(AT$5=Inputs!$C$17)*$G$110*$H$108*$H$110)</f>
        <v>0</v>
      </c>
      <c r="AU113" s="42" t="n">
        <f aca="false">-($D$108+$J$108)*(AU$5=0)+IF(AND(AU$5-$K$108&gt;=1,AU$5-$K$108&lt;=Inputs!$C$13),INDEX($N$111:$AL$111,1,AU$5-$K$108+1)*INDEX($N$112:$AL$112,1,AU$5-$K$108+1),0)-$I$108*((AU$5=Inputs!$C$12)*$C$110*$D$108+(AU$5=Inputs!$C$13)*$D$110*($D$108+Inputs!$C$14))+$I$108*((AU$5=Inputs!$C$15+$K$108)*$E$110*$I$110+(AU$5=Inputs!$C$16+$K$108)*$F$110*$J$110+(AU$5=Inputs!$C$17)*$G$110*$H$108*$H$110)</f>
        <v>0</v>
      </c>
      <c r="AV113" s="42" t="n">
        <f aca="false">-($D$108+$J$108)*(AV$5=0)+IF(AND(AV$5-$K$108&gt;=1,AV$5-$K$108&lt;=Inputs!$C$13),INDEX($N$111:$AL$111,1,AV$5-$K$108+1)*INDEX($N$112:$AL$112,1,AV$5-$K$108+1),0)-$I$108*((AV$5=Inputs!$C$12)*$C$110*$D$108+(AV$5=Inputs!$C$13)*$D$110*($D$108+Inputs!$C$14))+$I$108*((AV$5=Inputs!$C$15+$K$108)*$E$110*$I$110+(AV$5=Inputs!$C$16+$K$108)*$F$110*$J$110+(AV$5=Inputs!$C$17)*$G$110*$H$108*$H$110)</f>
        <v>0</v>
      </c>
      <c r="AW113" s="42" t="n">
        <f aca="false">-($D$108+$J$108)*(AW$5=0)+IF(AND(AW$5-$K$108&gt;=1,AW$5-$K$108&lt;=Inputs!$C$13),INDEX($N$111:$AL$111,1,AW$5-$K$108+1)*INDEX($N$112:$AL$112,1,AW$5-$K$108+1),0)-$I$108*((AW$5=Inputs!$C$12)*$C$110*$D$108+(AW$5=Inputs!$C$13)*$D$110*($D$108+Inputs!$C$14))+$I$108*((AW$5=Inputs!$C$15+$K$108)*$E$110*$I$110+(AW$5=Inputs!$C$16+$K$108)*$F$110*$J$110+(AW$5=Inputs!$C$17)*$G$110*$H$108*$H$110)</f>
        <v>0</v>
      </c>
      <c r="AX113" s="42" t="n">
        <f aca="false">-($D$108+$J$108)*(AX$5=0)+IF(AND(AX$5-$K$108&gt;=1,AX$5-$K$108&lt;=Inputs!$C$13),INDEX($N$111:$AL$111,1,AX$5-$K$108+1)*INDEX($N$112:$AL$112,1,AX$5-$K$108+1),0)-$I$108*((AX$5=Inputs!$C$12)*$C$110*$D$108+(AX$5=Inputs!$C$13)*$D$110*($D$108+Inputs!$C$14))+$I$108*((AX$5=Inputs!$C$15+$K$108)*$E$110*$I$110+(AX$5=Inputs!$C$16+$K$108)*$F$110*$J$110+(AX$5=Inputs!$C$17)*$G$110*$H$108*$H$110)</f>
        <v>47.628</v>
      </c>
      <c r="AY113" s="42" t="n">
        <f aca="false">-($D$108+$J$108)*(AY$5=0)+IF(AND(AY$5-$K$108&gt;=1,AY$5-$K$108&lt;=Inputs!$C$13),INDEX($N$111:$AL$111,1,AY$5-$K$108+1)*INDEX($N$112:$AL$112,1,AY$5-$K$108+1),0)-$I$108*((AY$5=Inputs!$C$12)*$C$110*$D$108+(AY$5=Inputs!$C$13)*$D$110*($D$108+Inputs!$C$14))+$I$108*((AY$5=Inputs!$C$15+$K$108)*$E$110*$I$110+(AY$5=Inputs!$C$16+$K$108)*$F$110*$J$110+(AY$5=Inputs!$C$17)*$G$110*$H$108*$H$110)</f>
        <v>0</v>
      </c>
    </row>
    <row r="115" customFormat="false" ht="15" hidden="false" customHeight="false" outlineLevel="0" collapsed="false">
      <c r="B115" s="7" t="s">
        <v>235</v>
      </c>
      <c r="C115" s="8"/>
      <c r="D115" s="8"/>
      <c r="E115" s="8"/>
      <c r="F115" s="8"/>
      <c r="G115" s="8"/>
      <c r="H115" s="8"/>
      <c r="I115" s="8"/>
      <c r="J115" s="8"/>
      <c r="K115" s="8"/>
      <c r="L115" s="8"/>
    </row>
    <row r="116" customFormat="false" ht="30" hidden="false" customHeight="true" outlineLevel="0" collapsed="false">
      <c r="B116" s="37"/>
      <c r="C116" s="38" t="s">
        <v>169</v>
      </c>
      <c r="D116" s="38" t="s">
        <v>170</v>
      </c>
      <c r="E116" s="38" t="s">
        <v>171</v>
      </c>
      <c r="F116" s="38" t="s">
        <v>43</v>
      </c>
      <c r="G116" s="38" t="s">
        <v>44</v>
      </c>
      <c r="H116" s="38" t="s">
        <v>45</v>
      </c>
      <c r="I116" s="38" t="s">
        <v>172</v>
      </c>
      <c r="J116" s="38" t="s">
        <v>90</v>
      </c>
      <c r="K116" s="38" t="s">
        <v>89</v>
      </c>
      <c r="L116" s="38" t="s">
        <v>173</v>
      </c>
    </row>
    <row r="117" customFormat="false" ht="15" hidden="false" customHeight="false" outlineLevel="0" collapsed="false">
      <c r="B117" s="39" t="s">
        <v>174</v>
      </c>
      <c r="C117" s="10" t="n">
        <v>0.0025</v>
      </c>
      <c r="D117" s="30" t="n">
        <f aca="false">Inputs!$E$25</f>
        <v>9500</v>
      </c>
      <c r="E117" s="26" t="n">
        <f aca="false">Inputs!$F$25</f>
        <v>0.9</v>
      </c>
      <c r="F117" s="25" t="n">
        <f aca="false">Inputs!$G$25</f>
        <v>0.6</v>
      </c>
      <c r="G117" s="25" t="n">
        <f aca="false">Inputs!$H$25</f>
        <v>0.8</v>
      </c>
      <c r="H117" s="25" t="n">
        <f aca="false">Inputs!$I$25</f>
        <v>0.9</v>
      </c>
      <c r="I117" s="22" t="n">
        <f aca="false">Inputs!$J$25</f>
        <v>1</v>
      </c>
      <c r="J117" s="23" t="n">
        <f aca="false">Inputs!$C$9</f>
        <v>10</v>
      </c>
      <c r="K117" s="22" t="n">
        <f aca="false">Inputs!$C$10</f>
        <v>1</v>
      </c>
      <c r="L117" s="22" t="n">
        <f aca="false">1</f>
        <v>1</v>
      </c>
    </row>
    <row r="118" customFormat="false" ht="30" hidden="false" customHeight="true" outlineLevel="0" collapsed="false">
      <c r="B118" s="37"/>
      <c r="C118" s="38" t="s">
        <v>175</v>
      </c>
      <c r="D118" s="38" t="s">
        <v>176</v>
      </c>
      <c r="E118" s="38" t="s">
        <v>177</v>
      </c>
      <c r="F118" s="38" t="s">
        <v>178</v>
      </c>
      <c r="G118" s="38" t="s">
        <v>112</v>
      </c>
      <c r="H118" s="38" t="s">
        <v>179</v>
      </c>
      <c r="I118" s="38" t="s">
        <v>180</v>
      </c>
      <c r="J118" s="38" t="s">
        <v>181</v>
      </c>
      <c r="K118" s="38" t="s">
        <v>182</v>
      </c>
      <c r="L118" s="38" t="s">
        <v>183</v>
      </c>
    </row>
    <row r="119" customFormat="false" ht="15" hidden="false" customHeight="false" outlineLevel="0" collapsed="false">
      <c r="B119" s="39" t="s">
        <v>184</v>
      </c>
      <c r="C119" s="40" t="n">
        <f aca="false">1-$E$117*CHOOSE($L$117,INDEX(Timing!$C$7:$AA$7,1,Inputs!$C$12+1),INDEX(Timing!$C$8:$AA$8,1,Inputs!$C$12+1))</f>
        <v>0.316</v>
      </c>
      <c r="D119" s="40" t="n">
        <f aca="false">1-$E$117*CHOOSE($L$117,INDEX(Timing!$C$7:$AA$7,1,Inputs!$C$13+1),INDEX(Timing!$C$8:$AA$8,1,Inputs!$C$13+1))</f>
        <v>0.1</v>
      </c>
      <c r="E119" s="40" t="n">
        <f aca="false">$I$117*$D$119*$F$117</f>
        <v>0.06</v>
      </c>
      <c r="F119" s="40" t="n">
        <f aca="false">$I$117*($D$119-$E$119)*$G$117</f>
        <v>0.032</v>
      </c>
      <c r="G119" s="40" t="n">
        <f aca="false">$I$117*($D$119-$E$119-$F$119)</f>
        <v>0.008</v>
      </c>
      <c r="H119" s="23" t="n">
        <f aca="false">$I$117*(3*$D$117+Inputs!$C$14)</f>
        <v>30300</v>
      </c>
      <c r="I119" s="23" t="n">
        <f aca="false">$I$117*($D$117*(1+IF($C$117&lt;=0,0,MAX($C$117*Inputs!$C$15/12,Inputs!$C$8)))+$D$117*(1+Inputs!$C$11*(Inputs!$C$15-Inputs!$C$12)/12)+$D$117*(1+Inputs!$C$11*(Inputs!$C$15-Inputs!$C$13)/12)+Inputs!$C$14)</f>
        <v>33340</v>
      </c>
      <c r="J119" s="23" t="n">
        <f aca="false">$I$117*($D$117*(1+IF($C$117&lt;=0,0,MAX($C$117*Inputs!$C$16/12,Inputs!$C$8)))+$D$117*(1+Inputs!$C$11*(Inputs!$C$16-Inputs!$C$12)/12)+$D$117*(1+Inputs!$C$11*(Inputs!$C$16-Inputs!$C$13)/12)+Inputs!$C$14)</f>
        <v>34195</v>
      </c>
      <c r="K119" s="40" t="n">
        <f aca="false">IRR($N$122:$AY$122,0.005)</f>
        <v>0.00593711100638152</v>
      </c>
      <c r="L119" s="41" t="n">
        <f aca="false">(1+$K$119)^12-1</f>
        <v>0.0736184473167751</v>
      </c>
    </row>
    <row r="120" customFormat="false" ht="15" hidden="false" customHeight="false" outlineLevel="0" collapsed="false">
      <c r="B120" s="9" t="s">
        <v>185</v>
      </c>
      <c r="N120" s="40" t="n">
        <f aca="false">0</f>
        <v>0</v>
      </c>
      <c r="O120" s="40" t="n">
        <f aca="false">$E$117*(CHOOSE($L$117,Timing!D$7,Timing!D$8)-CHOOSE($L$117,Timing!C$7,Timing!C$8))</f>
        <v>0.108</v>
      </c>
      <c r="P120" s="40" t="n">
        <f aca="false">$E$117*(CHOOSE($L$117,Timing!E$7,Timing!E$8)-CHOOSE($L$117,Timing!D$7,Timing!D$8))</f>
        <v>0.09</v>
      </c>
      <c r="Q120" s="40" t="n">
        <f aca="false">$E$117*(CHOOSE($L$117,Timing!F$7,Timing!F$8)-CHOOSE($L$117,Timing!E$7,Timing!E$8))</f>
        <v>0.081</v>
      </c>
      <c r="R120" s="40" t="n">
        <f aca="false">$E$117*(CHOOSE($L$117,Timing!G$7,Timing!G$8)-CHOOSE($L$117,Timing!F$7,Timing!F$8))</f>
        <v>0.063</v>
      </c>
      <c r="S120" s="40" t="n">
        <f aca="false">$E$117*(CHOOSE($L$117,Timing!H$7,Timing!H$8)-CHOOSE($L$117,Timing!G$7,Timing!G$8))</f>
        <v>0.063</v>
      </c>
      <c r="T120" s="40" t="n">
        <f aca="false">$E$117*(CHOOSE($L$117,Timing!I$7,Timing!I$8)-CHOOSE($L$117,Timing!H$7,Timing!H$8))</f>
        <v>0.063</v>
      </c>
      <c r="U120" s="40" t="n">
        <f aca="false">$E$117*(CHOOSE($L$117,Timing!J$7,Timing!J$8)-CHOOSE($L$117,Timing!I$7,Timing!I$8))</f>
        <v>0.039</v>
      </c>
      <c r="V120" s="40" t="n">
        <f aca="false">$E$117*(CHOOSE($L$117,Timing!K$7,Timing!K$8)-CHOOSE($L$117,Timing!J$7,Timing!J$8))</f>
        <v>0.039</v>
      </c>
      <c r="W120" s="40" t="n">
        <f aca="false">$E$117*(CHOOSE($L$117,Timing!L$7,Timing!L$8)-CHOOSE($L$117,Timing!K$7,Timing!K$8))</f>
        <v>0.039</v>
      </c>
      <c r="X120" s="40" t="n">
        <f aca="false">$E$117*(CHOOSE($L$117,Timing!M$7,Timing!M$8)-CHOOSE($L$117,Timing!L$7,Timing!L$8))</f>
        <v>0.033</v>
      </c>
      <c r="Y120" s="40" t="n">
        <f aca="false">$E$117*(CHOOSE($L$117,Timing!N$7,Timing!N$8)-CHOOSE($L$117,Timing!M$7,Timing!M$8))</f>
        <v>0.0330000000000001</v>
      </c>
      <c r="Z120" s="40" t="n">
        <f aca="false">$E$117*(CHOOSE($L$117,Timing!O$7,Timing!O$8)-CHOOSE($L$117,Timing!N$7,Timing!N$8))</f>
        <v>0.033</v>
      </c>
      <c r="AA120" s="40" t="n">
        <f aca="false">$E$117*(CHOOSE($L$117,Timing!P$7,Timing!P$8)-CHOOSE($L$117,Timing!O$7,Timing!O$8))</f>
        <v>0.021</v>
      </c>
      <c r="AB120" s="40" t="n">
        <f aca="false">$E$117*(CHOOSE($L$117,Timing!Q$7,Timing!Q$8)-CHOOSE($L$117,Timing!P$7,Timing!P$8))</f>
        <v>0.021</v>
      </c>
      <c r="AC120" s="40" t="n">
        <f aca="false">$E$117*(CHOOSE($L$117,Timing!R$7,Timing!R$8)-CHOOSE($L$117,Timing!Q$7,Timing!Q$8))</f>
        <v>0.0210000000000001</v>
      </c>
      <c r="AD120" s="40" t="n">
        <f aca="false">$E$117*(CHOOSE($L$117,Timing!S$7,Timing!S$8)-CHOOSE($L$117,Timing!R$7,Timing!R$8))</f>
        <v>0.021</v>
      </c>
      <c r="AE120" s="40" t="n">
        <f aca="false">$E$117*(CHOOSE($L$117,Timing!T$7,Timing!T$8)-CHOOSE($L$117,Timing!S$7,Timing!S$8))</f>
        <v>0.021</v>
      </c>
      <c r="AF120" s="40" t="n">
        <f aca="false">$E$117*(CHOOSE($L$117,Timing!U$7,Timing!U$8)-CHOOSE($L$117,Timing!T$7,Timing!T$8))</f>
        <v>0.021</v>
      </c>
      <c r="AG120" s="40" t="n">
        <f aca="false">$E$117*(CHOOSE($L$117,Timing!V$7,Timing!V$8)-CHOOSE($L$117,Timing!U$7,Timing!U$8))</f>
        <v>0.015</v>
      </c>
      <c r="AH120" s="40" t="n">
        <f aca="false">$E$117*(CHOOSE($L$117,Timing!W$7,Timing!W$8)-CHOOSE($L$117,Timing!V$7,Timing!V$8))</f>
        <v>0.0149999999999999</v>
      </c>
      <c r="AI120" s="40" t="n">
        <f aca="false">$E$117*(CHOOSE($L$117,Timing!X$7,Timing!X$8)-CHOOSE($L$117,Timing!W$7,Timing!W$8))</f>
        <v>0.0149999999999999</v>
      </c>
      <c r="AJ120" s="40" t="n">
        <f aca="false">$E$117*(CHOOSE($L$117,Timing!Y$7,Timing!Y$8)-CHOOSE($L$117,Timing!X$7,Timing!X$8))</f>
        <v>0.015</v>
      </c>
      <c r="AK120" s="40" t="n">
        <f aca="false">$E$117*(CHOOSE($L$117,Timing!Z$7,Timing!Z$8)-CHOOSE($L$117,Timing!Y$7,Timing!Y$8))</f>
        <v>0.015</v>
      </c>
      <c r="AL120" s="40" t="n">
        <f aca="false">$E$117*(CHOOSE($L$117,Timing!AA$7,Timing!AA$8)-CHOOSE($L$117,Timing!Z$7,Timing!Z$8))</f>
        <v>0.0149999999999999</v>
      </c>
    </row>
    <row r="121" customFormat="false" ht="15" hidden="false" customHeight="false" outlineLevel="0" collapsed="false">
      <c r="B121" s="9" t="s">
        <v>186</v>
      </c>
      <c r="N121" s="42" t="n">
        <f aca="false">0</f>
        <v>0</v>
      </c>
      <c r="O121" s="42" t="n">
        <f aca="false">$D$117*(1+IF($C$117&lt;=0,0,MAX($C$117*O$5/12,Inputs!$C$8)))+$I$117*(O$5&gt;Inputs!$C$12)*$D$117*(1+Inputs!$C$11*(O$5-Inputs!$C$12)/12)</f>
        <v>9975</v>
      </c>
      <c r="P121" s="42" t="n">
        <f aca="false">$D$117*(1+IF($C$117&lt;=0,0,MAX($C$117*P$5/12,Inputs!$C$8)))+$I$117*(P$5&gt;Inputs!$C$12)*$D$117*(1+Inputs!$C$11*(P$5-Inputs!$C$12)/12)</f>
        <v>9975</v>
      </c>
      <c r="Q121" s="42" t="n">
        <f aca="false">$D$117*(1+IF($C$117&lt;=0,0,MAX($C$117*Q$5/12,Inputs!$C$8)))+$I$117*(Q$5&gt;Inputs!$C$12)*$D$117*(1+Inputs!$C$11*(Q$5-Inputs!$C$12)/12)</f>
        <v>9975</v>
      </c>
      <c r="R121" s="42" t="n">
        <f aca="false">$D$117*(1+IF($C$117&lt;=0,0,MAX($C$117*R$5/12,Inputs!$C$8)))+$I$117*(R$5&gt;Inputs!$C$12)*$D$117*(1+Inputs!$C$11*(R$5-Inputs!$C$12)/12)</f>
        <v>9975</v>
      </c>
      <c r="S121" s="42" t="n">
        <f aca="false">$D$117*(1+IF($C$117&lt;=0,0,MAX($C$117*S$5/12,Inputs!$C$8)))+$I$117*(S$5&gt;Inputs!$C$12)*$D$117*(1+Inputs!$C$11*(S$5-Inputs!$C$12)/12)</f>
        <v>9975</v>
      </c>
      <c r="T121" s="42" t="n">
        <f aca="false">$D$117*(1+IF($C$117&lt;=0,0,MAX($C$117*T$5/12,Inputs!$C$8)))+$I$117*(T$5&gt;Inputs!$C$12)*$D$117*(1+Inputs!$C$11*(T$5-Inputs!$C$12)/12)</f>
        <v>9975</v>
      </c>
      <c r="U121" s="42" t="n">
        <f aca="false">$D$117*(1+IF($C$117&lt;=0,0,MAX($C$117*U$5/12,Inputs!$C$8)))+$I$117*(U$5&gt;Inputs!$C$12)*$D$117*(1+Inputs!$C$11*(U$5-Inputs!$C$12)/12)</f>
        <v>9975</v>
      </c>
      <c r="V121" s="42" t="n">
        <f aca="false">$D$117*(1+IF($C$117&lt;=0,0,MAX($C$117*V$5/12,Inputs!$C$8)))+$I$117*(V$5&gt;Inputs!$C$12)*$D$117*(1+Inputs!$C$11*(V$5-Inputs!$C$12)/12)</f>
        <v>9975</v>
      </c>
      <c r="W121" s="42" t="n">
        <f aca="false">$D$117*(1+IF($C$117&lt;=0,0,MAX($C$117*W$5/12,Inputs!$C$8)))+$I$117*(W$5&gt;Inputs!$C$12)*$D$117*(1+Inputs!$C$11*(W$5-Inputs!$C$12)/12)</f>
        <v>9975</v>
      </c>
      <c r="X121" s="42" t="n">
        <f aca="false">$D$117*(1+IF($C$117&lt;=0,0,MAX($C$117*X$5/12,Inputs!$C$8)))+$I$117*(X$5&gt;Inputs!$C$12)*$D$117*(1+Inputs!$C$11*(X$5-Inputs!$C$12)/12)</f>
        <v>9975</v>
      </c>
      <c r="Y121" s="42" t="n">
        <f aca="false">$D$117*(1+IF($C$117&lt;=0,0,MAX($C$117*Y$5/12,Inputs!$C$8)))+$I$117*(Y$5&gt;Inputs!$C$12)*$D$117*(1+Inputs!$C$11*(Y$5-Inputs!$C$12)/12)</f>
        <v>9975</v>
      </c>
      <c r="Z121" s="42" t="n">
        <f aca="false">$D$117*(1+IF($C$117&lt;=0,0,MAX($C$117*Z$5/12,Inputs!$C$8)))+$I$117*(Z$5&gt;Inputs!$C$12)*$D$117*(1+Inputs!$C$11*(Z$5-Inputs!$C$12)/12)</f>
        <v>9975</v>
      </c>
      <c r="AA121" s="42" t="n">
        <f aca="false">$D$117*(1+IF($C$117&lt;=0,0,MAX($C$117*AA$5/12,Inputs!$C$8)))+$I$117*(AA$5&gt;Inputs!$C$12)*$D$117*(1+Inputs!$C$11*(AA$5-Inputs!$C$12)/12)</f>
        <v>19617.5</v>
      </c>
      <c r="AB121" s="42" t="n">
        <f aca="false">$D$117*(1+IF($C$117&lt;=0,0,MAX($C$117*AB$5/12,Inputs!$C$8)))+$I$117*(AB$5&gt;Inputs!$C$12)*$D$117*(1+Inputs!$C$11*(AB$5-Inputs!$C$12)/12)</f>
        <v>19760</v>
      </c>
      <c r="AC121" s="42" t="n">
        <f aca="false">$D$117*(1+IF($C$117&lt;=0,0,MAX($C$117*AC$5/12,Inputs!$C$8)))+$I$117*(AC$5&gt;Inputs!$C$12)*$D$117*(1+Inputs!$C$11*(AC$5-Inputs!$C$12)/12)</f>
        <v>19902.5</v>
      </c>
      <c r="AD121" s="42" t="n">
        <f aca="false">$D$117*(1+IF($C$117&lt;=0,0,MAX($C$117*AD$5/12,Inputs!$C$8)))+$I$117*(AD$5&gt;Inputs!$C$12)*$D$117*(1+Inputs!$C$11*(AD$5-Inputs!$C$12)/12)</f>
        <v>20045</v>
      </c>
      <c r="AE121" s="42" t="n">
        <f aca="false">$D$117*(1+IF($C$117&lt;=0,0,MAX($C$117*AE$5/12,Inputs!$C$8)))+$I$117*(AE$5&gt;Inputs!$C$12)*$D$117*(1+Inputs!$C$11*(AE$5-Inputs!$C$12)/12)</f>
        <v>20187.5</v>
      </c>
      <c r="AF121" s="42" t="n">
        <f aca="false">$D$117*(1+IF($C$117&lt;=0,0,MAX($C$117*AF$5/12,Inputs!$C$8)))+$I$117*(AF$5&gt;Inputs!$C$12)*$D$117*(1+Inputs!$C$11*(AF$5-Inputs!$C$12)/12)</f>
        <v>20330</v>
      </c>
      <c r="AG121" s="42" t="n">
        <f aca="false">$D$117*(1+IF($C$117&lt;=0,0,MAX($C$117*AG$5/12,Inputs!$C$8)))+$I$117*(AG$5&gt;Inputs!$C$12)*$D$117*(1+Inputs!$C$11*(AG$5-Inputs!$C$12)/12)</f>
        <v>20472.5</v>
      </c>
      <c r="AH121" s="42" t="n">
        <f aca="false">$D$117*(1+IF($C$117&lt;=0,0,MAX($C$117*AH$5/12,Inputs!$C$8)))+$I$117*(AH$5&gt;Inputs!$C$12)*$D$117*(1+Inputs!$C$11*(AH$5-Inputs!$C$12)/12)</f>
        <v>20615</v>
      </c>
      <c r="AI121" s="42" t="n">
        <f aca="false">$D$117*(1+IF($C$117&lt;=0,0,MAX($C$117*AI$5/12,Inputs!$C$8)))+$I$117*(AI$5&gt;Inputs!$C$12)*$D$117*(1+Inputs!$C$11*(AI$5-Inputs!$C$12)/12)</f>
        <v>20757.5</v>
      </c>
      <c r="AJ121" s="42" t="n">
        <f aca="false">$D$117*(1+IF($C$117&lt;=0,0,MAX($C$117*AJ$5/12,Inputs!$C$8)))+$I$117*(AJ$5&gt;Inputs!$C$12)*$D$117*(1+Inputs!$C$11*(AJ$5-Inputs!$C$12)/12)</f>
        <v>20900</v>
      </c>
      <c r="AK121" s="42" t="n">
        <f aca="false">$D$117*(1+IF($C$117&lt;=0,0,MAX($C$117*AK$5/12,Inputs!$C$8)))+$I$117*(AK$5&gt;Inputs!$C$12)*$D$117*(1+Inputs!$C$11*(AK$5-Inputs!$C$12)/12)</f>
        <v>21042.5</v>
      </c>
      <c r="AL121" s="42" t="n">
        <f aca="false">$D$117*(1+IF($C$117&lt;=0,0,MAX($C$117*AL$5/12,Inputs!$C$8)))+$I$117*(AL$5&gt;Inputs!$C$12)*$D$117*(1+Inputs!$C$11*(AL$5-Inputs!$C$12)/12)</f>
        <v>21185</v>
      </c>
    </row>
    <row r="122" customFormat="false" ht="15" hidden="false" customHeight="false" outlineLevel="0" collapsed="false">
      <c r="B122" s="31" t="s">
        <v>187</v>
      </c>
      <c r="N122" s="42" t="n">
        <f aca="false">-($D$117+$J$117)*(N$5=0)+IF(AND(N$5-$K$117&gt;=1,N$5-$K$117&lt;=Inputs!$C$13),INDEX($N$120:$AL$120,1,N$5-$K$117+1)*INDEX($N$121:$AL$121,1,N$5-$K$117+1),0)-$I$117*((N$5=Inputs!$C$12)*$C$119*$D$117+(N$5=Inputs!$C$13)*$D$119*($D$117+Inputs!$C$14))+$I$117*((N$5=Inputs!$C$15+$K$117)*$E$119*$I$119+(N$5=Inputs!$C$16+$K$117)*$F$119*$J$119+(N$5=Inputs!$C$17)*$G$119*$H$117*$H$119)</f>
        <v>-9510</v>
      </c>
      <c r="O122" s="42" t="n">
        <f aca="false">-($D$117+$J$117)*(O$5=0)+IF(AND(O$5-$K$117&gt;=1,O$5-$K$117&lt;=Inputs!$C$13),INDEX($N$120:$AL$120,1,O$5-$K$117+1)*INDEX($N$121:$AL$121,1,O$5-$K$117+1),0)-$I$117*((O$5=Inputs!$C$12)*$C$119*$D$117+(O$5=Inputs!$C$13)*$D$119*($D$117+Inputs!$C$14))+$I$117*((O$5=Inputs!$C$15+$K$117)*$E$119*$I$119+(O$5=Inputs!$C$16+$K$117)*$F$119*$J$119+(O$5=Inputs!$C$17)*$G$119*$H$117*$H$119)</f>
        <v>0</v>
      </c>
      <c r="P122" s="42" t="n">
        <f aca="false">-($D$117+$J$117)*(P$5=0)+IF(AND(P$5-$K$117&gt;=1,P$5-$K$117&lt;=Inputs!$C$13),INDEX($N$120:$AL$120,1,P$5-$K$117+1)*INDEX($N$121:$AL$121,1,P$5-$K$117+1),0)-$I$117*((P$5=Inputs!$C$12)*$C$119*$D$117+(P$5=Inputs!$C$13)*$D$119*($D$117+Inputs!$C$14))+$I$117*((P$5=Inputs!$C$15+$K$117)*$E$119*$I$119+(P$5=Inputs!$C$16+$K$117)*$F$119*$J$119+(P$5=Inputs!$C$17)*$G$119*$H$117*$H$119)</f>
        <v>1077.3</v>
      </c>
      <c r="Q122" s="42" t="n">
        <f aca="false">-($D$117+$J$117)*(Q$5=0)+IF(AND(Q$5-$K$117&gt;=1,Q$5-$K$117&lt;=Inputs!$C$13),INDEX($N$120:$AL$120,1,Q$5-$K$117+1)*INDEX($N$121:$AL$121,1,Q$5-$K$117+1),0)-$I$117*((Q$5=Inputs!$C$12)*$C$119*$D$117+(Q$5=Inputs!$C$13)*$D$119*($D$117+Inputs!$C$14))+$I$117*((Q$5=Inputs!$C$15+$K$117)*$E$119*$I$119+(Q$5=Inputs!$C$16+$K$117)*$F$119*$J$119+(Q$5=Inputs!$C$17)*$G$119*$H$117*$H$119)</f>
        <v>897.75</v>
      </c>
      <c r="R122" s="42" t="n">
        <f aca="false">-($D$117+$J$117)*(R$5=0)+IF(AND(R$5-$K$117&gt;=1,R$5-$K$117&lt;=Inputs!$C$13),INDEX($N$120:$AL$120,1,R$5-$K$117+1)*INDEX($N$121:$AL$121,1,R$5-$K$117+1),0)-$I$117*((R$5=Inputs!$C$12)*$C$119*$D$117+(R$5=Inputs!$C$13)*$D$119*($D$117+Inputs!$C$14))+$I$117*((R$5=Inputs!$C$15+$K$117)*$E$119*$I$119+(R$5=Inputs!$C$16+$K$117)*$F$119*$J$119+(R$5=Inputs!$C$17)*$G$119*$H$117*$H$119)</f>
        <v>807.975</v>
      </c>
      <c r="S122" s="42" t="n">
        <f aca="false">-($D$117+$J$117)*(S$5=0)+IF(AND(S$5-$K$117&gt;=1,S$5-$K$117&lt;=Inputs!$C$13),INDEX($N$120:$AL$120,1,S$5-$K$117+1)*INDEX($N$121:$AL$121,1,S$5-$K$117+1),0)-$I$117*((S$5=Inputs!$C$12)*$C$119*$D$117+(S$5=Inputs!$C$13)*$D$119*($D$117+Inputs!$C$14))+$I$117*((S$5=Inputs!$C$15+$K$117)*$E$119*$I$119+(S$5=Inputs!$C$16+$K$117)*$F$119*$J$119+(S$5=Inputs!$C$17)*$G$119*$H$117*$H$119)</f>
        <v>628.425</v>
      </c>
      <c r="T122" s="42" t="n">
        <f aca="false">-($D$117+$J$117)*(T$5=0)+IF(AND(T$5-$K$117&gt;=1,T$5-$K$117&lt;=Inputs!$C$13),INDEX($N$120:$AL$120,1,T$5-$K$117+1)*INDEX($N$121:$AL$121,1,T$5-$K$117+1),0)-$I$117*((T$5=Inputs!$C$12)*$C$119*$D$117+(T$5=Inputs!$C$13)*$D$119*($D$117+Inputs!$C$14))+$I$117*((T$5=Inputs!$C$15+$K$117)*$E$119*$I$119+(T$5=Inputs!$C$16+$K$117)*$F$119*$J$119+(T$5=Inputs!$C$17)*$G$119*$H$117*$H$119)</f>
        <v>628.425</v>
      </c>
      <c r="U122" s="42" t="n">
        <f aca="false">-($D$117+$J$117)*(U$5=0)+IF(AND(U$5-$K$117&gt;=1,U$5-$K$117&lt;=Inputs!$C$13),INDEX($N$120:$AL$120,1,U$5-$K$117+1)*INDEX($N$121:$AL$121,1,U$5-$K$117+1),0)-$I$117*((U$5=Inputs!$C$12)*$C$119*$D$117+(U$5=Inputs!$C$13)*$D$119*($D$117+Inputs!$C$14))+$I$117*((U$5=Inputs!$C$15+$K$117)*$E$119*$I$119+(U$5=Inputs!$C$16+$K$117)*$F$119*$J$119+(U$5=Inputs!$C$17)*$G$119*$H$117*$H$119)</f>
        <v>628.425</v>
      </c>
      <c r="V122" s="42" t="n">
        <f aca="false">-($D$117+$J$117)*(V$5=0)+IF(AND(V$5-$K$117&gt;=1,V$5-$K$117&lt;=Inputs!$C$13),INDEX($N$120:$AL$120,1,V$5-$K$117+1)*INDEX($N$121:$AL$121,1,V$5-$K$117+1),0)-$I$117*((V$5=Inputs!$C$12)*$C$119*$D$117+(V$5=Inputs!$C$13)*$D$119*($D$117+Inputs!$C$14))+$I$117*((V$5=Inputs!$C$15+$K$117)*$E$119*$I$119+(V$5=Inputs!$C$16+$K$117)*$F$119*$J$119+(V$5=Inputs!$C$17)*$G$119*$H$117*$H$119)</f>
        <v>389.025</v>
      </c>
      <c r="W122" s="42" t="n">
        <f aca="false">-($D$117+$J$117)*(W$5=0)+IF(AND(W$5-$K$117&gt;=1,W$5-$K$117&lt;=Inputs!$C$13),INDEX($N$120:$AL$120,1,W$5-$K$117+1)*INDEX($N$121:$AL$121,1,W$5-$K$117+1),0)-$I$117*((W$5=Inputs!$C$12)*$C$119*$D$117+(W$5=Inputs!$C$13)*$D$119*($D$117+Inputs!$C$14))+$I$117*((W$5=Inputs!$C$15+$K$117)*$E$119*$I$119+(W$5=Inputs!$C$16+$K$117)*$F$119*$J$119+(W$5=Inputs!$C$17)*$G$119*$H$117*$H$119)</f>
        <v>389.025</v>
      </c>
      <c r="X122" s="42" t="n">
        <f aca="false">-($D$117+$J$117)*(X$5=0)+IF(AND(X$5-$K$117&gt;=1,X$5-$K$117&lt;=Inputs!$C$13),INDEX($N$120:$AL$120,1,X$5-$K$117+1)*INDEX($N$121:$AL$121,1,X$5-$K$117+1),0)-$I$117*((X$5=Inputs!$C$12)*$C$119*$D$117+(X$5=Inputs!$C$13)*$D$119*($D$117+Inputs!$C$14))+$I$117*((X$5=Inputs!$C$15+$K$117)*$E$119*$I$119+(X$5=Inputs!$C$16+$K$117)*$F$119*$J$119+(X$5=Inputs!$C$17)*$G$119*$H$117*$H$119)</f>
        <v>389.025</v>
      </c>
      <c r="Y122" s="42" t="n">
        <f aca="false">-($D$117+$J$117)*(Y$5=0)+IF(AND(Y$5-$K$117&gt;=1,Y$5-$K$117&lt;=Inputs!$C$13),INDEX($N$120:$AL$120,1,Y$5-$K$117+1)*INDEX($N$121:$AL$121,1,Y$5-$K$117+1),0)-$I$117*((Y$5=Inputs!$C$12)*$C$119*$D$117+(Y$5=Inputs!$C$13)*$D$119*($D$117+Inputs!$C$14))+$I$117*((Y$5=Inputs!$C$15+$K$117)*$E$119*$I$119+(Y$5=Inputs!$C$16+$K$117)*$F$119*$J$119+(Y$5=Inputs!$C$17)*$G$119*$H$117*$H$119)</f>
        <v>329.175</v>
      </c>
      <c r="Z122" s="42" t="n">
        <f aca="false">-($D$117+$J$117)*(Z$5=0)+IF(AND(Z$5-$K$117&gt;=1,Z$5-$K$117&lt;=Inputs!$C$13),INDEX($N$120:$AL$120,1,Z$5-$K$117+1)*INDEX($N$121:$AL$121,1,Z$5-$K$117+1),0)-$I$117*((Z$5=Inputs!$C$12)*$C$119*$D$117+(Z$5=Inputs!$C$13)*$D$119*($D$117+Inputs!$C$14))+$I$117*((Z$5=Inputs!$C$15+$K$117)*$E$119*$I$119+(Z$5=Inputs!$C$16+$K$117)*$F$119*$J$119+(Z$5=Inputs!$C$17)*$G$119*$H$117*$H$119)</f>
        <v>-2672.825</v>
      </c>
      <c r="AA122" s="42" t="n">
        <f aca="false">-($D$117+$J$117)*(AA$5=0)+IF(AND(AA$5-$K$117&gt;=1,AA$5-$K$117&lt;=Inputs!$C$13),INDEX($N$120:$AL$120,1,AA$5-$K$117+1)*INDEX($N$121:$AL$121,1,AA$5-$K$117+1),0)-$I$117*((AA$5=Inputs!$C$12)*$C$119*$D$117+(AA$5=Inputs!$C$13)*$D$119*($D$117+Inputs!$C$14))+$I$117*((AA$5=Inputs!$C$15+$K$117)*$E$119*$I$119+(AA$5=Inputs!$C$16+$K$117)*$F$119*$J$119+(AA$5=Inputs!$C$17)*$G$119*$H$117*$H$119)</f>
        <v>329.175</v>
      </c>
      <c r="AB122" s="42" t="n">
        <f aca="false">-($D$117+$J$117)*(AB$5=0)+IF(AND(AB$5-$K$117&gt;=1,AB$5-$K$117&lt;=Inputs!$C$13),INDEX($N$120:$AL$120,1,AB$5-$K$117+1)*INDEX($N$121:$AL$121,1,AB$5-$K$117+1),0)-$I$117*((AB$5=Inputs!$C$12)*$C$119*$D$117+(AB$5=Inputs!$C$13)*$D$119*($D$117+Inputs!$C$14))+$I$117*((AB$5=Inputs!$C$15+$K$117)*$E$119*$I$119+(AB$5=Inputs!$C$16+$K$117)*$F$119*$J$119+(AB$5=Inputs!$C$17)*$G$119*$H$117*$H$119)</f>
        <v>411.9675</v>
      </c>
      <c r="AC122" s="42" t="n">
        <f aca="false">-($D$117+$J$117)*(AC$5=0)+IF(AND(AC$5-$K$117&gt;=1,AC$5-$K$117&lt;=Inputs!$C$13),INDEX($N$120:$AL$120,1,AC$5-$K$117+1)*INDEX($N$121:$AL$121,1,AC$5-$K$117+1),0)-$I$117*((AC$5=Inputs!$C$12)*$C$119*$D$117+(AC$5=Inputs!$C$13)*$D$119*($D$117+Inputs!$C$14))+$I$117*((AC$5=Inputs!$C$15+$K$117)*$E$119*$I$119+(AC$5=Inputs!$C$16+$K$117)*$F$119*$J$119+(AC$5=Inputs!$C$17)*$G$119*$H$117*$H$119)</f>
        <v>414.96</v>
      </c>
      <c r="AD122" s="42" t="n">
        <f aca="false">-($D$117+$J$117)*(AD$5=0)+IF(AND(AD$5-$K$117&gt;=1,AD$5-$K$117&lt;=Inputs!$C$13),INDEX($N$120:$AL$120,1,AD$5-$K$117+1)*INDEX($N$121:$AL$121,1,AD$5-$K$117+1),0)-$I$117*((AD$5=Inputs!$C$12)*$C$119*$D$117+(AD$5=Inputs!$C$13)*$D$119*($D$117+Inputs!$C$14))+$I$117*((AD$5=Inputs!$C$15+$K$117)*$E$119*$I$119+(AD$5=Inputs!$C$16+$K$117)*$F$119*$J$119+(AD$5=Inputs!$C$17)*$G$119*$H$117*$H$119)</f>
        <v>417.952500000002</v>
      </c>
      <c r="AE122" s="42" t="n">
        <f aca="false">-($D$117+$J$117)*(AE$5=0)+IF(AND(AE$5-$K$117&gt;=1,AE$5-$K$117&lt;=Inputs!$C$13),INDEX($N$120:$AL$120,1,AE$5-$K$117+1)*INDEX($N$121:$AL$121,1,AE$5-$K$117+1),0)-$I$117*((AE$5=Inputs!$C$12)*$C$119*$D$117+(AE$5=Inputs!$C$13)*$D$119*($D$117+Inputs!$C$14))+$I$117*((AE$5=Inputs!$C$15+$K$117)*$E$119*$I$119+(AE$5=Inputs!$C$16+$K$117)*$F$119*$J$119+(AE$5=Inputs!$C$17)*$G$119*$H$117*$H$119)</f>
        <v>420.945</v>
      </c>
      <c r="AF122" s="42" t="n">
        <f aca="false">-($D$117+$J$117)*(AF$5=0)+IF(AND(AF$5-$K$117&gt;=1,AF$5-$K$117&lt;=Inputs!$C$13),INDEX($N$120:$AL$120,1,AF$5-$K$117+1)*INDEX($N$121:$AL$121,1,AF$5-$K$117+1),0)-$I$117*((AF$5=Inputs!$C$12)*$C$119*$D$117+(AF$5=Inputs!$C$13)*$D$119*($D$117+Inputs!$C$14))+$I$117*((AF$5=Inputs!$C$15+$K$117)*$E$119*$I$119+(AF$5=Inputs!$C$16+$K$117)*$F$119*$J$119+(AF$5=Inputs!$C$17)*$G$119*$H$117*$H$119)</f>
        <v>423.9375</v>
      </c>
      <c r="AG122" s="42" t="n">
        <f aca="false">-($D$117+$J$117)*(AG$5=0)+IF(AND(AG$5-$K$117&gt;=1,AG$5-$K$117&lt;=Inputs!$C$13),INDEX($N$120:$AL$120,1,AG$5-$K$117+1)*INDEX($N$121:$AL$121,1,AG$5-$K$117+1),0)-$I$117*((AG$5=Inputs!$C$12)*$C$119*$D$117+(AG$5=Inputs!$C$13)*$D$119*($D$117+Inputs!$C$14))+$I$117*((AG$5=Inputs!$C$15+$K$117)*$E$119*$I$119+(AG$5=Inputs!$C$16+$K$117)*$F$119*$J$119+(AG$5=Inputs!$C$17)*$G$119*$H$117*$H$119)</f>
        <v>426.93</v>
      </c>
      <c r="AH122" s="42" t="n">
        <f aca="false">-($D$117+$J$117)*(AH$5=0)+IF(AND(AH$5-$K$117&gt;=1,AH$5-$K$117&lt;=Inputs!$C$13),INDEX($N$120:$AL$120,1,AH$5-$K$117+1)*INDEX($N$121:$AL$121,1,AH$5-$K$117+1),0)-$I$117*((AH$5=Inputs!$C$12)*$C$119*$D$117+(AH$5=Inputs!$C$13)*$D$119*($D$117+Inputs!$C$14))+$I$117*((AH$5=Inputs!$C$15+$K$117)*$E$119*$I$119+(AH$5=Inputs!$C$16+$K$117)*$F$119*$J$119+(AH$5=Inputs!$C$17)*$G$119*$H$117*$H$119)</f>
        <v>307.087500000001</v>
      </c>
      <c r="AI122" s="42" t="n">
        <f aca="false">-($D$117+$J$117)*(AI$5=0)+IF(AND(AI$5-$K$117&gt;=1,AI$5-$K$117&lt;=Inputs!$C$13),INDEX($N$120:$AL$120,1,AI$5-$K$117+1)*INDEX($N$121:$AL$121,1,AI$5-$K$117+1),0)-$I$117*((AI$5=Inputs!$C$12)*$C$119*$D$117+(AI$5=Inputs!$C$13)*$D$119*($D$117+Inputs!$C$14))+$I$117*((AI$5=Inputs!$C$15+$K$117)*$E$119*$I$119+(AI$5=Inputs!$C$16+$K$117)*$F$119*$J$119+(AI$5=Inputs!$C$17)*$G$119*$H$117*$H$119)</f>
        <v>309.224999999999</v>
      </c>
      <c r="AJ122" s="42" t="n">
        <f aca="false">-($D$117+$J$117)*(AJ$5=0)+IF(AND(AJ$5-$K$117&gt;=1,AJ$5-$K$117&lt;=Inputs!$C$13),INDEX($N$120:$AL$120,1,AJ$5-$K$117+1)*INDEX($N$121:$AL$121,1,AJ$5-$K$117+1),0)-$I$117*((AJ$5=Inputs!$C$12)*$C$119*$D$117+(AJ$5=Inputs!$C$13)*$D$119*($D$117+Inputs!$C$14))+$I$117*((AJ$5=Inputs!$C$15+$K$117)*$E$119*$I$119+(AJ$5=Inputs!$C$16+$K$117)*$F$119*$J$119+(AJ$5=Inputs!$C$17)*$G$119*$H$117*$H$119)</f>
        <v>311.362499999999</v>
      </c>
      <c r="AK122" s="42" t="n">
        <f aca="false">-($D$117+$J$117)*(AK$5=0)+IF(AND(AK$5-$K$117&gt;=1,AK$5-$K$117&lt;=Inputs!$C$13),INDEX($N$120:$AL$120,1,AK$5-$K$117+1)*INDEX($N$121:$AL$121,1,AK$5-$K$117+1),0)-$I$117*((AK$5=Inputs!$C$12)*$C$119*$D$117+(AK$5=Inputs!$C$13)*$D$119*($D$117+Inputs!$C$14))+$I$117*((AK$5=Inputs!$C$15+$K$117)*$E$119*$I$119+(AK$5=Inputs!$C$16+$K$117)*$F$119*$J$119+(AK$5=Inputs!$C$17)*$G$119*$H$117*$H$119)</f>
        <v>313.500000000001</v>
      </c>
      <c r="AL122" s="42" t="n">
        <f aca="false">-($D$117+$J$117)*(AL$5=0)+IF(AND(AL$5-$K$117&gt;=1,AL$5-$K$117&lt;=Inputs!$C$13),INDEX($N$120:$AL$120,1,AL$5-$K$117+1)*INDEX($N$121:$AL$121,1,AL$5-$K$117+1),0)-$I$117*((AL$5=Inputs!$C$12)*$C$119*$D$117+(AL$5=Inputs!$C$13)*$D$119*($D$117+Inputs!$C$14))+$I$117*((AL$5=Inputs!$C$15+$K$117)*$E$119*$I$119+(AL$5=Inputs!$C$16+$K$117)*$F$119*$J$119+(AL$5=Inputs!$C$17)*$G$119*$H$117*$H$119)</f>
        <v>-814.362499999999</v>
      </c>
      <c r="AM122" s="42" t="n">
        <f aca="false">-($D$117+$J$117)*(AM$5=0)+IF(AND(AM$5-$K$117&gt;=1,AM$5-$K$117&lt;=Inputs!$C$13),INDEX($N$120:$AL$120,1,AM$5-$K$117+1)*INDEX($N$121:$AL$121,1,AM$5-$K$117+1),0)-$I$117*((AM$5=Inputs!$C$12)*$C$119*$D$117+(AM$5=Inputs!$C$13)*$D$119*($D$117+Inputs!$C$14))+$I$117*((AM$5=Inputs!$C$15+$K$117)*$E$119*$I$119+(AM$5=Inputs!$C$16+$K$117)*$F$119*$J$119+(AM$5=Inputs!$C$17)*$G$119*$H$117*$H$119)</f>
        <v>317.774999999999</v>
      </c>
      <c r="AN122" s="42" t="n">
        <f aca="false">-($D$117+$J$117)*(AN$5=0)+IF(AND(AN$5-$K$117&gt;=1,AN$5-$K$117&lt;=Inputs!$C$13),INDEX($N$120:$AL$120,1,AN$5-$K$117+1)*INDEX($N$121:$AL$121,1,AN$5-$K$117+1),0)-$I$117*((AN$5=Inputs!$C$12)*$C$119*$D$117+(AN$5=Inputs!$C$13)*$D$119*($D$117+Inputs!$C$14))+$I$117*((AN$5=Inputs!$C$15+$K$117)*$E$119*$I$119+(AN$5=Inputs!$C$16+$K$117)*$F$119*$J$119+(AN$5=Inputs!$C$17)*$G$119*$H$117*$H$119)</f>
        <v>0</v>
      </c>
      <c r="AO122" s="42" t="n">
        <f aca="false">-($D$117+$J$117)*(AO$5=0)+IF(AND(AO$5-$K$117&gt;=1,AO$5-$K$117&lt;=Inputs!$C$13),INDEX($N$120:$AL$120,1,AO$5-$K$117+1)*INDEX($N$121:$AL$121,1,AO$5-$K$117+1),0)-$I$117*((AO$5=Inputs!$C$12)*$C$119*$D$117+(AO$5=Inputs!$C$13)*$D$119*($D$117+Inputs!$C$14))+$I$117*((AO$5=Inputs!$C$15+$K$117)*$E$119*$I$119+(AO$5=Inputs!$C$16+$K$117)*$F$119*$J$119+(AO$5=Inputs!$C$17)*$G$119*$H$117*$H$119)</f>
        <v>0</v>
      </c>
      <c r="AP122" s="42" t="n">
        <f aca="false">-($D$117+$J$117)*(AP$5=0)+IF(AND(AP$5-$K$117&gt;=1,AP$5-$K$117&lt;=Inputs!$C$13),INDEX($N$120:$AL$120,1,AP$5-$K$117+1)*INDEX($N$121:$AL$121,1,AP$5-$K$117+1),0)-$I$117*((AP$5=Inputs!$C$12)*$C$119*$D$117+(AP$5=Inputs!$C$13)*$D$119*($D$117+Inputs!$C$14))+$I$117*((AP$5=Inputs!$C$15+$K$117)*$E$119*$I$119+(AP$5=Inputs!$C$16+$K$117)*$F$119*$J$119+(AP$5=Inputs!$C$17)*$G$119*$H$117*$H$119)</f>
        <v>2000.4</v>
      </c>
      <c r="AQ122" s="42" t="n">
        <f aca="false">-($D$117+$J$117)*(AQ$5=0)+IF(AND(AQ$5-$K$117&gt;=1,AQ$5-$K$117&lt;=Inputs!$C$13),INDEX($N$120:$AL$120,1,AQ$5-$K$117+1)*INDEX($N$121:$AL$121,1,AQ$5-$K$117+1),0)-$I$117*((AQ$5=Inputs!$C$12)*$C$119*$D$117+(AQ$5=Inputs!$C$13)*$D$119*($D$117+Inputs!$C$14))+$I$117*((AQ$5=Inputs!$C$15+$K$117)*$E$119*$I$119+(AQ$5=Inputs!$C$16+$K$117)*$F$119*$J$119+(AQ$5=Inputs!$C$17)*$G$119*$H$117*$H$119)</f>
        <v>0</v>
      </c>
      <c r="AR122" s="42" t="n">
        <f aca="false">-($D$117+$J$117)*(AR$5=0)+IF(AND(AR$5-$K$117&gt;=1,AR$5-$K$117&lt;=Inputs!$C$13),INDEX($N$120:$AL$120,1,AR$5-$K$117+1)*INDEX($N$121:$AL$121,1,AR$5-$K$117+1),0)-$I$117*((AR$5=Inputs!$C$12)*$C$119*$D$117+(AR$5=Inputs!$C$13)*$D$119*($D$117+Inputs!$C$14))+$I$117*((AR$5=Inputs!$C$15+$K$117)*$E$119*$I$119+(AR$5=Inputs!$C$16+$K$117)*$F$119*$J$119+(AR$5=Inputs!$C$17)*$G$119*$H$117*$H$119)</f>
        <v>0</v>
      </c>
      <c r="AS122" s="42" t="n">
        <f aca="false">-($D$117+$J$117)*(AS$5=0)+IF(AND(AS$5-$K$117&gt;=1,AS$5-$K$117&lt;=Inputs!$C$13),INDEX($N$120:$AL$120,1,AS$5-$K$117+1)*INDEX($N$121:$AL$121,1,AS$5-$K$117+1),0)-$I$117*((AS$5=Inputs!$C$12)*$C$119*$D$117+(AS$5=Inputs!$C$13)*$D$119*($D$117+Inputs!$C$14))+$I$117*((AS$5=Inputs!$C$15+$K$117)*$E$119*$I$119+(AS$5=Inputs!$C$16+$K$117)*$F$119*$J$119+(AS$5=Inputs!$C$17)*$G$119*$H$117*$H$119)</f>
        <v>1094.24</v>
      </c>
      <c r="AT122" s="42" t="n">
        <f aca="false">-($D$117+$J$117)*(AT$5=0)+IF(AND(AT$5-$K$117&gt;=1,AT$5-$K$117&lt;=Inputs!$C$13),INDEX($N$120:$AL$120,1,AT$5-$K$117+1)*INDEX($N$121:$AL$121,1,AT$5-$K$117+1),0)-$I$117*((AT$5=Inputs!$C$12)*$C$119*$D$117+(AT$5=Inputs!$C$13)*$D$119*($D$117+Inputs!$C$14))+$I$117*((AT$5=Inputs!$C$15+$K$117)*$E$119*$I$119+(AT$5=Inputs!$C$16+$K$117)*$F$119*$J$119+(AT$5=Inputs!$C$17)*$G$119*$H$117*$H$119)</f>
        <v>0</v>
      </c>
      <c r="AU122" s="42" t="n">
        <f aca="false">-($D$117+$J$117)*(AU$5=0)+IF(AND(AU$5-$K$117&gt;=1,AU$5-$K$117&lt;=Inputs!$C$13),INDEX($N$120:$AL$120,1,AU$5-$K$117+1)*INDEX($N$121:$AL$121,1,AU$5-$K$117+1),0)-$I$117*((AU$5=Inputs!$C$12)*$C$119*$D$117+(AU$5=Inputs!$C$13)*$D$119*($D$117+Inputs!$C$14))+$I$117*((AU$5=Inputs!$C$15+$K$117)*$E$119*$I$119+(AU$5=Inputs!$C$16+$K$117)*$F$119*$J$119+(AU$5=Inputs!$C$17)*$G$119*$H$117*$H$119)</f>
        <v>0</v>
      </c>
      <c r="AV122" s="42" t="n">
        <f aca="false">-($D$117+$J$117)*(AV$5=0)+IF(AND(AV$5-$K$117&gt;=1,AV$5-$K$117&lt;=Inputs!$C$13),INDEX($N$120:$AL$120,1,AV$5-$K$117+1)*INDEX($N$121:$AL$121,1,AV$5-$K$117+1),0)-$I$117*((AV$5=Inputs!$C$12)*$C$119*$D$117+(AV$5=Inputs!$C$13)*$D$119*($D$117+Inputs!$C$14))+$I$117*((AV$5=Inputs!$C$15+$K$117)*$E$119*$I$119+(AV$5=Inputs!$C$16+$K$117)*$F$119*$J$119+(AV$5=Inputs!$C$17)*$G$119*$H$117*$H$119)</f>
        <v>0</v>
      </c>
      <c r="AW122" s="42" t="n">
        <f aca="false">-($D$117+$J$117)*(AW$5=0)+IF(AND(AW$5-$K$117&gt;=1,AW$5-$K$117&lt;=Inputs!$C$13),INDEX($N$120:$AL$120,1,AW$5-$K$117+1)*INDEX($N$121:$AL$121,1,AW$5-$K$117+1),0)-$I$117*((AW$5=Inputs!$C$12)*$C$119*$D$117+(AW$5=Inputs!$C$13)*$D$119*($D$117+Inputs!$C$14))+$I$117*((AW$5=Inputs!$C$15+$K$117)*$E$119*$I$119+(AW$5=Inputs!$C$16+$K$117)*$F$119*$J$119+(AW$5=Inputs!$C$17)*$G$119*$H$117*$H$119)</f>
        <v>0</v>
      </c>
      <c r="AX122" s="42" t="n">
        <f aca="false">-($D$117+$J$117)*(AX$5=0)+IF(AND(AX$5-$K$117&gt;=1,AX$5-$K$117&lt;=Inputs!$C$13),INDEX($N$120:$AL$120,1,AX$5-$K$117+1)*INDEX($N$121:$AL$121,1,AX$5-$K$117+1),0)-$I$117*((AX$5=Inputs!$C$12)*$C$119*$D$117+(AX$5=Inputs!$C$13)*$D$119*($D$117+Inputs!$C$14))+$I$117*((AX$5=Inputs!$C$15+$K$117)*$E$119*$I$119+(AX$5=Inputs!$C$16+$K$117)*$F$119*$J$119+(AX$5=Inputs!$C$17)*$G$119*$H$117*$H$119)</f>
        <v>218.16</v>
      </c>
      <c r="AY122" s="42" t="n">
        <f aca="false">-($D$117+$J$117)*(AY$5=0)+IF(AND(AY$5-$K$117&gt;=1,AY$5-$K$117&lt;=Inputs!$C$13),INDEX($N$120:$AL$120,1,AY$5-$K$117+1)*INDEX($N$121:$AL$121,1,AY$5-$K$117+1),0)-$I$117*((AY$5=Inputs!$C$12)*$C$119*$D$117+(AY$5=Inputs!$C$13)*$D$119*($D$117+Inputs!$C$14))+$I$117*((AY$5=Inputs!$C$15+$K$117)*$E$119*$I$119+(AY$5=Inputs!$C$16+$K$117)*$F$119*$J$119+(AY$5=Inputs!$C$17)*$G$119*$H$117*$H$119)</f>
        <v>0</v>
      </c>
    </row>
    <row r="124" customFormat="false" ht="15" hidden="false" customHeight="false" outlineLevel="0" collapsed="false">
      <c r="B124" s="7" t="s">
        <v>236</v>
      </c>
      <c r="C124" s="8"/>
      <c r="D124" s="8"/>
      <c r="E124" s="8"/>
      <c r="F124" s="8"/>
      <c r="G124" s="8"/>
      <c r="H124" s="8"/>
      <c r="I124" s="8"/>
      <c r="J124" s="8"/>
      <c r="K124" s="8"/>
      <c r="L124" s="8"/>
    </row>
    <row r="125" customFormat="false" ht="30" hidden="false" customHeight="true" outlineLevel="0" collapsed="false">
      <c r="B125" s="37"/>
      <c r="C125" s="38" t="s">
        <v>169</v>
      </c>
      <c r="D125" s="38" t="s">
        <v>170</v>
      </c>
      <c r="E125" s="38" t="s">
        <v>171</v>
      </c>
      <c r="F125" s="38" t="s">
        <v>43</v>
      </c>
      <c r="G125" s="38" t="s">
        <v>44</v>
      </c>
      <c r="H125" s="38" t="s">
        <v>45</v>
      </c>
      <c r="I125" s="38" t="s">
        <v>172</v>
      </c>
      <c r="J125" s="38" t="s">
        <v>90</v>
      </c>
      <c r="K125" s="38" t="s">
        <v>89</v>
      </c>
      <c r="L125" s="38" t="s">
        <v>173</v>
      </c>
    </row>
    <row r="126" customFormat="false" ht="15" hidden="false" customHeight="false" outlineLevel="0" collapsed="false">
      <c r="B126" s="39" t="s">
        <v>174</v>
      </c>
      <c r="C126" s="26" t="n">
        <f aca="false">MAX(0,Bid_Floor!$C$117-Inputs!$C$7)</f>
        <v>0</v>
      </c>
      <c r="D126" s="30" t="n">
        <f aca="false">Inputs!$E$25</f>
        <v>9500</v>
      </c>
      <c r="E126" s="26" t="n">
        <f aca="false">Inputs!$F$25</f>
        <v>0.9</v>
      </c>
      <c r="F126" s="25" t="n">
        <f aca="false">Inputs!$G$25</f>
        <v>0.6</v>
      </c>
      <c r="G126" s="25" t="n">
        <f aca="false">Inputs!$H$25</f>
        <v>0.8</v>
      </c>
      <c r="H126" s="25" t="n">
        <f aca="false">Inputs!$I$25</f>
        <v>0.9</v>
      </c>
      <c r="I126" s="22" t="n">
        <f aca="false">Inputs!$J$25</f>
        <v>1</v>
      </c>
      <c r="J126" s="23" t="n">
        <f aca="false">Inputs!$C$9</f>
        <v>10</v>
      </c>
      <c r="K126" s="22" t="n">
        <f aca="false">Inputs!$C$10</f>
        <v>1</v>
      </c>
      <c r="L126" s="22" t="n">
        <f aca="false">1</f>
        <v>1</v>
      </c>
    </row>
    <row r="127" customFormat="false" ht="30" hidden="false" customHeight="true" outlineLevel="0" collapsed="false">
      <c r="B127" s="37"/>
      <c r="C127" s="38" t="s">
        <v>175</v>
      </c>
      <c r="D127" s="38" t="s">
        <v>176</v>
      </c>
      <c r="E127" s="38" t="s">
        <v>177</v>
      </c>
      <c r="F127" s="38" t="s">
        <v>178</v>
      </c>
      <c r="G127" s="38" t="s">
        <v>112</v>
      </c>
      <c r="H127" s="38" t="s">
        <v>179</v>
      </c>
      <c r="I127" s="38" t="s">
        <v>180</v>
      </c>
      <c r="J127" s="38" t="s">
        <v>181</v>
      </c>
      <c r="K127" s="38" t="s">
        <v>182</v>
      </c>
      <c r="L127" s="38" t="s">
        <v>183</v>
      </c>
    </row>
    <row r="128" customFormat="false" ht="15" hidden="false" customHeight="false" outlineLevel="0" collapsed="false">
      <c r="B128" s="39" t="s">
        <v>184</v>
      </c>
      <c r="C128" s="40" t="n">
        <f aca="false">1-$E$126*CHOOSE($L$126,INDEX(Timing!$C$7:$AA$7,1,Inputs!$C$12+1),INDEX(Timing!$C$8:$AA$8,1,Inputs!$C$12+1))</f>
        <v>0.316</v>
      </c>
      <c r="D128" s="40" t="n">
        <f aca="false">1-$E$126*CHOOSE($L$126,INDEX(Timing!$C$7:$AA$7,1,Inputs!$C$13+1),INDEX(Timing!$C$8:$AA$8,1,Inputs!$C$13+1))</f>
        <v>0.1</v>
      </c>
      <c r="E128" s="40" t="n">
        <f aca="false">$I$126*$D$128*$F$126</f>
        <v>0.06</v>
      </c>
      <c r="F128" s="40" t="n">
        <f aca="false">$I$126*($D$128-$E$128)*$G$126</f>
        <v>0.032</v>
      </c>
      <c r="G128" s="40" t="n">
        <f aca="false">$I$126*($D$128-$E$128-$F$128)</f>
        <v>0.008</v>
      </c>
      <c r="H128" s="23" t="n">
        <f aca="false">$I$126*(3*$D$126+Inputs!$C$14)</f>
        <v>30300</v>
      </c>
      <c r="I128" s="23" t="n">
        <f aca="false">$I$126*($D$126*(1+IF($C$126&lt;=0,0,MAX($C$126*Inputs!$C$15/12,Inputs!$C$8)))+$D$126*(1+Inputs!$C$11*(Inputs!$C$15-Inputs!$C$12)/12)+$D$126*(1+Inputs!$C$11*(Inputs!$C$15-Inputs!$C$13)/12)+Inputs!$C$14)</f>
        <v>32865</v>
      </c>
      <c r="J128" s="23" t="n">
        <f aca="false">$I$126*($D$126*(1+IF($C$126&lt;=0,0,MAX($C$126*Inputs!$C$16/12,Inputs!$C$8)))+$D$126*(1+Inputs!$C$11*(Inputs!$C$16-Inputs!$C$12)/12)+$D$126*(1+Inputs!$C$11*(Inputs!$C$16-Inputs!$C$13)/12)+Inputs!$C$14)</f>
        <v>33720</v>
      </c>
      <c r="K128" s="40" t="n">
        <f aca="false">IRR($N$131:$AY$131,0.005)</f>
        <v>0.00276271041178189</v>
      </c>
      <c r="L128" s="41" t="n">
        <f aca="false">(1+$K$128)^12-1</f>
        <v>0.0336609424951313</v>
      </c>
    </row>
    <row r="129" customFormat="false" ht="15" hidden="false" customHeight="false" outlineLevel="0" collapsed="false">
      <c r="B129" s="9" t="s">
        <v>185</v>
      </c>
      <c r="N129" s="40" t="n">
        <f aca="false">0</f>
        <v>0</v>
      </c>
      <c r="O129" s="40" t="n">
        <f aca="false">$E$126*(CHOOSE($L$126,Timing!D$7,Timing!D$8)-CHOOSE($L$126,Timing!C$7,Timing!C$8))</f>
        <v>0.108</v>
      </c>
      <c r="P129" s="40" t="n">
        <f aca="false">$E$126*(CHOOSE($L$126,Timing!E$7,Timing!E$8)-CHOOSE($L$126,Timing!D$7,Timing!D$8))</f>
        <v>0.09</v>
      </c>
      <c r="Q129" s="40" t="n">
        <f aca="false">$E$126*(CHOOSE($L$126,Timing!F$7,Timing!F$8)-CHOOSE($L$126,Timing!E$7,Timing!E$8))</f>
        <v>0.081</v>
      </c>
      <c r="R129" s="40" t="n">
        <f aca="false">$E$126*(CHOOSE($L$126,Timing!G$7,Timing!G$8)-CHOOSE($L$126,Timing!F$7,Timing!F$8))</f>
        <v>0.063</v>
      </c>
      <c r="S129" s="40" t="n">
        <f aca="false">$E$126*(CHOOSE($L$126,Timing!H$7,Timing!H$8)-CHOOSE($L$126,Timing!G$7,Timing!G$8))</f>
        <v>0.063</v>
      </c>
      <c r="T129" s="40" t="n">
        <f aca="false">$E$126*(CHOOSE($L$126,Timing!I$7,Timing!I$8)-CHOOSE($L$126,Timing!H$7,Timing!H$8))</f>
        <v>0.063</v>
      </c>
      <c r="U129" s="40" t="n">
        <f aca="false">$E$126*(CHOOSE($L$126,Timing!J$7,Timing!J$8)-CHOOSE($L$126,Timing!I$7,Timing!I$8))</f>
        <v>0.039</v>
      </c>
      <c r="V129" s="40" t="n">
        <f aca="false">$E$126*(CHOOSE($L$126,Timing!K$7,Timing!K$8)-CHOOSE($L$126,Timing!J$7,Timing!J$8))</f>
        <v>0.039</v>
      </c>
      <c r="W129" s="40" t="n">
        <f aca="false">$E$126*(CHOOSE($L$126,Timing!L$7,Timing!L$8)-CHOOSE($L$126,Timing!K$7,Timing!K$8))</f>
        <v>0.039</v>
      </c>
      <c r="X129" s="40" t="n">
        <f aca="false">$E$126*(CHOOSE($L$126,Timing!M$7,Timing!M$8)-CHOOSE($L$126,Timing!L$7,Timing!L$8))</f>
        <v>0.033</v>
      </c>
      <c r="Y129" s="40" t="n">
        <f aca="false">$E$126*(CHOOSE($L$126,Timing!N$7,Timing!N$8)-CHOOSE($L$126,Timing!M$7,Timing!M$8))</f>
        <v>0.0330000000000001</v>
      </c>
      <c r="Z129" s="40" t="n">
        <f aca="false">$E$126*(CHOOSE($L$126,Timing!O$7,Timing!O$8)-CHOOSE($L$126,Timing!N$7,Timing!N$8))</f>
        <v>0.033</v>
      </c>
      <c r="AA129" s="40" t="n">
        <f aca="false">$E$126*(CHOOSE($L$126,Timing!P$7,Timing!P$8)-CHOOSE($L$126,Timing!O$7,Timing!O$8))</f>
        <v>0.021</v>
      </c>
      <c r="AB129" s="40" t="n">
        <f aca="false">$E$126*(CHOOSE($L$126,Timing!Q$7,Timing!Q$8)-CHOOSE($L$126,Timing!P$7,Timing!P$8))</f>
        <v>0.021</v>
      </c>
      <c r="AC129" s="40" t="n">
        <f aca="false">$E$126*(CHOOSE($L$126,Timing!R$7,Timing!R$8)-CHOOSE($L$126,Timing!Q$7,Timing!Q$8))</f>
        <v>0.0210000000000001</v>
      </c>
      <c r="AD129" s="40" t="n">
        <f aca="false">$E$126*(CHOOSE($L$126,Timing!S$7,Timing!S$8)-CHOOSE($L$126,Timing!R$7,Timing!R$8))</f>
        <v>0.021</v>
      </c>
      <c r="AE129" s="40" t="n">
        <f aca="false">$E$126*(CHOOSE($L$126,Timing!T$7,Timing!T$8)-CHOOSE($L$126,Timing!S$7,Timing!S$8))</f>
        <v>0.021</v>
      </c>
      <c r="AF129" s="40" t="n">
        <f aca="false">$E$126*(CHOOSE($L$126,Timing!U$7,Timing!U$8)-CHOOSE($L$126,Timing!T$7,Timing!T$8))</f>
        <v>0.021</v>
      </c>
      <c r="AG129" s="40" t="n">
        <f aca="false">$E$126*(CHOOSE($L$126,Timing!V$7,Timing!V$8)-CHOOSE($L$126,Timing!U$7,Timing!U$8))</f>
        <v>0.015</v>
      </c>
      <c r="AH129" s="40" t="n">
        <f aca="false">$E$126*(CHOOSE($L$126,Timing!W$7,Timing!W$8)-CHOOSE($L$126,Timing!V$7,Timing!V$8))</f>
        <v>0.0149999999999999</v>
      </c>
      <c r="AI129" s="40" t="n">
        <f aca="false">$E$126*(CHOOSE($L$126,Timing!X$7,Timing!X$8)-CHOOSE($L$126,Timing!W$7,Timing!W$8))</f>
        <v>0.0149999999999999</v>
      </c>
      <c r="AJ129" s="40" t="n">
        <f aca="false">$E$126*(CHOOSE($L$126,Timing!Y$7,Timing!Y$8)-CHOOSE($L$126,Timing!X$7,Timing!X$8))</f>
        <v>0.015</v>
      </c>
      <c r="AK129" s="40" t="n">
        <f aca="false">$E$126*(CHOOSE($L$126,Timing!Z$7,Timing!Z$8)-CHOOSE($L$126,Timing!Y$7,Timing!Y$8))</f>
        <v>0.015</v>
      </c>
      <c r="AL129" s="40" t="n">
        <f aca="false">$E$126*(CHOOSE($L$126,Timing!AA$7,Timing!AA$8)-CHOOSE($L$126,Timing!Z$7,Timing!Z$8))</f>
        <v>0.0149999999999999</v>
      </c>
    </row>
    <row r="130" customFormat="false" ht="15" hidden="false" customHeight="false" outlineLevel="0" collapsed="false">
      <c r="B130" s="9" t="s">
        <v>186</v>
      </c>
      <c r="N130" s="42" t="n">
        <f aca="false">0</f>
        <v>0</v>
      </c>
      <c r="O130" s="42" t="n">
        <f aca="false">$D$126*(1+IF($C$126&lt;=0,0,MAX($C$126*O$5/12,Inputs!$C$8)))+$I$126*(O$5&gt;Inputs!$C$12)*$D$126*(1+Inputs!$C$11*(O$5-Inputs!$C$12)/12)</f>
        <v>9500</v>
      </c>
      <c r="P130" s="42" t="n">
        <f aca="false">$D$126*(1+IF($C$126&lt;=0,0,MAX($C$126*P$5/12,Inputs!$C$8)))+$I$126*(P$5&gt;Inputs!$C$12)*$D$126*(1+Inputs!$C$11*(P$5-Inputs!$C$12)/12)</f>
        <v>9500</v>
      </c>
      <c r="Q130" s="42" t="n">
        <f aca="false">$D$126*(1+IF($C$126&lt;=0,0,MAX($C$126*Q$5/12,Inputs!$C$8)))+$I$126*(Q$5&gt;Inputs!$C$12)*$D$126*(1+Inputs!$C$11*(Q$5-Inputs!$C$12)/12)</f>
        <v>9500</v>
      </c>
      <c r="R130" s="42" t="n">
        <f aca="false">$D$126*(1+IF($C$126&lt;=0,0,MAX($C$126*R$5/12,Inputs!$C$8)))+$I$126*(R$5&gt;Inputs!$C$12)*$D$126*(1+Inputs!$C$11*(R$5-Inputs!$C$12)/12)</f>
        <v>9500</v>
      </c>
      <c r="S130" s="42" t="n">
        <f aca="false">$D$126*(1+IF($C$126&lt;=0,0,MAX($C$126*S$5/12,Inputs!$C$8)))+$I$126*(S$5&gt;Inputs!$C$12)*$D$126*(1+Inputs!$C$11*(S$5-Inputs!$C$12)/12)</f>
        <v>9500</v>
      </c>
      <c r="T130" s="42" t="n">
        <f aca="false">$D$126*(1+IF($C$126&lt;=0,0,MAX($C$126*T$5/12,Inputs!$C$8)))+$I$126*(T$5&gt;Inputs!$C$12)*$D$126*(1+Inputs!$C$11*(T$5-Inputs!$C$12)/12)</f>
        <v>9500</v>
      </c>
      <c r="U130" s="42" t="n">
        <f aca="false">$D$126*(1+IF($C$126&lt;=0,0,MAX($C$126*U$5/12,Inputs!$C$8)))+$I$126*(U$5&gt;Inputs!$C$12)*$D$126*(1+Inputs!$C$11*(U$5-Inputs!$C$12)/12)</f>
        <v>9500</v>
      </c>
      <c r="V130" s="42" t="n">
        <f aca="false">$D$126*(1+IF($C$126&lt;=0,0,MAX($C$126*V$5/12,Inputs!$C$8)))+$I$126*(V$5&gt;Inputs!$C$12)*$D$126*(1+Inputs!$C$11*(V$5-Inputs!$C$12)/12)</f>
        <v>9500</v>
      </c>
      <c r="W130" s="42" t="n">
        <f aca="false">$D$126*(1+IF($C$126&lt;=0,0,MAX($C$126*W$5/12,Inputs!$C$8)))+$I$126*(W$5&gt;Inputs!$C$12)*$D$126*(1+Inputs!$C$11*(W$5-Inputs!$C$12)/12)</f>
        <v>9500</v>
      </c>
      <c r="X130" s="42" t="n">
        <f aca="false">$D$126*(1+IF($C$126&lt;=0,0,MAX($C$126*X$5/12,Inputs!$C$8)))+$I$126*(X$5&gt;Inputs!$C$12)*$D$126*(1+Inputs!$C$11*(X$5-Inputs!$C$12)/12)</f>
        <v>9500</v>
      </c>
      <c r="Y130" s="42" t="n">
        <f aca="false">$D$126*(1+IF($C$126&lt;=0,0,MAX($C$126*Y$5/12,Inputs!$C$8)))+$I$126*(Y$5&gt;Inputs!$C$12)*$D$126*(1+Inputs!$C$11*(Y$5-Inputs!$C$12)/12)</f>
        <v>9500</v>
      </c>
      <c r="Z130" s="42" t="n">
        <f aca="false">$D$126*(1+IF($C$126&lt;=0,0,MAX($C$126*Z$5/12,Inputs!$C$8)))+$I$126*(Z$5&gt;Inputs!$C$12)*$D$126*(1+Inputs!$C$11*(Z$5-Inputs!$C$12)/12)</f>
        <v>9500</v>
      </c>
      <c r="AA130" s="42" t="n">
        <f aca="false">$D$126*(1+IF($C$126&lt;=0,0,MAX($C$126*AA$5/12,Inputs!$C$8)))+$I$126*(AA$5&gt;Inputs!$C$12)*$D$126*(1+Inputs!$C$11*(AA$5-Inputs!$C$12)/12)</f>
        <v>19142.5</v>
      </c>
      <c r="AB130" s="42" t="n">
        <f aca="false">$D$126*(1+IF($C$126&lt;=0,0,MAX($C$126*AB$5/12,Inputs!$C$8)))+$I$126*(AB$5&gt;Inputs!$C$12)*$D$126*(1+Inputs!$C$11*(AB$5-Inputs!$C$12)/12)</f>
        <v>19285</v>
      </c>
      <c r="AC130" s="42" t="n">
        <f aca="false">$D$126*(1+IF($C$126&lt;=0,0,MAX($C$126*AC$5/12,Inputs!$C$8)))+$I$126*(AC$5&gt;Inputs!$C$12)*$D$126*(1+Inputs!$C$11*(AC$5-Inputs!$C$12)/12)</f>
        <v>19427.5</v>
      </c>
      <c r="AD130" s="42" t="n">
        <f aca="false">$D$126*(1+IF($C$126&lt;=0,0,MAX($C$126*AD$5/12,Inputs!$C$8)))+$I$126*(AD$5&gt;Inputs!$C$12)*$D$126*(1+Inputs!$C$11*(AD$5-Inputs!$C$12)/12)</f>
        <v>19570</v>
      </c>
      <c r="AE130" s="42" t="n">
        <f aca="false">$D$126*(1+IF($C$126&lt;=0,0,MAX($C$126*AE$5/12,Inputs!$C$8)))+$I$126*(AE$5&gt;Inputs!$C$12)*$D$126*(1+Inputs!$C$11*(AE$5-Inputs!$C$12)/12)</f>
        <v>19712.5</v>
      </c>
      <c r="AF130" s="42" t="n">
        <f aca="false">$D$126*(1+IF($C$126&lt;=0,0,MAX($C$126*AF$5/12,Inputs!$C$8)))+$I$126*(AF$5&gt;Inputs!$C$12)*$D$126*(1+Inputs!$C$11*(AF$5-Inputs!$C$12)/12)</f>
        <v>19855</v>
      </c>
      <c r="AG130" s="42" t="n">
        <f aca="false">$D$126*(1+IF($C$126&lt;=0,0,MAX($C$126*AG$5/12,Inputs!$C$8)))+$I$126*(AG$5&gt;Inputs!$C$12)*$D$126*(1+Inputs!$C$11*(AG$5-Inputs!$C$12)/12)</f>
        <v>19997.5</v>
      </c>
      <c r="AH130" s="42" t="n">
        <f aca="false">$D$126*(1+IF($C$126&lt;=0,0,MAX($C$126*AH$5/12,Inputs!$C$8)))+$I$126*(AH$5&gt;Inputs!$C$12)*$D$126*(1+Inputs!$C$11*(AH$5-Inputs!$C$12)/12)</f>
        <v>20140</v>
      </c>
      <c r="AI130" s="42" t="n">
        <f aca="false">$D$126*(1+IF($C$126&lt;=0,0,MAX($C$126*AI$5/12,Inputs!$C$8)))+$I$126*(AI$5&gt;Inputs!$C$12)*$D$126*(1+Inputs!$C$11*(AI$5-Inputs!$C$12)/12)</f>
        <v>20282.5</v>
      </c>
      <c r="AJ130" s="42" t="n">
        <f aca="false">$D$126*(1+IF($C$126&lt;=0,0,MAX($C$126*AJ$5/12,Inputs!$C$8)))+$I$126*(AJ$5&gt;Inputs!$C$12)*$D$126*(1+Inputs!$C$11*(AJ$5-Inputs!$C$12)/12)</f>
        <v>20425</v>
      </c>
      <c r="AK130" s="42" t="n">
        <f aca="false">$D$126*(1+IF($C$126&lt;=0,0,MAX($C$126*AK$5/12,Inputs!$C$8)))+$I$126*(AK$5&gt;Inputs!$C$12)*$D$126*(1+Inputs!$C$11*(AK$5-Inputs!$C$12)/12)</f>
        <v>20567.5</v>
      </c>
      <c r="AL130" s="42" t="n">
        <f aca="false">$D$126*(1+IF($C$126&lt;=0,0,MAX($C$126*AL$5/12,Inputs!$C$8)))+$I$126*(AL$5&gt;Inputs!$C$12)*$D$126*(1+Inputs!$C$11*(AL$5-Inputs!$C$12)/12)</f>
        <v>20710</v>
      </c>
    </row>
    <row r="131" customFormat="false" ht="15" hidden="false" customHeight="false" outlineLevel="0" collapsed="false">
      <c r="B131" s="31" t="s">
        <v>187</v>
      </c>
      <c r="N131" s="42" t="n">
        <f aca="false">-($D$126+$J$126)*(N$5=0)+IF(AND(N$5-$K$126&gt;=1,N$5-$K$126&lt;=Inputs!$C$13),INDEX($N$129:$AL$129,1,N$5-$K$126+1)*INDEX($N$130:$AL$130,1,N$5-$K$126+1),0)-$I$126*((N$5=Inputs!$C$12)*$C$128*$D$126+(N$5=Inputs!$C$13)*$D$128*($D$126+Inputs!$C$14))+$I$126*((N$5=Inputs!$C$15+$K$126)*$E$128*$I$128+(N$5=Inputs!$C$16+$K$126)*$F$128*$J$128+(N$5=Inputs!$C$17)*$G$128*$H$126*$H$128)</f>
        <v>-9510</v>
      </c>
      <c r="O131" s="42" t="n">
        <f aca="false">-($D$126+$J$126)*(O$5=0)+IF(AND(O$5-$K$126&gt;=1,O$5-$K$126&lt;=Inputs!$C$13),INDEX($N$129:$AL$129,1,O$5-$K$126+1)*INDEX($N$130:$AL$130,1,O$5-$K$126+1),0)-$I$126*((O$5=Inputs!$C$12)*$C$128*$D$126+(O$5=Inputs!$C$13)*$D$128*($D$126+Inputs!$C$14))+$I$126*((O$5=Inputs!$C$15+$K$126)*$E$128*$I$128+(O$5=Inputs!$C$16+$K$126)*$F$128*$J$128+(O$5=Inputs!$C$17)*$G$128*$H$126*$H$128)</f>
        <v>0</v>
      </c>
      <c r="P131" s="42" t="n">
        <f aca="false">-($D$126+$J$126)*(P$5=0)+IF(AND(P$5-$K$126&gt;=1,P$5-$K$126&lt;=Inputs!$C$13),INDEX($N$129:$AL$129,1,P$5-$K$126+1)*INDEX($N$130:$AL$130,1,P$5-$K$126+1),0)-$I$126*((P$5=Inputs!$C$12)*$C$128*$D$126+(P$5=Inputs!$C$13)*$D$128*($D$126+Inputs!$C$14))+$I$126*((P$5=Inputs!$C$15+$K$126)*$E$128*$I$128+(P$5=Inputs!$C$16+$K$126)*$F$128*$J$128+(P$5=Inputs!$C$17)*$G$128*$H$126*$H$128)</f>
        <v>1026</v>
      </c>
      <c r="Q131" s="42" t="n">
        <f aca="false">-($D$126+$J$126)*(Q$5=0)+IF(AND(Q$5-$K$126&gt;=1,Q$5-$K$126&lt;=Inputs!$C$13),INDEX($N$129:$AL$129,1,Q$5-$K$126+1)*INDEX($N$130:$AL$130,1,Q$5-$K$126+1),0)-$I$126*((Q$5=Inputs!$C$12)*$C$128*$D$126+(Q$5=Inputs!$C$13)*$D$128*($D$126+Inputs!$C$14))+$I$126*((Q$5=Inputs!$C$15+$K$126)*$E$128*$I$128+(Q$5=Inputs!$C$16+$K$126)*$F$128*$J$128+(Q$5=Inputs!$C$17)*$G$128*$H$126*$H$128)</f>
        <v>855</v>
      </c>
      <c r="R131" s="42" t="n">
        <f aca="false">-($D$126+$J$126)*(R$5=0)+IF(AND(R$5-$K$126&gt;=1,R$5-$K$126&lt;=Inputs!$C$13),INDEX($N$129:$AL$129,1,R$5-$K$126+1)*INDEX($N$130:$AL$130,1,R$5-$K$126+1),0)-$I$126*((R$5=Inputs!$C$12)*$C$128*$D$126+(R$5=Inputs!$C$13)*$D$128*($D$126+Inputs!$C$14))+$I$126*((R$5=Inputs!$C$15+$K$126)*$E$128*$I$128+(R$5=Inputs!$C$16+$K$126)*$F$128*$J$128+(R$5=Inputs!$C$17)*$G$128*$H$126*$H$128)</f>
        <v>769.5</v>
      </c>
      <c r="S131" s="42" t="n">
        <f aca="false">-($D$126+$J$126)*(S$5=0)+IF(AND(S$5-$K$126&gt;=1,S$5-$K$126&lt;=Inputs!$C$13),INDEX($N$129:$AL$129,1,S$5-$K$126+1)*INDEX($N$130:$AL$130,1,S$5-$K$126+1),0)-$I$126*((S$5=Inputs!$C$12)*$C$128*$D$126+(S$5=Inputs!$C$13)*$D$128*($D$126+Inputs!$C$14))+$I$126*((S$5=Inputs!$C$15+$K$126)*$E$128*$I$128+(S$5=Inputs!$C$16+$K$126)*$F$128*$J$128+(S$5=Inputs!$C$17)*$G$128*$H$126*$H$128)</f>
        <v>598.5</v>
      </c>
      <c r="T131" s="42" t="n">
        <f aca="false">-($D$126+$J$126)*(T$5=0)+IF(AND(T$5-$K$126&gt;=1,T$5-$K$126&lt;=Inputs!$C$13),INDEX($N$129:$AL$129,1,T$5-$K$126+1)*INDEX($N$130:$AL$130,1,T$5-$K$126+1),0)-$I$126*((T$5=Inputs!$C$12)*$C$128*$D$126+(T$5=Inputs!$C$13)*$D$128*($D$126+Inputs!$C$14))+$I$126*((T$5=Inputs!$C$15+$K$126)*$E$128*$I$128+(T$5=Inputs!$C$16+$K$126)*$F$128*$J$128+(T$5=Inputs!$C$17)*$G$128*$H$126*$H$128)</f>
        <v>598.5</v>
      </c>
      <c r="U131" s="42" t="n">
        <f aca="false">-($D$126+$J$126)*(U$5=0)+IF(AND(U$5-$K$126&gt;=1,U$5-$K$126&lt;=Inputs!$C$13),INDEX($N$129:$AL$129,1,U$5-$K$126+1)*INDEX($N$130:$AL$130,1,U$5-$K$126+1),0)-$I$126*((U$5=Inputs!$C$12)*$C$128*$D$126+(U$5=Inputs!$C$13)*$D$128*($D$126+Inputs!$C$14))+$I$126*((U$5=Inputs!$C$15+$K$126)*$E$128*$I$128+(U$5=Inputs!$C$16+$K$126)*$F$128*$J$128+(U$5=Inputs!$C$17)*$G$128*$H$126*$H$128)</f>
        <v>598.5</v>
      </c>
      <c r="V131" s="42" t="n">
        <f aca="false">-($D$126+$J$126)*(V$5=0)+IF(AND(V$5-$K$126&gt;=1,V$5-$K$126&lt;=Inputs!$C$13),INDEX($N$129:$AL$129,1,V$5-$K$126+1)*INDEX($N$130:$AL$130,1,V$5-$K$126+1),0)-$I$126*((V$5=Inputs!$C$12)*$C$128*$D$126+(V$5=Inputs!$C$13)*$D$128*($D$126+Inputs!$C$14))+$I$126*((V$5=Inputs!$C$15+$K$126)*$E$128*$I$128+(V$5=Inputs!$C$16+$K$126)*$F$128*$J$128+(V$5=Inputs!$C$17)*$G$128*$H$126*$H$128)</f>
        <v>370.5</v>
      </c>
      <c r="W131" s="42" t="n">
        <f aca="false">-($D$126+$J$126)*(W$5=0)+IF(AND(W$5-$K$126&gt;=1,W$5-$K$126&lt;=Inputs!$C$13),INDEX($N$129:$AL$129,1,W$5-$K$126+1)*INDEX($N$130:$AL$130,1,W$5-$K$126+1),0)-$I$126*((W$5=Inputs!$C$12)*$C$128*$D$126+(W$5=Inputs!$C$13)*$D$128*($D$126+Inputs!$C$14))+$I$126*((W$5=Inputs!$C$15+$K$126)*$E$128*$I$128+(W$5=Inputs!$C$16+$K$126)*$F$128*$J$128+(W$5=Inputs!$C$17)*$G$128*$H$126*$H$128)</f>
        <v>370.5</v>
      </c>
      <c r="X131" s="42" t="n">
        <f aca="false">-($D$126+$J$126)*(X$5=0)+IF(AND(X$5-$K$126&gt;=1,X$5-$K$126&lt;=Inputs!$C$13),INDEX($N$129:$AL$129,1,X$5-$K$126+1)*INDEX($N$130:$AL$130,1,X$5-$K$126+1),0)-$I$126*((X$5=Inputs!$C$12)*$C$128*$D$126+(X$5=Inputs!$C$13)*$D$128*($D$126+Inputs!$C$14))+$I$126*((X$5=Inputs!$C$15+$K$126)*$E$128*$I$128+(X$5=Inputs!$C$16+$K$126)*$F$128*$J$128+(X$5=Inputs!$C$17)*$G$128*$H$126*$H$128)</f>
        <v>370.5</v>
      </c>
      <c r="Y131" s="42" t="n">
        <f aca="false">-($D$126+$J$126)*(Y$5=0)+IF(AND(Y$5-$K$126&gt;=1,Y$5-$K$126&lt;=Inputs!$C$13),INDEX($N$129:$AL$129,1,Y$5-$K$126+1)*INDEX($N$130:$AL$130,1,Y$5-$K$126+1),0)-$I$126*((Y$5=Inputs!$C$12)*$C$128*$D$126+(Y$5=Inputs!$C$13)*$D$128*($D$126+Inputs!$C$14))+$I$126*((Y$5=Inputs!$C$15+$K$126)*$E$128*$I$128+(Y$5=Inputs!$C$16+$K$126)*$F$128*$J$128+(Y$5=Inputs!$C$17)*$G$128*$H$126*$H$128)</f>
        <v>313.5</v>
      </c>
      <c r="Z131" s="42" t="n">
        <f aca="false">-($D$126+$J$126)*(Z$5=0)+IF(AND(Z$5-$K$126&gt;=1,Z$5-$K$126&lt;=Inputs!$C$13),INDEX($N$129:$AL$129,1,Z$5-$K$126+1)*INDEX($N$130:$AL$130,1,Z$5-$K$126+1),0)-$I$126*((Z$5=Inputs!$C$12)*$C$128*$D$126+(Z$5=Inputs!$C$13)*$D$128*($D$126+Inputs!$C$14))+$I$126*((Z$5=Inputs!$C$15+$K$126)*$E$128*$I$128+(Z$5=Inputs!$C$16+$K$126)*$F$128*$J$128+(Z$5=Inputs!$C$17)*$G$128*$H$126*$H$128)</f>
        <v>-2688.5</v>
      </c>
      <c r="AA131" s="42" t="n">
        <f aca="false">-($D$126+$J$126)*(AA$5=0)+IF(AND(AA$5-$K$126&gt;=1,AA$5-$K$126&lt;=Inputs!$C$13),INDEX($N$129:$AL$129,1,AA$5-$K$126+1)*INDEX($N$130:$AL$130,1,AA$5-$K$126+1),0)-$I$126*((AA$5=Inputs!$C$12)*$C$128*$D$126+(AA$5=Inputs!$C$13)*$D$128*($D$126+Inputs!$C$14))+$I$126*((AA$5=Inputs!$C$15+$K$126)*$E$128*$I$128+(AA$5=Inputs!$C$16+$K$126)*$F$128*$J$128+(AA$5=Inputs!$C$17)*$G$128*$H$126*$H$128)</f>
        <v>313.5</v>
      </c>
      <c r="AB131" s="42" t="n">
        <f aca="false">-($D$126+$J$126)*(AB$5=0)+IF(AND(AB$5-$K$126&gt;=1,AB$5-$K$126&lt;=Inputs!$C$13),INDEX($N$129:$AL$129,1,AB$5-$K$126+1)*INDEX($N$130:$AL$130,1,AB$5-$K$126+1),0)-$I$126*((AB$5=Inputs!$C$12)*$C$128*$D$126+(AB$5=Inputs!$C$13)*$D$128*($D$126+Inputs!$C$14))+$I$126*((AB$5=Inputs!$C$15+$K$126)*$E$128*$I$128+(AB$5=Inputs!$C$16+$K$126)*$F$128*$J$128+(AB$5=Inputs!$C$17)*$G$128*$H$126*$H$128)</f>
        <v>401.9925</v>
      </c>
      <c r="AC131" s="42" t="n">
        <f aca="false">-($D$126+$J$126)*(AC$5=0)+IF(AND(AC$5-$K$126&gt;=1,AC$5-$K$126&lt;=Inputs!$C$13),INDEX($N$129:$AL$129,1,AC$5-$K$126+1)*INDEX($N$130:$AL$130,1,AC$5-$K$126+1),0)-$I$126*((AC$5=Inputs!$C$12)*$C$128*$D$126+(AC$5=Inputs!$C$13)*$D$128*($D$126+Inputs!$C$14))+$I$126*((AC$5=Inputs!$C$15+$K$126)*$E$128*$I$128+(AC$5=Inputs!$C$16+$K$126)*$F$128*$J$128+(AC$5=Inputs!$C$17)*$G$128*$H$126*$H$128)</f>
        <v>404.985</v>
      </c>
      <c r="AD131" s="42" t="n">
        <f aca="false">-($D$126+$J$126)*(AD$5=0)+IF(AND(AD$5-$K$126&gt;=1,AD$5-$K$126&lt;=Inputs!$C$13),INDEX($N$129:$AL$129,1,AD$5-$K$126+1)*INDEX($N$130:$AL$130,1,AD$5-$K$126+1),0)-$I$126*((AD$5=Inputs!$C$12)*$C$128*$D$126+(AD$5=Inputs!$C$13)*$D$128*($D$126+Inputs!$C$14))+$I$126*((AD$5=Inputs!$C$15+$K$126)*$E$128*$I$128+(AD$5=Inputs!$C$16+$K$126)*$F$128*$J$128+(AD$5=Inputs!$C$17)*$G$128*$H$126*$H$128)</f>
        <v>407.977500000002</v>
      </c>
      <c r="AE131" s="42" t="n">
        <f aca="false">-($D$126+$J$126)*(AE$5=0)+IF(AND(AE$5-$K$126&gt;=1,AE$5-$K$126&lt;=Inputs!$C$13),INDEX($N$129:$AL$129,1,AE$5-$K$126+1)*INDEX($N$130:$AL$130,1,AE$5-$K$126+1),0)-$I$126*((AE$5=Inputs!$C$12)*$C$128*$D$126+(AE$5=Inputs!$C$13)*$D$128*($D$126+Inputs!$C$14))+$I$126*((AE$5=Inputs!$C$15+$K$126)*$E$128*$I$128+(AE$5=Inputs!$C$16+$K$126)*$F$128*$J$128+(AE$5=Inputs!$C$17)*$G$128*$H$126*$H$128)</f>
        <v>410.97</v>
      </c>
      <c r="AF131" s="42" t="n">
        <f aca="false">-($D$126+$J$126)*(AF$5=0)+IF(AND(AF$5-$K$126&gt;=1,AF$5-$K$126&lt;=Inputs!$C$13),INDEX($N$129:$AL$129,1,AF$5-$K$126+1)*INDEX($N$130:$AL$130,1,AF$5-$K$126+1),0)-$I$126*((AF$5=Inputs!$C$12)*$C$128*$D$126+(AF$5=Inputs!$C$13)*$D$128*($D$126+Inputs!$C$14))+$I$126*((AF$5=Inputs!$C$15+$K$126)*$E$128*$I$128+(AF$5=Inputs!$C$16+$K$126)*$F$128*$J$128+(AF$5=Inputs!$C$17)*$G$128*$H$126*$H$128)</f>
        <v>413.9625</v>
      </c>
      <c r="AG131" s="42" t="n">
        <f aca="false">-($D$126+$J$126)*(AG$5=0)+IF(AND(AG$5-$K$126&gt;=1,AG$5-$K$126&lt;=Inputs!$C$13),INDEX($N$129:$AL$129,1,AG$5-$K$126+1)*INDEX($N$130:$AL$130,1,AG$5-$K$126+1),0)-$I$126*((AG$5=Inputs!$C$12)*$C$128*$D$126+(AG$5=Inputs!$C$13)*$D$128*($D$126+Inputs!$C$14))+$I$126*((AG$5=Inputs!$C$15+$K$126)*$E$128*$I$128+(AG$5=Inputs!$C$16+$K$126)*$F$128*$J$128+(AG$5=Inputs!$C$17)*$G$128*$H$126*$H$128)</f>
        <v>416.955</v>
      </c>
      <c r="AH131" s="42" t="n">
        <f aca="false">-($D$126+$J$126)*(AH$5=0)+IF(AND(AH$5-$K$126&gt;=1,AH$5-$K$126&lt;=Inputs!$C$13),INDEX($N$129:$AL$129,1,AH$5-$K$126+1)*INDEX($N$130:$AL$130,1,AH$5-$K$126+1),0)-$I$126*((AH$5=Inputs!$C$12)*$C$128*$D$126+(AH$5=Inputs!$C$13)*$D$128*($D$126+Inputs!$C$14))+$I$126*((AH$5=Inputs!$C$15+$K$126)*$E$128*$I$128+(AH$5=Inputs!$C$16+$K$126)*$F$128*$J$128+(AH$5=Inputs!$C$17)*$G$128*$H$126*$H$128)</f>
        <v>299.962500000001</v>
      </c>
      <c r="AI131" s="42" t="n">
        <f aca="false">-($D$126+$J$126)*(AI$5=0)+IF(AND(AI$5-$K$126&gt;=1,AI$5-$K$126&lt;=Inputs!$C$13),INDEX($N$129:$AL$129,1,AI$5-$K$126+1)*INDEX($N$130:$AL$130,1,AI$5-$K$126+1),0)-$I$126*((AI$5=Inputs!$C$12)*$C$128*$D$126+(AI$5=Inputs!$C$13)*$D$128*($D$126+Inputs!$C$14))+$I$126*((AI$5=Inputs!$C$15+$K$126)*$E$128*$I$128+(AI$5=Inputs!$C$16+$K$126)*$F$128*$J$128+(AI$5=Inputs!$C$17)*$G$128*$H$126*$H$128)</f>
        <v>302.099999999999</v>
      </c>
      <c r="AJ131" s="42" t="n">
        <f aca="false">-($D$126+$J$126)*(AJ$5=0)+IF(AND(AJ$5-$K$126&gt;=1,AJ$5-$K$126&lt;=Inputs!$C$13),INDEX($N$129:$AL$129,1,AJ$5-$K$126+1)*INDEX($N$130:$AL$130,1,AJ$5-$K$126+1),0)-$I$126*((AJ$5=Inputs!$C$12)*$C$128*$D$126+(AJ$5=Inputs!$C$13)*$D$128*($D$126+Inputs!$C$14))+$I$126*((AJ$5=Inputs!$C$15+$K$126)*$E$128*$I$128+(AJ$5=Inputs!$C$16+$K$126)*$F$128*$J$128+(AJ$5=Inputs!$C$17)*$G$128*$H$126*$H$128)</f>
        <v>304.237499999999</v>
      </c>
      <c r="AK131" s="42" t="n">
        <f aca="false">-($D$126+$J$126)*(AK$5=0)+IF(AND(AK$5-$K$126&gt;=1,AK$5-$K$126&lt;=Inputs!$C$13),INDEX($N$129:$AL$129,1,AK$5-$K$126+1)*INDEX($N$130:$AL$130,1,AK$5-$K$126+1),0)-$I$126*((AK$5=Inputs!$C$12)*$C$128*$D$126+(AK$5=Inputs!$C$13)*$D$128*($D$126+Inputs!$C$14))+$I$126*((AK$5=Inputs!$C$15+$K$126)*$E$128*$I$128+(AK$5=Inputs!$C$16+$K$126)*$F$128*$J$128+(AK$5=Inputs!$C$17)*$G$128*$H$126*$H$128)</f>
        <v>306.375000000001</v>
      </c>
      <c r="AL131" s="42" t="n">
        <f aca="false">-($D$126+$J$126)*(AL$5=0)+IF(AND(AL$5-$K$126&gt;=1,AL$5-$K$126&lt;=Inputs!$C$13),INDEX($N$129:$AL$129,1,AL$5-$K$126+1)*INDEX($N$130:$AL$130,1,AL$5-$K$126+1),0)-$I$126*((AL$5=Inputs!$C$12)*$C$128*$D$126+(AL$5=Inputs!$C$13)*$D$128*($D$126+Inputs!$C$14))+$I$126*((AL$5=Inputs!$C$15+$K$126)*$E$128*$I$128+(AL$5=Inputs!$C$16+$K$126)*$F$128*$J$128+(AL$5=Inputs!$C$17)*$G$128*$H$126*$H$128)</f>
        <v>-821.487499999999</v>
      </c>
      <c r="AM131" s="42" t="n">
        <f aca="false">-($D$126+$J$126)*(AM$5=0)+IF(AND(AM$5-$K$126&gt;=1,AM$5-$K$126&lt;=Inputs!$C$13),INDEX($N$129:$AL$129,1,AM$5-$K$126+1)*INDEX($N$130:$AL$130,1,AM$5-$K$126+1),0)-$I$126*((AM$5=Inputs!$C$12)*$C$128*$D$126+(AM$5=Inputs!$C$13)*$D$128*($D$126+Inputs!$C$14))+$I$126*((AM$5=Inputs!$C$15+$K$126)*$E$128*$I$128+(AM$5=Inputs!$C$16+$K$126)*$F$128*$J$128+(AM$5=Inputs!$C$17)*$G$128*$H$126*$H$128)</f>
        <v>310.649999999999</v>
      </c>
      <c r="AN131" s="42" t="n">
        <f aca="false">-($D$126+$J$126)*(AN$5=0)+IF(AND(AN$5-$K$126&gt;=1,AN$5-$K$126&lt;=Inputs!$C$13),INDEX($N$129:$AL$129,1,AN$5-$K$126+1)*INDEX($N$130:$AL$130,1,AN$5-$K$126+1),0)-$I$126*((AN$5=Inputs!$C$12)*$C$128*$D$126+(AN$5=Inputs!$C$13)*$D$128*($D$126+Inputs!$C$14))+$I$126*((AN$5=Inputs!$C$15+$K$126)*$E$128*$I$128+(AN$5=Inputs!$C$16+$K$126)*$F$128*$J$128+(AN$5=Inputs!$C$17)*$G$128*$H$126*$H$128)</f>
        <v>0</v>
      </c>
      <c r="AO131" s="42" t="n">
        <f aca="false">-($D$126+$J$126)*(AO$5=0)+IF(AND(AO$5-$K$126&gt;=1,AO$5-$K$126&lt;=Inputs!$C$13),INDEX($N$129:$AL$129,1,AO$5-$K$126+1)*INDEX($N$130:$AL$130,1,AO$5-$K$126+1),0)-$I$126*((AO$5=Inputs!$C$12)*$C$128*$D$126+(AO$5=Inputs!$C$13)*$D$128*($D$126+Inputs!$C$14))+$I$126*((AO$5=Inputs!$C$15+$K$126)*$E$128*$I$128+(AO$5=Inputs!$C$16+$K$126)*$F$128*$J$128+(AO$5=Inputs!$C$17)*$G$128*$H$126*$H$128)</f>
        <v>0</v>
      </c>
      <c r="AP131" s="42" t="n">
        <f aca="false">-($D$126+$J$126)*(AP$5=0)+IF(AND(AP$5-$K$126&gt;=1,AP$5-$K$126&lt;=Inputs!$C$13),INDEX($N$129:$AL$129,1,AP$5-$K$126+1)*INDEX($N$130:$AL$130,1,AP$5-$K$126+1),0)-$I$126*((AP$5=Inputs!$C$12)*$C$128*$D$126+(AP$5=Inputs!$C$13)*$D$128*($D$126+Inputs!$C$14))+$I$126*((AP$5=Inputs!$C$15+$K$126)*$E$128*$I$128+(AP$5=Inputs!$C$16+$K$126)*$F$128*$J$128+(AP$5=Inputs!$C$17)*$G$128*$H$126*$H$128)</f>
        <v>1971.9</v>
      </c>
      <c r="AQ131" s="42" t="n">
        <f aca="false">-($D$126+$J$126)*(AQ$5=0)+IF(AND(AQ$5-$K$126&gt;=1,AQ$5-$K$126&lt;=Inputs!$C$13),INDEX($N$129:$AL$129,1,AQ$5-$K$126+1)*INDEX($N$130:$AL$130,1,AQ$5-$K$126+1),0)-$I$126*((AQ$5=Inputs!$C$12)*$C$128*$D$126+(AQ$5=Inputs!$C$13)*$D$128*($D$126+Inputs!$C$14))+$I$126*((AQ$5=Inputs!$C$15+$K$126)*$E$128*$I$128+(AQ$5=Inputs!$C$16+$K$126)*$F$128*$J$128+(AQ$5=Inputs!$C$17)*$G$128*$H$126*$H$128)</f>
        <v>0</v>
      </c>
      <c r="AR131" s="42" t="n">
        <f aca="false">-($D$126+$J$126)*(AR$5=0)+IF(AND(AR$5-$K$126&gt;=1,AR$5-$K$126&lt;=Inputs!$C$13),INDEX($N$129:$AL$129,1,AR$5-$K$126+1)*INDEX($N$130:$AL$130,1,AR$5-$K$126+1),0)-$I$126*((AR$5=Inputs!$C$12)*$C$128*$D$126+(AR$5=Inputs!$C$13)*$D$128*($D$126+Inputs!$C$14))+$I$126*((AR$5=Inputs!$C$15+$K$126)*$E$128*$I$128+(AR$5=Inputs!$C$16+$K$126)*$F$128*$J$128+(AR$5=Inputs!$C$17)*$G$128*$H$126*$H$128)</f>
        <v>0</v>
      </c>
      <c r="AS131" s="42" t="n">
        <f aca="false">-($D$126+$J$126)*(AS$5=0)+IF(AND(AS$5-$K$126&gt;=1,AS$5-$K$126&lt;=Inputs!$C$13),INDEX($N$129:$AL$129,1,AS$5-$K$126+1)*INDEX($N$130:$AL$130,1,AS$5-$K$126+1),0)-$I$126*((AS$5=Inputs!$C$12)*$C$128*$D$126+(AS$5=Inputs!$C$13)*$D$128*($D$126+Inputs!$C$14))+$I$126*((AS$5=Inputs!$C$15+$K$126)*$E$128*$I$128+(AS$5=Inputs!$C$16+$K$126)*$F$128*$J$128+(AS$5=Inputs!$C$17)*$G$128*$H$126*$H$128)</f>
        <v>1079.04</v>
      </c>
      <c r="AT131" s="42" t="n">
        <f aca="false">-($D$126+$J$126)*(AT$5=0)+IF(AND(AT$5-$K$126&gt;=1,AT$5-$K$126&lt;=Inputs!$C$13),INDEX($N$129:$AL$129,1,AT$5-$K$126+1)*INDEX($N$130:$AL$130,1,AT$5-$K$126+1),0)-$I$126*((AT$5=Inputs!$C$12)*$C$128*$D$126+(AT$5=Inputs!$C$13)*$D$128*($D$126+Inputs!$C$14))+$I$126*((AT$5=Inputs!$C$15+$K$126)*$E$128*$I$128+(AT$5=Inputs!$C$16+$K$126)*$F$128*$J$128+(AT$5=Inputs!$C$17)*$G$128*$H$126*$H$128)</f>
        <v>0</v>
      </c>
      <c r="AU131" s="42" t="n">
        <f aca="false">-($D$126+$J$126)*(AU$5=0)+IF(AND(AU$5-$K$126&gt;=1,AU$5-$K$126&lt;=Inputs!$C$13),INDEX($N$129:$AL$129,1,AU$5-$K$126+1)*INDEX($N$130:$AL$130,1,AU$5-$K$126+1),0)-$I$126*((AU$5=Inputs!$C$12)*$C$128*$D$126+(AU$5=Inputs!$C$13)*$D$128*($D$126+Inputs!$C$14))+$I$126*((AU$5=Inputs!$C$15+$K$126)*$E$128*$I$128+(AU$5=Inputs!$C$16+$K$126)*$F$128*$J$128+(AU$5=Inputs!$C$17)*$G$128*$H$126*$H$128)</f>
        <v>0</v>
      </c>
      <c r="AV131" s="42" t="n">
        <f aca="false">-($D$126+$J$126)*(AV$5=0)+IF(AND(AV$5-$K$126&gt;=1,AV$5-$K$126&lt;=Inputs!$C$13),INDEX($N$129:$AL$129,1,AV$5-$K$126+1)*INDEX($N$130:$AL$130,1,AV$5-$K$126+1),0)-$I$126*((AV$5=Inputs!$C$12)*$C$128*$D$126+(AV$5=Inputs!$C$13)*$D$128*($D$126+Inputs!$C$14))+$I$126*((AV$5=Inputs!$C$15+$K$126)*$E$128*$I$128+(AV$5=Inputs!$C$16+$K$126)*$F$128*$J$128+(AV$5=Inputs!$C$17)*$G$128*$H$126*$H$128)</f>
        <v>0</v>
      </c>
      <c r="AW131" s="42" t="n">
        <f aca="false">-($D$126+$J$126)*(AW$5=0)+IF(AND(AW$5-$K$126&gt;=1,AW$5-$K$126&lt;=Inputs!$C$13),INDEX($N$129:$AL$129,1,AW$5-$K$126+1)*INDEX($N$130:$AL$130,1,AW$5-$K$126+1),0)-$I$126*((AW$5=Inputs!$C$12)*$C$128*$D$126+(AW$5=Inputs!$C$13)*$D$128*($D$126+Inputs!$C$14))+$I$126*((AW$5=Inputs!$C$15+$K$126)*$E$128*$I$128+(AW$5=Inputs!$C$16+$K$126)*$F$128*$J$128+(AW$5=Inputs!$C$17)*$G$128*$H$126*$H$128)</f>
        <v>0</v>
      </c>
      <c r="AX131" s="42" t="n">
        <f aca="false">-($D$126+$J$126)*(AX$5=0)+IF(AND(AX$5-$K$126&gt;=1,AX$5-$K$126&lt;=Inputs!$C$13),INDEX($N$129:$AL$129,1,AX$5-$K$126+1)*INDEX($N$130:$AL$130,1,AX$5-$K$126+1),0)-$I$126*((AX$5=Inputs!$C$12)*$C$128*$D$126+(AX$5=Inputs!$C$13)*$D$128*($D$126+Inputs!$C$14))+$I$126*((AX$5=Inputs!$C$15+$K$126)*$E$128*$I$128+(AX$5=Inputs!$C$16+$K$126)*$F$128*$J$128+(AX$5=Inputs!$C$17)*$G$128*$H$126*$H$128)</f>
        <v>218.16</v>
      </c>
      <c r="AY131" s="42" t="n">
        <f aca="false">-($D$126+$J$126)*(AY$5=0)+IF(AND(AY$5-$K$126&gt;=1,AY$5-$K$126&lt;=Inputs!$C$13),INDEX($N$129:$AL$129,1,AY$5-$K$126+1)*INDEX($N$130:$AL$130,1,AY$5-$K$126+1),0)-$I$126*((AY$5=Inputs!$C$12)*$C$128*$D$126+(AY$5=Inputs!$C$13)*$D$128*($D$126+Inputs!$C$14))+$I$126*((AY$5=Inputs!$C$15+$K$126)*$E$128*$I$128+(AY$5=Inputs!$C$16+$K$126)*$F$128*$J$128+(AY$5=Inputs!$C$17)*$G$128*$H$126*$H$128)</f>
        <v>0</v>
      </c>
    </row>
    <row r="133" customFormat="false" ht="15" hidden="false" customHeight="false" outlineLevel="0" collapsed="false">
      <c r="B133" s="7" t="s">
        <v>237</v>
      </c>
      <c r="C133" s="8"/>
      <c r="D133" s="8"/>
      <c r="E133" s="8"/>
      <c r="F133" s="8"/>
      <c r="G133" s="8"/>
      <c r="H133" s="8"/>
      <c r="I133" s="8"/>
      <c r="J133" s="8"/>
      <c r="K133" s="8"/>
      <c r="L133" s="8"/>
    </row>
    <row r="134" customFormat="false" ht="30" hidden="false" customHeight="true" outlineLevel="0" collapsed="false">
      <c r="B134" s="37"/>
      <c r="C134" s="38" t="s">
        <v>169</v>
      </c>
      <c r="D134" s="38" t="s">
        <v>170</v>
      </c>
      <c r="E134" s="38" t="s">
        <v>171</v>
      </c>
      <c r="F134" s="38" t="s">
        <v>43</v>
      </c>
      <c r="G134" s="38" t="s">
        <v>44</v>
      </c>
      <c r="H134" s="38" t="s">
        <v>45</v>
      </c>
      <c r="I134" s="38" t="s">
        <v>172</v>
      </c>
      <c r="J134" s="38" t="s">
        <v>90</v>
      </c>
      <c r="K134" s="38" t="s">
        <v>89</v>
      </c>
      <c r="L134" s="38" t="s">
        <v>173</v>
      </c>
    </row>
    <row r="135" customFormat="false" ht="15" hidden="false" customHeight="false" outlineLevel="0" collapsed="false">
      <c r="B135" s="39" t="s">
        <v>174</v>
      </c>
      <c r="C135" s="10" t="n">
        <v>0.0925</v>
      </c>
      <c r="D135" s="30" t="n">
        <f aca="false">Inputs!$E$26</f>
        <v>1600</v>
      </c>
      <c r="E135" s="26" t="n">
        <f aca="false">Inputs!$F$26</f>
        <v>0.8</v>
      </c>
      <c r="F135" s="25" t="n">
        <f aca="false">Inputs!$G$26</f>
        <v>0.4</v>
      </c>
      <c r="G135" s="25" t="n">
        <f aca="false">Inputs!$H$26</f>
        <v>0.5</v>
      </c>
      <c r="H135" s="25" t="n">
        <f aca="false">Inputs!$I$26</f>
        <v>0.7</v>
      </c>
      <c r="I135" s="22" t="n">
        <f aca="false">Inputs!$J$26</f>
        <v>1</v>
      </c>
      <c r="J135" s="23" t="n">
        <f aca="false">Inputs!$C$9</f>
        <v>10</v>
      </c>
      <c r="K135" s="22" t="n">
        <f aca="false">Inputs!$C$10</f>
        <v>1</v>
      </c>
      <c r="L135" s="22" t="n">
        <f aca="false">1</f>
        <v>1</v>
      </c>
    </row>
    <row r="136" customFormat="false" ht="30" hidden="false" customHeight="true" outlineLevel="0" collapsed="false">
      <c r="B136" s="37"/>
      <c r="C136" s="38" t="s">
        <v>175</v>
      </c>
      <c r="D136" s="38" t="s">
        <v>176</v>
      </c>
      <c r="E136" s="38" t="s">
        <v>177</v>
      </c>
      <c r="F136" s="38" t="s">
        <v>178</v>
      </c>
      <c r="G136" s="38" t="s">
        <v>112</v>
      </c>
      <c r="H136" s="38" t="s">
        <v>179</v>
      </c>
      <c r="I136" s="38" t="s">
        <v>180</v>
      </c>
      <c r="J136" s="38" t="s">
        <v>181</v>
      </c>
      <c r="K136" s="38" t="s">
        <v>182</v>
      </c>
      <c r="L136" s="38" t="s">
        <v>183</v>
      </c>
    </row>
    <row r="137" customFormat="false" ht="15" hidden="false" customHeight="false" outlineLevel="0" collapsed="false">
      <c r="B137" s="39" t="s">
        <v>184</v>
      </c>
      <c r="C137" s="40" t="n">
        <f aca="false">1-$E$135*CHOOSE($L$135,INDEX(Timing!$C$7:$AA$7,1,Inputs!$C$12+1),INDEX(Timing!$C$8:$AA$8,1,Inputs!$C$12+1))</f>
        <v>0.392</v>
      </c>
      <c r="D137" s="40" t="n">
        <f aca="false">1-$E$135*CHOOSE($L$135,INDEX(Timing!$C$7:$AA$7,1,Inputs!$C$13+1),INDEX(Timing!$C$8:$AA$8,1,Inputs!$C$13+1))</f>
        <v>0.2</v>
      </c>
      <c r="E137" s="40" t="n">
        <f aca="false">$I$135*$D$137*$F$135</f>
        <v>0.08</v>
      </c>
      <c r="F137" s="40" t="n">
        <f aca="false">$I$135*($D$137-$E$137)*$G$135</f>
        <v>0.06</v>
      </c>
      <c r="G137" s="40" t="n">
        <f aca="false">$I$135*($D$137-$E$137-$F$137)</f>
        <v>0.06</v>
      </c>
      <c r="H137" s="23" t="n">
        <f aca="false">$I$135*(3*$D$135+Inputs!$C$14)</f>
        <v>6600</v>
      </c>
      <c r="I137" s="23" t="n">
        <f aca="false">$I$135*($D$135*(1+IF($C$135&lt;=0,0,MAX($C$135*Inputs!$C$15/12,Inputs!$C$8)))+$D$135*(1+Inputs!$C$11*(Inputs!$C$15-Inputs!$C$12)/12)+$D$135*(1+Inputs!$C$11*(Inputs!$C$15-Inputs!$C$13)/12)+Inputs!$C$14)</f>
        <v>7365</v>
      </c>
      <c r="J137" s="23" t="n">
        <f aca="false">$I$135*($D$135*(1+IF($C$135&lt;=0,0,MAX($C$135*Inputs!$C$16/12,Inputs!$C$8)))+$D$135*(1+Inputs!$C$11*(Inputs!$C$16-Inputs!$C$12)/12)+$D$135*(1+Inputs!$C$11*(Inputs!$C$16-Inputs!$C$13)/12)+Inputs!$C$14)</f>
        <v>7546</v>
      </c>
      <c r="K137" s="40" t="n">
        <f aca="false">IRR($N$140:$AY$140,0.005)</f>
        <v>0.00335253469540912</v>
      </c>
      <c r="L137" s="41" t="n">
        <f aca="false">(1+$K$137)^12-1</f>
        <v>0.0409805752502275</v>
      </c>
    </row>
    <row r="138" customFormat="false" ht="15" hidden="false" customHeight="false" outlineLevel="0" collapsed="false">
      <c r="B138" s="9" t="s">
        <v>185</v>
      </c>
      <c r="N138" s="40" t="n">
        <f aca="false">0</f>
        <v>0</v>
      </c>
      <c r="O138" s="40" t="n">
        <f aca="false">$E$135*(CHOOSE($L$135,Timing!D$7,Timing!D$8)-CHOOSE($L$135,Timing!C$7,Timing!C$8))</f>
        <v>0.096</v>
      </c>
      <c r="P138" s="40" t="n">
        <f aca="false">$E$135*(CHOOSE($L$135,Timing!E$7,Timing!E$8)-CHOOSE($L$135,Timing!D$7,Timing!D$8))</f>
        <v>0.08</v>
      </c>
      <c r="Q138" s="40" t="n">
        <f aca="false">$E$135*(CHOOSE($L$135,Timing!F$7,Timing!F$8)-CHOOSE($L$135,Timing!E$7,Timing!E$8))</f>
        <v>0.072</v>
      </c>
      <c r="R138" s="40" t="n">
        <f aca="false">$E$135*(CHOOSE($L$135,Timing!G$7,Timing!G$8)-CHOOSE($L$135,Timing!F$7,Timing!F$8))</f>
        <v>0.056</v>
      </c>
      <c r="S138" s="40" t="n">
        <f aca="false">$E$135*(CHOOSE($L$135,Timing!H$7,Timing!H$8)-CHOOSE($L$135,Timing!G$7,Timing!G$8))</f>
        <v>0.056</v>
      </c>
      <c r="T138" s="40" t="n">
        <f aca="false">$E$135*(CHOOSE($L$135,Timing!I$7,Timing!I$8)-CHOOSE($L$135,Timing!H$7,Timing!H$8))</f>
        <v>0.056</v>
      </c>
      <c r="U138" s="40" t="n">
        <f aca="false">$E$135*(CHOOSE($L$135,Timing!J$7,Timing!J$8)-CHOOSE($L$135,Timing!I$7,Timing!I$8))</f>
        <v>0.0346666666666667</v>
      </c>
      <c r="V138" s="40" t="n">
        <f aca="false">$E$135*(CHOOSE($L$135,Timing!K$7,Timing!K$8)-CHOOSE($L$135,Timing!J$7,Timing!J$8))</f>
        <v>0.0346666666666667</v>
      </c>
      <c r="W138" s="40" t="n">
        <f aca="false">$E$135*(CHOOSE($L$135,Timing!L$7,Timing!L$8)-CHOOSE($L$135,Timing!K$7,Timing!K$8))</f>
        <v>0.0346666666666667</v>
      </c>
      <c r="X138" s="40" t="n">
        <f aca="false">$E$135*(CHOOSE($L$135,Timing!M$7,Timing!M$8)-CHOOSE($L$135,Timing!L$7,Timing!L$8))</f>
        <v>0.0293333333333333</v>
      </c>
      <c r="Y138" s="40" t="n">
        <f aca="false">$E$135*(CHOOSE($L$135,Timing!N$7,Timing!N$8)-CHOOSE($L$135,Timing!M$7,Timing!M$8))</f>
        <v>0.0293333333333334</v>
      </c>
      <c r="Z138" s="40" t="n">
        <f aca="false">$E$135*(CHOOSE($L$135,Timing!O$7,Timing!O$8)-CHOOSE($L$135,Timing!N$7,Timing!N$8))</f>
        <v>0.0293333333333333</v>
      </c>
      <c r="AA138" s="40" t="n">
        <f aca="false">$E$135*(CHOOSE($L$135,Timing!P$7,Timing!P$8)-CHOOSE($L$135,Timing!O$7,Timing!O$8))</f>
        <v>0.0186666666666667</v>
      </c>
      <c r="AB138" s="40" t="n">
        <f aca="false">$E$135*(CHOOSE($L$135,Timing!Q$7,Timing!Q$8)-CHOOSE($L$135,Timing!P$7,Timing!P$8))</f>
        <v>0.0186666666666667</v>
      </c>
      <c r="AC138" s="40" t="n">
        <f aca="false">$E$135*(CHOOSE($L$135,Timing!R$7,Timing!R$8)-CHOOSE($L$135,Timing!Q$7,Timing!Q$8))</f>
        <v>0.0186666666666667</v>
      </c>
      <c r="AD138" s="40" t="n">
        <f aca="false">$E$135*(CHOOSE($L$135,Timing!S$7,Timing!S$8)-CHOOSE($L$135,Timing!R$7,Timing!R$8))</f>
        <v>0.0186666666666667</v>
      </c>
      <c r="AE138" s="40" t="n">
        <f aca="false">$E$135*(CHOOSE($L$135,Timing!T$7,Timing!T$8)-CHOOSE($L$135,Timing!S$7,Timing!S$8))</f>
        <v>0.0186666666666667</v>
      </c>
      <c r="AF138" s="40" t="n">
        <f aca="false">$E$135*(CHOOSE($L$135,Timing!U$7,Timing!U$8)-CHOOSE($L$135,Timing!T$7,Timing!T$8))</f>
        <v>0.0186666666666667</v>
      </c>
      <c r="AG138" s="40" t="n">
        <f aca="false">$E$135*(CHOOSE($L$135,Timing!V$7,Timing!V$8)-CHOOSE($L$135,Timing!U$7,Timing!U$8))</f>
        <v>0.0133333333333334</v>
      </c>
      <c r="AH138" s="40" t="n">
        <f aca="false">$E$135*(CHOOSE($L$135,Timing!W$7,Timing!W$8)-CHOOSE($L$135,Timing!V$7,Timing!V$8))</f>
        <v>0.0133333333333333</v>
      </c>
      <c r="AI138" s="40" t="n">
        <f aca="false">$E$135*(CHOOSE($L$135,Timing!X$7,Timing!X$8)-CHOOSE($L$135,Timing!W$7,Timing!W$8))</f>
        <v>0.0133333333333333</v>
      </c>
      <c r="AJ138" s="40" t="n">
        <f aca="false">$E$135*(CHOOSE($L$135,Timing!Y$7,Timing!Y$8)-CHOOSE($L$135,Timing!X$7,Timing!X$8))</f>
        <v>0.0133333333333334</v>
      </c>
      <c r="AK138" s="40" t="n">
        <f aca="false">$E$135*(CHOOSE($L$135,Timing!Z$7,Timing!Z$8)-CHOOSE($L$135,Timing!Y$7,Timing!Y$8))</f>
        <v>0.0133333333333334</v>
      </c>
      <c r="AL138" s="40" t="n">
        <f aca="false">$E$135*(CHOOSE($L$135,Timing!AA$7,Timing!AA$8)-CHOOSE($L$135,Timing!Z$7,Timing!Z$8))</f>
        <v>0.0133333333333333</v>
      </c>
    </row>
    <row r="139" customFormat="false" ht="15" hidden="false" customHeight="false" outlineLevel="0" collapsed="false">
      <c r="B139" s="9" t="s">
        <v>186</v>
      </c>
      <c r="N139" s="42" t="n">
        <f aca="false">0</f>
        <v>0</v>
      </c>
      <c r="O139" s="42" t="n">
        <f aca="false">$D$135*(1+IF($C$135&lt;=0,0,MAX($C$135*O$5/12,Inputs!$C$8)))+$I$135*(O$5&gt;Inputs!$C$12)*$D$135*(1+Inputs!$C$11*(O$5-Inputs!$C$12)/12)</f>
        <v>1680</v>
      </c>
      <c r="P139" s="42" t="n">
        <f aca="false">$D$135*(1+IF($C$135&lt;=0,0,MAX($C$135*P$5/12,Inputs!$C$8)))+$I$135*(P$5&gt;Inputs!$C$12)*$D$135*(1+Inputs!$C$11*(P$5-Inputs!$C$12)/12)</f>
        <v>1680</v>
      </c>
      <c r="Q139" s="42" t="n">
        <f aca="false">$D$135*(1+IF($C$135&lt;=0,0,MAX($C$135*Q$5/12,Inputs!$C$8)))+$I$135*(Q$5&gt;Inputs!$C$12)*$D$135*(1+Inputs!$C$11*(Q$5-Inputs!$C$12)/12)</f>
        <v>1680</v>
      </c>
      <c r="R139" s="42" t="n">
        <f aca="false">$D$135*(1+IF($C$135&lt;=0,0,MAX($C$135*R$5/12,Inputs!$C$8)))+$I$135*(R$5&gt;Inputs!$C$12)*$D$135*(1+Inputs!$C$11*(R$5-Inputs!$C$12)/12)</f>
        <v>1680</v>
      </c>
      <c r="S139" s="42" t="n">
        <f aca="false">$D$135*(1+IF($C$135&lt;=0,0,MAX($C$135*S$5/12,Inputs!$C$8)))+$I$135*(S$5&gt;Inputs!$C$12)*$D$135*(1+Inputs!$C$11*(S$5-Inputs!$C$12)/12)</f>
        <v>1680</v>
      </c>
      <c r="T139" s="42" t="n">
        <f aca="false">$D$135*(1+IF($C$135&lt;=0,0,MAX($C$135*T$5/12,Inputs!$C$8)))+$I$135*(T$5&gt;Inputs!$C$12)*$D$135*(1+Inputs!$C$11*(T$5-Inputs!$C$12)/12)</f>
        <v>1680</v>
      </c>
      <c r="U139" s="42" t="n">
        <f aca="false">$D$135*(1+IF($C$135&lt;=0,0,MAX($C$135*U$5/12,Inputs!$C$8)))+$I$135*(U$5&gt;Inputs!$C$12)*$D$135*(1+Inputs!$C$11*(U$5-Inputs!$C$12)/12)</f>
        <v>1686.33333333333</v>
      </c>
      <c r="V139" s="42" t="n">
        <f aca="false">$D$135*(1+IF($C$135&lt;=0,0,MAX($C$135*V$5/12,Inputs!$C$8)))+$I$135*(V$5&gt;Inputs!$C$12)*$D$135*(1+Inputs!$C$11*(V$5-Inputs!$C$12)/12)</f>
        <v>1698.66666666667</v>
      </c>
      <c r="W139" s="42" t="n">
        <f aca="false">$D$135*(1+IF($C$135&lt;=0,0,MAX($C$135*W$5/12,Inputs!$C$8)))+$I$135*(W$5&gt;Inputs!$C$12)*$D$135*(1+Inputs!$C$11*(W$5-Inputs!$C$12)/12)</f>
        <v>1711</v>
      </c>
      <c r="X139" s="42" t="n">
        <f aca="false">$D$135*(1+IF($C$135&lt;=0,0,MAX($C$135*X$5/12,Inputs!$C$8)))+$I$135*(X$5&gt;Inputs!$C$12)*$D$135*(1+Inputs!$C$11*(X$5-Inputs!$C$12)/12)</f>
        <v>1723.33333333333</v>
      </c>
      <c r="Y139" s="42" t="n">
        <f aca="false">$D$135*(1+IF($C$135&lt;=0,0,MAX($C$135*Y$5/12,Inputs!$C$8)))+$I$135*(Y$5&gt;Inputs!$C$12)*$D$135*(1+Inputs!$C$11*(Y$5-Inputs!$C$12)/12)</f>
        <v>1735.66666666667</v>
      </c>
      <c r="Z139" s="42" t="n">
        <f aca="false">$D$135*(1+IF($C$135&lt;=0,0,MAX($C$135*Z$5/12,Inputs!$C$8)))+$I$135*(Z$5&gt;Inputs!$C$12)*$D$135*(1+Inputs!$C$11*(Z$5-Inputs!$C$12)/12)</f>
        <v>1748</v>
      </c>
      <c r="AA139" s="42" t="n">
        <f aca="false">$D$135*(1+IF($C$135&lt;=0,0,MAX($C$135*AA$5/12,Inputs!$C$8)))+$I$135*(AA$5&gt;Inputs!$C$12)*$D$135*(1+Inputs!$C$11*(AA$5-Inputs!$C$12)/12)</f>
        <v>3384.33333333333</v>
      </c>
      <c r="AB139" s="42" t="n">
        <f aca="false">$D$135*(1+IF($C$135&lt;=0,0,MAX($C$135*AB$5/12,Inputs!$C$8)))+$I$135*(AB$5&gt;Inputs!$C$12)*$D$135*(1+Inputs!$C$11*(AB$5-Inputs!$C$12)/12)</f>
        <v>3420.66666666667</v>
      </c>
      <c r="AC139" s="42" t="n">
        <f aca="false">$D$135*(1+IF($C$135&lt;=0,0,MAX($C$135*AC$5/12,Inputs!$C$8)))+$I$135*(AC$5&gt;Inputs!$C$12)*$D$135*(1+Inputs!$C$11*(AC$5-Inputs!$C$12)/12)</f>
        <v>3457</v>
      </c>
      <c r="AD139" s="42" t="n">
        <f aca="false">$D$135*(1+IF($C$135&lt;=0,0,MAX($C$135*AD$5/12,Inputs!$C$8)))+$I$135*(AD$5&gt;Inputs!$C$12)*$D$135*(1+Inputs!$C$11*(AD$5-Inputs!$C$12)/12)</f>
        <v>3493.33333333333</v>
      </c>
      <c r="AE139" s="42" t="n">
        <f aca="false">$D$135*(1+IF($C$135&lt;=0,0,MAX($C$135*AE$5/12,Inputs!$C$8)))+$I$135*(AE$5&gt;Inputs!$C$12)*$D$135*(1+Inputs!$C$11*(AE$5-Inputs!$C$12)/12)</f>
        <v>3529.66666666667</v>
      </c>
      <c r="AF139" s="42" t="n">
        <f aca="false">$D$135*(1+IF($C$135&lt;=0,0,MAX($C$135*AF$5/12,Inputs!$C$8)))+$I$135*(AF$5&gt;Inputs!$C$12)*$D$135*(1+Inputs!$C$11*(AF$5-Inputs!$C$12)/12)</f>
        <v>3566</v>
      </c>
      <c r="AG139" s="42" t="n">
        <f aca="false">$D$135*(1+IF($C$135&lt;=0,0,MAX($C$135*AG$5/12,Inputs!$C$8)))+$I$135*(AG$5&gt;Inputs!$C$12)*$D$135*(1+Inputs!$C$11*(AG$5-Inputs!$C$12)/12)</f>
        <v>3602.33333333333</v>
      </c>
      <c r="AH139" s="42" t="n">
        <f aca="false">$D$135*(1+IF($C$135&lt;=0,0,MAX($C$135*AH$5/12,Inputs!$C$8)))+$I$135*(AH$5&gt;Inputs!$C$12)*$D$135*(1+Inputs!$C$11*(AH$5-Inputs!$C$12)/12)</f>
        <v>3638.66666666667</v>
      </c>
      <c r="AI139" s="42" t="n">
        <f aca="false">$D$135*(1+IF($C$135&lt;=0,0,MAX($C$135*AI$5/12,Inputs!$C$8)))+$I$135*(AI$5&gt;Inputs!$C$12)*$D$135*(1+Inputs!$C$11*(AI$5-Inputs!$C$12)/12)</f>
        <v>3675</v>
      </c>
      <c r="AJ139" s="42" t="n">
        <f aca="false">$D$135*(1+IF($C$135&lt;=0,0,MAX($C$135*AJ$5/12,Inputs!$C$8)))+$I$135*(AJ$5&gt;Inputs!$C$12)*$D$135*(1+Inputs!$C$11*(AJ$5-Inputs!$C$12)/12)</f>
        <v>3711.33333333333</v>
      </c>
      <c r="AK139" s="42" t="n">
        <f aca="false">$D$135*(1+IF($C$135&lt;=0,0,MAX($C$135*AK$5/12,Inputs!$C$8)))+$I$135*(AK$5&gt;Inputs!$C$12)*$D$135*(1+Inputs!$C$11*(AK$5-Inputs!$C$12)/12)</f>
        <v>3747.66666666667</v>
      </c>
      <c r="AL139" s="42" t="n">
        <f aca="false">$D$135*(1+IF($C$135&lt;=0,0,MAX($C$135*AL$5/12,Inputs!$C$8)))+$I$135*(AL$5&gt;Inputs!$C$12)*$D$135*(1+Inputs!$C$11*(AL$5-Inputs!$C$12)/12)</f>
        <v>3784</v>
      </c>
    </row>
    <row r="140" customFormat="false" ht="15" hidden="false" customHeight="false" outlineLevel="0" collapsed="false">
      <c r="B140" s="31" t="s">
        <v>187</v>
      </c>
      <c r="N140" s="42" t="n">
        <f aca="false">-($D$135+$J$135)*(N$5=0)+IF(AND(N$5-$K$135&gt;=1,N$5-$K$135&lt;=Inputs!$C$13),INDEX($N$138:$AL$138,1,N$5-$K$135+1)*INDEX($N$139:$AL$139,1,N$5-$K$135+1),0)-$I$135*((N$5=Inputs!$C$12)*$C$137*$D$135+(N$5=Inputs!$C$13)*$D$137*($D$135+Inputs!$C$14))+$I$135*((N$5=Inputs!$C$15+$K$135)*$E$137*$I$137+(N$5=Inputs!$C$16+$K$135)*$F$137*$J$137+(N$5=Inputs!$C$17)*$G$137*$H$135*$H$137)</f>
        <v>-1610</v>
      </c>
      <c r="O140" s="42" t="n">
        <f aca="false">-($D$135+$J$135)*(O$5=0)+IF(AND(O$5-$K$135&gt;=1,O$5-$K$135&lt;=Inputs!$C$13),INDEX($N$138:$AL$138,1,O$5-$K$135+1)*INDEX($N$139:$AL$139,1,O$5-$K$135+1),0)-$I$135*((O$5=Inputs!$C$12)*$C$137*$D$135+(O$5=Inputs!$C$13)*$D$137*($D$135+Inputs!$C$14))+$I$135*((O$5=Inputs!$C$15+$K$135)*$E$137*$I$137+(O$5=Inputs!$C$16+$K$135)*$F$137*$J$137+(O$5=Inputs!$C$17)*$G$137*$H$135*$H$137)</f>
        <v>0</v>
      </c>
      <c r="P140" s="42" t="n">
        <f aca="false">-($D$135+$J$135)*(P$5=0)+IF(AND(P$5-$K$135&gt;=1,P$5-$K$135&lt;=Inputs!$C$13),INDEX($N$138:$AL$138,1,P$5-$K$135+1)*INDEX($N$139:$AL$139,1,P$5-$K$135+1),0)-$I$135*((P$5=Inputs!$C$12)*$C$137*$D$135+(P$5=Inputs!$C$13)*$D$137*($D$135+Inputs!$C$14))+$I$135*((P$5=Inputs!$C$15+$K$135)*$E$137*$I$137+(P$5=Inputs!$C$16+$K$135)*$F$137*$J$137+(P$5=Inputs!$C$17)*$G$137*$H$135*$H$137)</f>
        <v>161.28</v>
      </c>
      <c r="Q140" s="42" t="n">
        <f aca="false">-($D$135+$J$135)*(Q$5=0)+IF(AND(Q$5-$K$135&gt;=1,Q$5-$K$135&lt;=Inputs!$C$13),INDEX($N$138:$AL$138,1,Q$5-$K$135+1)*INDEX($N$139:$AL$139,1,Q$5-$K$135+1),0)-$I$135*((Q$5=Inputs!$C$12)*$C$137*$D$135+(Q$5=Inputs!$C$13)*$D$137*($D$135+Inputs!$C$14))+$I$135*((Q$5=Inputs!$C$15+$K$135)*$E$137*$I$137+(Q$5=Inputs!$C$16+$K$135)*$F$137*$J$137+(Q$5=Inputs!$C$17)*$G$137*$H$135*$H$137)</f>
        <v>134.4</v>
      </c>
      <c r="R140" s="42" t="n">
        <f aca="false">-($D$135+$J$135)*(R$5=0)+IF(AND(R$5-$K$135&gt;=1,R$5-$K$135&lt;=Inputs!$C$13),INDEX($N$138:$AL$138,1,R$5-$K$135+1)*INDEX($N$139:$AL$139,1,R$5-$K$135+1),0)-$I$135*((R$5=Inputs!$C$12)*$C$137*$D$135+(R$5=Inputs!$C$13)*$D$137*($D$135+Inputs!$C$14))+$I$135*((R$5=Inputs!$C$15+$K$135)*$E$137*$I$137+(R$5=Inputs!$C$16+$K$135)*$F$137*$J$137+(R$5=Inputs!$C$17)*$G$137*$H$135*$H$137)</f>
        <v>120.96</v>
      </c>
      <c r="S140" s="42" t="n">
        <f aca="false">-($D$135+$J$135)*(S$5=0)+IF(AND(S$5-$K$135&gt;=1,S$5-$K$135&lt;=Inputs!$C$13),INDEX($N$138:$AL$138,1,S$5-$K$135+1)*INDEX($N$139:$AL$139,1,S$5-$K$135+1),0)-$I$135*((S$5=Inputs!$C$12)*$C$137*$D$135+(S$5=Inputs!$C$13)*$D$137*($D$135+Inputs!$C$14))+$I$135*((S$5=Inputs!$C$15+$K$135)*$E$137*$I$137+(S$5=Inputs!$C$16+$K$135)*$F$137*$J$137+(S$5=Inputs!$C$17)*$G$137*$H$135*$H$137)</f>
        <v>94.08</v>
      </c>
      <c r="T140" s="42" t="n">
        <f aca="false">-($D$135+$J$135)*(T$5=0)+IF(AND(T$5-$K$135&gt;=1,T$5-$K$135&lt;=Inputs!$C$13),INDEX($N$138:$AL$138,1,T$5-$K$135+1)*INDEX($N$139:$AL$139,1,T$5-$K$135+1),0)-$I$135*((T$5=Inputs!$C$12)*$C$137*$D$135+(T$5=Inputs!$C$13)*$D$137*($D$135+Inputs!$C$14))+$I$135*((T$5=Inputs!$C$15+$K$135)*$E$137*$I$137+(T$5=Inputs!$C$16+$K$135)*$F$137*$J$137+(T$5=Inputs!$C$17)*$G$137*$H$135*$H$137)</f>
        <v>94.08</v>
      </c>
      <c r="U140" s="42" t="n">
        <f aca="false">-($D$135+$J$135)*(U$5=0)+IF(AND(U$5-$K$135&gt;=1,U$5-$K$135&lt;=Inputs!$C$13),INDEX($N$138:$AL$138,1,U$5-$K$135+1)*INDEX($N$139:$AL$139,1,U$5-$K$135+1),0)-$I$135*((U$5=Inputs!$C$12)*$C$137*$D$135+(U$5=Inputs!$C$13)*$D$137*($D$135+Inputs!$C$14))+$I$135*((U$5=Inputs!$C$15+$K$135)*$E$137*$I$137+(U$5=Inputs!$C$16+$K$135)*$F$137*$J$137+(U$5=Inputs!$C$17)*$G$137*$H$135*$H$137)</f>
        <v>94.08</v>
      </c>
      <c r="V140" s="42" t="n">
        <f aca="false">-($D$135+$J$135)*(V$5=0)+IF(AND(V$5-$K$135&gt;=1,V$5-$K$135&lt;=Inputs!$C$13),INDEX($N$138:$AL$138,1,V$5-$K$135+1)*INDEX($N$139:$AL$139,1,V$5-$K$135+1),0)-$I$135*((V$5=Inputs!$C$12)*$C$137*$D$135+(V$5=Inputs!$C$13)*$D$137*($D$135+Inputs!$C$14))+$I$135*((V$5=Inputs!$C$15+$K$135)*$E$137*$I$137+(V$5=Inputs!$C$16+$K$135)*$F$137*$J$137+(V$5=Inputs!$C$17)*$G$137*$H$135*$H$137)</f>
        <v>58.4595555555556</v>
      </c>
      <c r="W140" s="42" t="n">
        <f aca="false">-($D$135+$J$135)*(W$5=0)+IF(AND(W$5-$K$135&gt;=1,W$5-$K$135&lt;=Inputs!$C$13),INDEX($N$138:$AL$138,1,W$5-$K$135+1)*INDEX($N$139:$AL$139,1,W$5-$K$135+1),0)-$I$135*((W$5=Inputs!$C$12)*$C$137*$D$135+(W$5=Inputs!$C$13)*$D$137*($D$135+Inputs!$C$14))+$I$135*((W$5=Inputs!$C$15+$K$135)*$E$137*$I$137+(W$5=Inputs!$C$16+$K$135)*$F$137*$J$137+(W$5=Inputs!$C$17)*$G$137*$H$135*$H$137)</f>
        <v>58.8871111111111</v>
      </c>
      <c r="X140" s="42" t="n">
        <f aca="false">-($D$135+$J$135)*(X$5=0)+IF(AND(X$5-$K$135&gt;=1,X$5-$K$135&lt;=Inputs!$C$13),INDEX($N$138:$AL$138,1,X$5-$K$135+1)*INDEX($N$139:$AL$139,1,X$5-$K$135+1),0)-$I$135*((X$5=Inputs!$C$12)*$C$137*$D$135+(X$5=Inputs!$C$13)*$D$137*($D$135+Inputs!$C$14))+$I$135*((X$5=Inputs!$C$15+$K$135)*$E$137*$I$137+(X$5=Inputs!$C$16+$K$135)*$F$137*$J$137+(X$5=Inputs!$C$17)*$G$137*$H$135*$H$137)</f>
        <v>59.3146666666667</v>
      </c>
      <c r="Y140" s="42" t="n">
        <f aca="false">-($D$135+$J$135)*(Y$5=0)+IF(AND(Y$5-$K$135&gt;=1,Y$5-$K$135&lt;=Inputs!$C$13),INDEX($N$138:$AL$138,1,Y$5-$K$135+1)*INDEX($N$139:$AL$139,1,Y$5-$K$135+1),0)-$I$135*((Y$5=Inputs!$C$12)*$C$137*$D$135+(Y$5=Inputs!$C$13)*$D$137*($D$135+Inputs!$C$14))+$I$135*((Y$5=Inputs!$C$15+$K$135)*$E$137*$I$137+(Y$5=Inputs!$C$16+$K$135)*$F$137*$J$137+(Y$5=Inputs!$C$17)*$G$137*$H$135*$H$137)</f>
        <v>50.5511111111111</v>
      </c>
      <c r="Z140" s="42" t="n">
        <f aca="false">-($D$135+$J$135)*(Z$5=0)+IF(AND(Z$5-$K$135&gt;=1,Z$5-$K$135&lt;=Inputs!$C$13),INDEX($N$138:$AL$138,1,Z$5-$K$135+1)*INDEX($N$139:$AL$139,1,Z$5-$K$135+1),0)-$I$135*((Z$5=Inputs!$C$12)*$C$137*$D$135+(Z$5=Inputs!$C$13)*$D$137*($D$135+Inputs!$C$14))+$I$135*((Z$5=Inputs!$C$15+$K$135)*$E$137*$I$137+(Z$5=Inputs!$C$16+$K$135)*$F$137*$J$137+(Z$5=Inputs!$C$17)*$G$137*$H$135*$H$137)</f>
        <v>-576.287111111111</v>
      </c>
      <c r="AA140" s="42" t="n">
        <f aca="false">-($D$135+$J$135)*(AA$5=0)+IF(AND(AA$5-$K$135&gt;=1,AA$5-$K$135&lt;=Inputs!$C$13),INDEX($N$138:$AL$138,1,AA$5-$K$135+1)*INDEX($N$139:$AL$139,1,AA$5-$K$135+1),0)-$I$135*((AA$5=Inputs!$C$12)*$C$137*$D$135+(AA$5=Inputs!$C$13)*$D$137*($D$135+Inputs!$C$14))+$I$135*((AA$5=Inputs!$C$15+$K$135)*$E$137*$I$137+(AA$5=Inputs!$C$16+$K$135)*$F$137*$J$137+(AA$5=Inputs!$C$17)*$G$137*$H$135*$H$137)</f>
        <v>51.2746666666666</v>
      </c>
      <c r="AB140" s="42" t="n">
        <f aca="false">-($D$135+$J$135)*(AB$5=0)+IF(AND(AB$5-$K$135&gt;=1,AB$5-$K$135&lt;=Inputs!$C$13),INDEX($N$138:$AL$138,1,AB$5-$K$135+1)*INDEX($N$139:$AL$139,1,AB$5-$K$135+1),0)-$I$135*((AB$5=Inputs!$C$12)*$C$137*$D$135+(AB$5=Inputs!$C$13)*$D$137*($D$135+Inputs!$C$14))+$I$135*((AB$5=Inputs!$C$15+$K$135)*$E$137*$I$137+(AB$5=Inputs!$C$16+$K$135)*$F$137*$J$137+(AB$5=Inputs!$C$17)*$G$137*$H$135*$H$137)</f>
        <v>63.1742222222222</v>
      </c>
      <c r="AC140" s="42" t="n">
        <f aca="false">-($D$135+$J$135)*(AC$5=0)+IF(AND(AC$5-$K$135&gt;=1,AC$5-$K$135&lt;=Inputs!$C$13),INDEX($N$138:$AL$138,1,AC$5-$K$135+1)*INDEX($N$139:$AL$139,1,AC$5-$K$135+1),0)-$I$135*((AC$5=Inputs!$C$12)*$C$137*$D$135+(AC$5=Inputs!$C$13)*$D$137*($D$135+Inputs!$C$14))+$I$135*((AC$5=Inputs!$C$15+$K$135)*$E$137*$I$137+(AC$5=Inputs!$C$16+$K$135)*$F$137*$J$137+(AC$5=Inputs!$C$17)*$G$137*$H$135*$H$137)</f>
        <v>63.8524444444444</v>
      </c>
      <c r="AD140" s="42" t="n">
        <f aca="false">-($D$135+$J$135)*(AD$5=0)+IF(AND(AD$5-$K$135&gt;=1,AD$5-$K$135&lt;=Inputs!$C$13),INDEX($N$138:$AL$138,1,AD$5-$K$135+1)*INDEX($N$139:$AL$139,1,AD$5-$K$135+1),0)-$I$135*((AD$5=Inputs!$C$12)*$C$137*$D$135+(AD$5=Inputs!$C$13)*$D$137*($D$135+Inputs!$C$14))+$I$135*((AD$5=Inputs!$C$15+$K$135)*$E$137*$I$137+(AD$5=Inputs!$C$16+$K$135)*$F$137*$J$137+(AD$5=Inputs!$C$17)*$G$137*$H$135*$H$137)</f>
        <v>64.5306666666669</v>
      </c>
      <c r="AE140" s="42" t="n">
        <f aca="false">-($D$135+$J$135)*(AE$5=0)+IF(AND(AE$5-$K$135&gt;=1,AE$5-$K$135&lt;=Inputs!$C$13),INDEX($N$138:$AL$138,1,AE$5-$K$135+1)*INDEX($N$139:$AL$139,1,AE$5-$K$135+1),0)-$I$135*((AE$5=Inputs!$C$12)*$C$137*$D$135+(AE$5=Inputs!$C$13)*$D$137*($D$135+Inputs!$C$14))+$I$135*((AE$5=Inputs!$C$15+$K$135)*$E$137*$I$137+(AE$5=Inputs!$C$16+$K$135)*$F$137*$J$137+(AE$5=Inputs!$C$17)*$G$137*$H$135*$H$137)</f>
        <v>65.2088888888888</v>
      </c>
      <c r="AF140" s="42" t="n">
        <f aca="false">-($D$135+$J$135)*(AF$5=0)+IF(AND(AF$5-$K$135&gt;=1,AF$5-$K$135&lt;=Inputs!$C$13),INDEX($N$138:$AL$138,1,AF$5-$K$135+1)*INDEX($N$139:$AL$139,1,AF$5-$K$135+1),0)-$I$135*((AF$5=Inputs!$C$12)*$C$137*$D$135+(AF$5=Inputs!$C$13)*$D$137*($D$135+Inputs!$C$14))+$I$135*((AF$5=Inputs!$C$15+$K$135)*$E$137*$I$137+(AF$5=Inputs!$C$16+$K$135)*$F$137*$J$137+(AF$5=Inputs!$C$17)*$G$137*$H$135*$H$137)</f>
        <v>65.8871111111111</v>
      </c>
      <c r="AG140" s="42" t="n">
        <f aca="false">-($D$135+$J$135)*(AG$5=0)+IF(AND(AG$5-$K$135&gt;=1,AG$5-$K$135&lt;=Inputs!$C$13),INDEX($N$138:$AL$138,1,AG$5-$K$135+1)*INDEX($N$139:$AL$139,1,AG$5-$K$135+1),0)-$I$135*((AG$5=Inputs!$C$12)*$C$137*$D$135+(AG$5=Inputs!$C$13)*$D$137*($D$135+Inputs!$C$14))+$I$135*((AG$5=Inputs!$C$15+$K$135)*$E$137*$I$137+(AG$5=Inputs!$C$16+$K$135)*$F$137*$J$137+(AG$5=Inputs!$C$17)*$G$137*$H$135*$H$137)</f>
        <v>66.5653333333333</v>
      </c>
      <c r="AH140" s="42" t="n">
        <f aca="false">-($D$135+$J$135)*(AH$5=0)+IF(AND(AH$5-$K$135&gt;=1,AH$5-$K$135&lt;=Inputs!$C$13),INDEX($N$138:$AL$138,1,AH$5-$K$135+1)*INDEX($N$139:$AL$139,1,AH$5-$K$135+1),0)-$I$135*((AH$5=Inputs!$C$12)*$C$137*$D$135+(AH$5=Inputs!$C$13)*$D$137*($D$135+Inputs!$C$14))+$I$135*((AH$5=Inputs!$C$15+$K$135)*$E$137*$I$137+(AH$5=Inputs!$C$16+$K$135)*$F$137*$J$137+(AH$5=Inputs!$C$17)*$G$137*$H$135*$H$137)</f>
        <v>48.0311111111113</v>
      </c>
      <c r="AI140" s="42" t="n">
        <f aca="false">-($D$135+$J$135)*(AI$5=0)+IF(AND(AI$5-$K$135&gt;=1,AI$5-$K$135&lt;=Inputs!$C$13),INDEX($N$138:$AL$138,1,AI$5-$K$135+1)*INDEX($N$139:$AL$139,1,AI$5-$K$135+1),0)-$I$135*((AI$5=Inputs!$C$12)*$C$137*$D$135+(AI$5=Inputs!$C$13)*$D$137*($D$135+Inputs!$C$14))+$I$135*((AI$5=Inputs!$C$15+$K$135)*$E$137*$I$137+(AI$5=Inputs!$C$16+$K$135)*$F$137*$J$137+(AI$5=Inputs!$C$17)*$G$137*$H$135*$H$137)</f>
        <v>48.5155555555554</v>
      </c>
      <c r="AJ140" s="42" t="n">
        <f aca="false">-($D$135+$J$135)*(AJ$5=0)+IF(AND(AJ$5-$K$135&gt;=1,AJ$5-$K$135&lt;=Inputs!$C$13),INDEX($N$138:$AL$138,1,AJ$5-$K$135+1)*INDEX($N$139:$AL$139,1,AJ$5-$K$135+1),0)-$I$135*((AJ$5=Inputs!$C$12)*$C$137*$D$135+(AJ$5=Inputs!$C$13)*$D$137*($D$135+Inputs!$C$14))+$I$135*((AJ$5=Inputs!$C$15+$K$135)*$E$137*$I$137+(AJ$5=Inputs!$C$16+$K$135)*$F$137*$J$137+(AJ$5=Inputs!$C$17)*$G$137*$H$135*$H$137)</f>
        <v>48.9999999999998</v>
      </c>
      <c r="AK140" s="42" t="n">
        <f aca="false">-($D$135+$J$135)*(AK$5=0)+IF(AND(AK$5-$K$135&gt;=1,AK$5-$K$135&lt;=Inputs!$C$13),INDEX($N$138:$AL$138,1,AK$5-$K$135+1)*INDEX($N$139:$AL$139,1,AK$5-$K$135+1),0)-$I$135*((AK$5=Inputs!$C$12)*$C$137*$D$135+(AK$5=Inputs!$C$13)*$D$137*($D$135+Inputs!$C$14))+$I$135*((AK$5=Inputs!$C$15+$K$135)*$E$137*$I$137+(AK$5=Inputs!$C$16+$K$135)*$F$137*$J$137+(AK$5=Inputs!$C$17)*$G$137*$H$135*$H$137)</f>
        <v>49.4844444444446</v>
      </c>
      <c r="AL140" s="42" t="n">
        <f aca="false">-($D$135+$J$135)*(AL$5=0)+IF(AND(AL$5-$K$135&gt;=1,AL$5-$K$135&lt;=Inputs!$C$13),INDEX($N$138:$AL$138,1,AL$5-$K$135+1)*INDEX($N$139:$AL$139,1,AL$5-$K$135+1),0)-$I$135*((AL$5=Inputs!$C$12)*$C$137*$D$135+(AL$5=Inputs!$C$13)*$D$137*($D$135+Inputs!$C$14))+$I$135*((AL$5=Inputs!$C$15+$K$135)*$E$137*$I$137+(AL$5=Inputs!$C$16+$K$135)*$F$137*$J$137+(AL$5=Inputs!$C$17)*$G$137*$H$135*$H$137)</f>
        <v>-630.031111111111</v>
      </c>
      <c r="AM140" s="42" t="n">
        <f aca="false">-($D$135+$J$135)*(AM$5=0)+IF(AND(AM$5-$K$135&gt;=1,AM$5-$K$135&lt;=Inputs!$C$13),INDEX($N$138:$AL$138,1,AM$5-$K$135+1)*INDEX($N$139:$AL$139,1,AM$5-$K$135+1),0)-$I$135*((AM$5=Inputs!$C$12)*$C$137*$D$135+(AM$5=Inputs!$C$13)*$D$137*($D$135+Inputs!$C$14))+$I$135*((AM$5=Inputs!$C$15+$K$135)*$E$137*$I$137+(AM$5=Inputs!$C$16+$K$135)*$F$137*$J$137+(AM$5=Inputs!$C$17)*$G$137*$H$135*$H$137)</f>
        <v>50.4533333333332</v>
      </c>
      <c r="AN140" s="42" t="n">
        <f aca="false">-($D$135+$J$135)*(AN$5=0)+IF(AND(AN$5-$K$135&gt;=1,AN$5-$K$135&lt;=Inputs!$C$13),INDEX($N$138:$AL$138,1,AN$5-$K$135+1)*INDEX($N$139:$AL$139,1,AN$5-$K$135+1),0)-$I$135*((AN$5=Inputs!$C$12)*$C$137*$D$135+(AN$5=Inputs!$C$13)*$D$137*($D$135+Inputs!$C$14))+$I$135*((AN$5=Inputs!$C$15+$K$135)*$E$137*$I$137+(AN$5=Inputs!$C$16+$K$135)*$F$137*$J$137+(AN$5=Inputs!$C$17)*$G$137*$H$135*$H$137)</f>
        <v>0</v>
      </c>
      <c r="AO140" s="42" t="n">
        <f aca="false">-($D$135+$J$135)*(AO$5=0)+IF(AND(AO$5-$K$135&gt;=1,AO$5-$K$135&lt;=Inputs!$C$13),INDEX($N$138:$AL$138,1,AO$5-$K$135+1)*INDEX($N$139:$AL$139,1,AO$5-$K$135+1),0)-$I$135*((AO$5=Inputs!$C$12)*$C$137*$D$135+(AO$5=Inputs!$C$13)*$D$137*($D$135+Inputs!$C$14))+$I$135*((AO$5=Inputs!$C$15+$K$135)*$E$137*$I$137+(AO$5=Inputs!$C$16+$K$135)*$F$137*$J$137+(AO$5=Inputs!$C$17)*$G$137*$H$135*$H$137)</f>
        <v>0</v>
      </c>
      <c r="AP140" s="42" t="n">
        <f aca="false">-($D$135+$J$135)*(AP$5=0)+IF(AND(AP$5-$K$135&gt;=1,AP$5-$K$135&lt;=Inputs!$C$13),INDEX($N$138:$AL$138,1,AP$5-$K$135+1)*INDEX($N$139:$AL$139,1,AP$5-$K$135+1),0)-$I$135*((AP$5=Inputs!$C$12)*$C$137*$D$135+(AP$5=Inputs!$C$13)*$D$137*($D$135+Inputs!$C$14))+$I$135*((AP$5=Inputs!$C$15+$K$135)*$E$137*$I$137+(AP$5=Inputs!$C$16+$K$135)*$F$137*$J$137+(AP$5=Inputs!$C$17)*$G$137*$H$135*$H$137)</f>
        <v>589.2</v>
      </c>
      <c r="AQ140" s="42" t="n">
        <f aca="false">-($D$135+$J$135)*(AQ$5=0)+IF(AND(AQ$5-$K$135&gt;=1,AQ$5-$K$135&lt;=Inputs!$C$13),INDEX($N$138:$AL$138,1,AQ$5-$K$135+1)*INDEX($N$139:$AL$139,1,AQ$5-$K$135+1),0)-$I$135*((AQ$5=Inputs!$C$12)*$C$137*$D$135+(AQ$5=Inputs!$C$13)*$D$137*($D$135+Inputs!$C$14))+$I$135*((AQ$5=Inputs!$C$15+$K$135)*$E$137*$I$137+(AQ$5=Inputs!$C$16+$K$135)*$F$137*$J$137+(AQ$5=Inputs!$C$17)*$G$137*$H$135*$H$137)</f>
        <v>0</v>
      </c>
      <c r="AR140" s="42" t="n">
        <f aca="false">-($D$135+$J$135)*(AR$5=0)+IF(AND(AR$5-$K$135&gt;=1,AR$5-$K$135&lt;=Inputs!$C$13),INDEX($N$138:$AL$138,1,AR$5-$K$135+1)*INDEX($N$139:$AL$139,1,AR$5-$K$135+1),0)-$I$135*((AR$5=Inputs!$C$12)*$C$137*$D$135+(AR$5=Inputs!$C$13)*$D$137*($D$135+Inputs!$C$14))+$I$135*((AR$5=Inputs!$C$15+$K$135)*$E$137*$I$137+(AR$5=Inputs!$C$16+$K$135)*$F$137*$J$137+(AR$5=Inputs!$C$17)*$G$137*$H$135*$H$137)</f>
        <v>0</v>
      </c>
      <c r="AS140" s="42" t="n">
        <f aca="false">-($D$135+$J$135)*(AS$5=0)+IF(AND(AS$5-$K$135&gt;=1,AS$5-$K$135&lt;=Inputs!$C$13),INDEX($N$138:$AL$138,1,AS$5-$K$135+1)*INDEX($N$139:$AL$139,1,AS$5-$K$135+1),0)-$I$135*((AS$5=Inputs!$C$12)*$C$137*$D$135+(AS$5=Inputs!$C$13)*$D$137*($D$135+Inputs!$C$14))+$I$135*((AS$5=Inputs!$C$15+$K$135)*$E$137*$I$137+(AS$5=Inputs!$C$16+$K$135)*$F$137*$J$137+(AS$5=Inputs!$C$17)*$G$137*$H$135*$H$137)</f>
        <v>452.76</v>
      </c>
      <c r="AT140" s="42" t="n">
        <f aca="false">-($D$135+$J$135)*(AT$5=0)+IF(AND(AT$5-$K$135&gt;=1,AT$5-$K$135&lt;=Inputs!$C$13),INDEX($N$138:$AL$138,1,AT$5-$K$135+1)*INDEX($N$139:$AL$139,1,AT$5-$K$135+1),0)-$I$135*((AT$5=Inputs!$C$12)*$C$137*$D$135+(AT$5=Inputs!$C$13)*$D$137*($D$135+Inputs!$C$14))+$I$135*((AT$5=Inputs!$C$15+$K$135)*$E$137*$I$137+(AT$5=Inputs!$C$16+$K$135)*$F$137*$J$137+(AT$5=Inputs!$C$17)*$G$137*$H$135*$H$137)</f>
        <v>0</v>
      </c>
      <c r="AU140" s="42" t="n">
        <f aca="false">-($D$135+$J$135)*(AU$5=0)+IF(AND(AU$5-$K$135&gt;=1,AU$5-$K$135&lt;=Inputs!$C$13),INDEX($N$138:$AL$138,1,AU$5-$K$135+1)*INDEX($N$139:$AL$139,1,AU$5-$K$135+1),0)-$I$135*((AU$5=Inputs!$C$12)*$C$137*$D$135+(AU$5=Inputs!$C$13)*$D$137*($D$135+Inputs!$C$14))+$I$135*((AU$5=Inputs!$C$15+$K$135)*$E$137*$I$137+(AU$5=Inputs!$C$16+$K$135)*$F$137*$J$137+(AU$5=Inputs!$C$17)*$G$137*$H$135*$H$137)</f>
        <v>0</v>
      </c>
      <c r="AV140" s="42" t="n">
        <f aca="false">-($D$135+$J$135)*(AV$5=0)+IF(AND(AV$5-$K$135&gt;=1,AV$5-$K$135&lt;=Inputs!$C$13),INDEX($N$138:$AL$138,1,AV$5-$K$135+1)*INDEX($N$139:$AL$139,1,AV$5-$K$135+1),0)-$I$135*((AV$5=Inputs!$C$12)*$C$137*$D$135+(AV$5=Inputs!$C$13)*$D$137*($D$135+Inputs!$C$14))+$I$135*((AV$5=Inputs!$C$15+$K$135)*$E$137*$I$137+(AV$5=Inputs!$C$16+$K$135)*$F$137*$J$137+(AV$5=Inputs!$C$17)*$G$137*$H$135*$H$137)</f>
        <v>0</v>
      </c>
      <c r="AW140" s="42" t="n">
        <f aca="false">-($D$135+$J$135)*(AW$5=0)+IF(AND(AW$5-$K$135&gt;=1,AW$5-$K$135&lt;=Inputs!$C$13),INDEX($N$138:$AL$138,1,AW$5-$K$135+1)*INDEX($N$139:$AL$139,1,AW$5-$K$135+1),0)-$I$135*((AW$5=Inputs!$C$12)*$C$137*$D$135+(AW$5=Inputs!$C$13)*$D$137*($D$135+Inputs!$C$14))+$I$135*((AW$5=Inputs!$C$15+$K$135)*$E$137*$I$137+(AW$5=Inputs!$C$16+$K$135)*$F$137*$J$137+(AW$5=Inputs!$C$17)*$G$137*$H$135*$H$137)</f>
        <v>0</v>
      </c>
      <c r="AX140" s="42" t="n">
        <f aca="false">-($D$135+$J$135)*(AX$5=0)+IF(AND(AX$5-$K$135&gt;=1,AX$5-$K$135&lt;=Inputs!$C$13),INDEX($N$138:$AL$138,1,AX$5-$K$135+1)*INDEX($N$139:$AL$139,1,AX$5-$K$135+1),0)-$I$135*((AX$5=Inputs!$C$12)*$C$137*$D$135+(AX$5=Inputs!$C$13)*$D$137*($D$135+Inputs!$C$14))+$I$135*((AX$5=Inputs!$C$15+$K$135)*$E$137*$I$137+(AX$5=Inputs!$C$16+$K$135)*$F$137*$J$137+(AX$5=Inputs!$C$17)*$G$137*$H$135*$H$137)</f>
        <v>277.2</v>
      </c>
      <c r="AY140" s="42" t="n">
        <f aca="false">-($D$135+$J$135)*(AY$5=0)+IF(AND(AY$5-$K$135&gt;=1,AY$5-$K$135&lt;=Inputs!$C$13),INDEX($N$138:$AL$138,1,AY$5-$K$135+1)*INDEX($N$139:$AL$139,1,AY$5-$K$135+1),0)-$I$135*((AY$5=Inputs!$C$12)*$C$137*$D$135+(AY$5=Inputs!$C$13)*$D$137*($D$135+Inputs!$C$14))+$I$135*((AY$5=Inputs!$C$15+$K$135)*$E$137*$I$137+(AY$5=Inputs!$C$16+$K$135)*$F$137*$J$137+(AY$5=Inputs!$C$17)*$G$137*$H$135*$H$137)</f>
        <v>0</v>
      </c>
    </row>
    <row r="142" customFormat="false" ht="15" hidden="false" customHeight="false" outlineLevel="0" collapsed="false">
      <c r="B142" s="7" t="s">
        <v>238</v>
      </c>
      <c r="C142" s="8"/>
      <c r="D142" s="8"/>
      <c r="E142" s="8"/>
      <c r="F142" s="8"/>
      <c r="G142" s="8"/>
      <c r="H142" s="8"/>
      <c r="I142" s="8"/>
      <c r="J142" s="8"/>
      <c r="K142" s="8"/>
      <c r="L142" s="8"/>
    </row>
    <row r="143" customFormat="false" ht="30" hidden="false" customHeight="true" outlineLevel="0" collapsed="false">
      <c r="B143" s="37"/>
      <c r="C143" s="38" t="s">
        <v>169</v>
      </c>
      <c r="D143" s="38" t="s">
        <v>170</v>
      </c>
      <c r="E143" s="38" t="s">
        <v>171</v>
      </c>
      <c r="F143" s="38" t="s">
        <v>43</v>
      </c>
      <c r="G143" s="38" t="s">
        <v>44</v>
      </c>
      <c r="H143" s="38" t="s">
        <v>45</v>
      </c>
      <c r="I143" s="38" t="s">
        <v>172</v>
      </c>
      <c r="J143" s="38" t="s">
        <v>90</v>
      </c>
      <c r="K143" s="38" t="s">
        <v>89</v>
      </c>
      <c r="L143" s="38" t="s">
        <v>173</v>
      </c>
    </row>
    <row r="144" customFormat="false" ht="15" hidden="false" customHeight="false" outlineLevel="0" collapsed="false">
      <c r="B144" s="39" t="s">
        <v>174</v>
      </c>
      <c r="C144" s="26" t="n">
        <f aca="false">MAX(0,Bid_Floor!$C$135-Inputs!$C$7)</f>
        <v>0.09</v>
      </c>
      <c r="D144" s="30" t="n">
        <f aca="false">Inputs!$E$26</f>
        <v>1600</v>
      </c>
      <c r="E144" s="26" t="n">
        <f aca="false">Inputs!$F$26</f>
        <v>0.8</v>
      </c>
      <c r="F144" s="25" t="n">
        <f aca="false">Inputs!$G$26</f>
        <v>0.4</v>
      </c>
      <c r="G144" s="25" t="n">
        <f aca="false">Inputs!$H$26</f>
        <v>0.5</v>
      </c>
      <c r="H144" s="25" t="n">
        <f aca="false">Inputs!$I$26</f>
        <v>0.7</v>
      </c>
      <c r="I144" s="22" t="n">
        <f aca="false">Inputs!$J$26</f>
        <v>1</v>
      </c>
      <c r="J144" s="23" t="n">
        <f aca="false">Inputs!$C$9</f>
        <v>10</v>
      </c>
      <c r="K144" s="22" t="n">
        <f aca="false">Inputs!$C$10</f>
        <v>1</v>
      </c>
      <c r="L144" s="22" t="n">
        <f aca="false">1</f>
        <v>1</v>
      </c>
    </row>
    <row r="145" customFormat="false" ht="30" hidden="false" customHeight="true" outlineLevel="0" collapsed="false">
      <c r="B145" s="37"/>
      <c r="C145" s="38" t="s">
        <v>175</v>
      </c>
      <c r="D145" s="38" t="s">
        <v>176</v>
      </c>
      <c r="E145" s="38" t="s">
        <v>177</v>
      </c>
      <c r="F145" s="38" t="s">
        <v>178</v>
      </c>
      <c r="G145" s="38" t="s">
        <v>112</v>
      </c>
      <c r="H145" s="38" t="s">
        <v>179</v>
      </c>
      <c r="I145" s="38" t="s">
        <v>180</v>
      </c>
      <c r="J145" s="38" t="s">
        <v>181</v>
      </c>
      <c r="K145" s="38" t="s">
        <v>182</v>
      </c>
      <c r="L145" s="38" t="s">
        <v>183</v>
      </c>
    </row>
    <row r="146" customFormat="false" ht="15" hidden="false" customHeight="false" outlineLevel="0" collapsed="false">
      <c r="B146" s="39" t="s">
        <v>184</v>
      </c>
      <c r="C146" s="40" t="n">
        <f aca="false">1-$E$144*CHOOSE($L$144,INDEX(Timing!$C$7:$AA$7,1,Inputs!$C$12+1),INDEX(Timing!$C$8:$AA$8,1,Inputs!$C$12+1))</f>
        <v>0.392</v>
      </c>
      <c r="D146" s="40" t="n">
        <f aca="false">1-$E$144*CHOOSE($L$144,INDEX(Timing!$C$7:$AA$7,1,Inputs!$C$13+1),INDEX(Timing!$C$8:$AA$8,1,Inputs!$C$13+1))</f>
        <v>0.2</v>
      </c>
      <c r="E146" s="40" t="n">
        <f aca="false">$I$144*$D$146*$F$144</f>
        <v>0.08</v>
      </c>
      <c r="F146" s="40" t="n">
        <f aca="false">$I$144*($D$146-$E$146)*$G$144</f>
        <v>0.06</v>
      </c>
      <c r="G146" s="40" t="n">
        <f aca="false">$I$144*($D$146-$E$146-$F$146)</f>
        <v>0.06</v>
      </c>
      <c r="H146" s="23" t="n">
        <f aca="false">$I$144*(3*$D$144+Inputs!$C$14)</f>
        <v>6600</v>
      </c>
      <c r="I146" s="23" t="n">
        <f aca="false">$I$144*($D$144*(1+IF($C$144&lt;=0,0,MAX($C$144*Inputs!$C$15/12,Inputs!$C$8)))+$D$144*(1+Inputs!$C$11*(Inputs!$C$15-Inputs!$C$12)/12)+$D$144*(1+Inputs!$C$11*(Inputs!$C$15-Inputs!$C$13)/12)+Inputs!$C$14)</f>
        <v>7356</v>
      </c>
      <c r="J146" s="23" t="n">
        <f aca="false">$I$144*($D$144*(1+IF($C$144&lt;=0,0,MAX($C$144*Inputs!$C$16/12,Inputs!$C$8)))+$D$144*(1+Inputs!$C$11*(Inputs!$C$16-Inputs!$C$12)/12)+$D$144*(1+Inputs!$C$11*(Inputs!$C$16-Inputs!$C$13)/12)+Inputs!$C$14)</f>
        <v>7536</v>
      </c>
      <c r="K146" s="40" t="n">
        <f aca="false">IRR($N$149:$AY$149,0.005)</f>
        <v>0.00326476170945619</v>
      </c>
      <c r="L146" s="41" t="n">
        <f aca="false">(1+$K$146)^12-1</f>
        <v>0.0398883247624016</v>
      </c>
    </row>
    <row r="147" customFormat="false" ht="15" hidden="false" customHeight="false" outlineLevel="0" collapsed="false">
      <c r="B147" s="9" t="s">
        <v>185</v>
      </c>
      <c r="N147" s="40" t="n">
        <f aca="false">0</f>
        <v>0</v>
      </c>
      <c r="O147" s="40" t="n">
        <f aca="false">$E$144*(CHOOSE($L$144,Timing!D$7,Timing!D$8)-CHOOSE($L$144,Timing!C$7,Timing!C$8))</f>
        <v>0.096</v>
      </c>
      <c r="P147" s="40" t="n">
        <f aca="false">$E$144*(CHOOSE($L$144,Timing!E$7,Timing!E$8)-CHOOSE($L$144,Timing!D$7,Timing!D$8))</f>
        <v>0.08</v>
      </c>
      <c r="Q147" s="40" t="n">
        <f aca="false">$E$144*(CHOOSE($L$144,Timing!F$7,Timing!F$8)-CHOOSE($L$144,Timing!E$7,Timing!E$8))</f>
        <v>0.072</v>
      </c>
      <c r="R147" s="40" t="n">
        <f aca="false">$E$144*(CHOOSE($L$144,Timing!G$7,Timing!G$8)-CHOOSE($L$144,Timing!F$7,Timing!F$8))</f>
        <v>0.056</v>
      </c>
      <c r="S147" s="40" t="n">
        <f aca="false">$E$144*(CHOOSE($L$144,Timing!H$7,Timing!H$8)-CHOOSE($L$144,Timing!G$7,Timing!G$8))</f>
        <v>0.056</v>
      </c>
      <c r="T147" s="40" t="n">
        <f aca="false">$E$144*(CHOOSE($L$144,Timing!I$7,Timing!I$8)-CHOOSE($L$144,Timing!H$7,Timing!H$8))</f>
        <v>0.056</v>
      </c>
      <c r="U147" s="40" t="n">
        <f aca="false">$E$144*(CHOOSE($L$144,Timing!J$7,Timing!J$8)-CHOOSE($L$144,Timing!I$7,Timing!I$8))</f>
        <v>0.0346666666666667</v>
      </c>
      <c r="V147" s="40" t="n">
        <f aca="false">$E$144*(CHOOSE($L$144,Timing!K$7,Timing!K$8)-CHOOSE($L$144,Timing!J$7,Timing!J$8))</f>
        <v>0.0346666666666667</v>
      </c>
      <c r="W147" s="40" t="n">
        <f aca="false">$E$144*(CHOOSE($L$144,Timing!L$7,Timing!L$8)-CHOOSE($L$144,Timing!K$7,Timing!K$8))</f>
        <v>0.0346666666666667</v>
      </c>
      <c r="X147" s="40" t="n">
        <f aca="false">$E$144*(CHOOSE($L$144,Timing!M$7,Timing!M$8)-CHOOSE($L$144,Timing!L$7,Timing!L$8))</f>
        <v>0.0293333333333333</v>
      </c>
      <c r="Y147" s="40" t="n">
        <f aca="false">$E$144*(CHOOSE($L$144,Timing!N$7,Timing!N$8)-CHOOSE($L$144,Timing!M$7,Timing!M$8))</f>
        <v>0.0293333333333334</v>
      </c>
      <c r="Z147" s="40" t="n">
        <f aca="false">$E$144*(CHOOSE($L$144,Timing!O$7,Timing!O$8)-CHOOSE($L$144,Timing!N$7,Timing!N$8))</f>
        <v>0.0293333333333333</v>
      </c>
      <c r="AA147" s="40" t="n">
        <f aca="false">$E$144*(CHOOSE($L$144,Timing!P$7,Timing!P$8)-CHOOSE($L$144,Timing!O$7,Timing!O$8))</f>
        <v>0.0186666666666667</v>
      </c>
      <c r="AB147" s="40" t="n">
        <f aca="false">$E$144*(CHOOSE($L$144,Timing!Q$7,Timing!Q$8)-CHOOSE($L$144,Timing!P$7,Timing!P$8))</f>
        <v>0.0186666666666667</v>
      </c>
      <c r="AC147" s="40" t="n">
        <f aca="false">$E$144*(CHOOSE($L$144,Timing!R$7,Timing!R$8)-CHOOSE($L$144,Timing!Q$7,Timing!Q$8))</f>
        <v>0.0186666666666667</v>
      </c>
      <c r="AD147" s="40" t="n">
        <f aca="false">$E$144*(CHOOSE($L$144,Timing!S$7,Timing!S$8)-CHOOSE($L$144,Timing!R$7,Timing!R$8))</f>
        <v>0.0186666666666667</v>
      </c>
      <c r="AE147" s="40" t="n">
        <f aca="false">$E$144*(CHOOSE($L$144,Timing!T$7,Timing!T$8)-CHOOSE($L$144,Timing!S$7,Timing!S$8))</f>
        <v>0.0186666666666667</v>
      </c>
      <c r="AF147" s="40" t="n">
        <f aca="false">$E$144*(CHOOSE($L$144,Timing!U$7,Timing!U$8)-CHOOSE($L$144,Timing!T$7,Timing!T$8))</f>
        <v>0.0186666666666667</v>
      </c>
      <c r="AG147" s="40" t="n">
        <f aca="false">$E$144*(CHOOSE($L$144,Timing!V$7,Timing!V$8)-CHOOSE($L$144,Timing!U$7,Timing!U$8))</f>
        <v>0.0133333333333334</v>
      </c>
      <c r="AH147" s="40" t="n">
        <f aca="false">$E$144*(CHOOSE($L$144,Timing!W$7,Timing!W$8)-CHOOSE($L$144,Timing!V$7,Timing!V$8))</f>
        <v>0.0133333333333333</v>
      </c>
      <c r="AI147" s="40" t="n">
        <f aca="false">$E$144*(CHOOSE($L$144,Timing!X$7,Timing!X$8)-CHOOSE($L$144,Timing!W$7,Timing!W$8))</f>
        <v>0.0133333333333333</v>
      </c>
      <c r="AJ147" s="40" t="n">
        <f aca="false">$E$144*(CHOOSE($L$144,Timing!Y$7,Timing!Y$8)-CHOOSE($L$144,Timing!X$7,Timing!X$8))</f>
        <v>0.0133333333333334</v>
      </c>
      <c r="AK147" s="40" t="n">
        <f aca="false">$E$144*(CHOOSE($L$144,Timing!Z$7,Timing!Z$8)-CHOOSE($L$144,Timing!Y$7,Timing!Y$8))</f>
        <v>0.0133333333333334</v>
      </c>
      <c r="AL147" s="40" t="n">
        <f aca="false">$E$144*(CHOOSE($L$144,Timing!AA$7,Timing!AA$8)-CHOOSE($L$144,Timing!Z$7,Timing!Z$8))</f>
        <v>0.0133333333333333</v>
      </c>
    </row>
    <row r="148" customFormat="false" ht="15" hidden="false" customHeight="false" outlineLevel="0" collapsed="false">
      <c r="B148" s="9" t="s">
        <v>186</v>
      </c>
      <c r="N148" s="42" t="n">
        <f aca="false">0</f>
        <v>0</v>
      </c>
      <c r="O148" s="42" t="n">
        <f aca="false">$D$144*(1+IF($C$144&lt;=0,0,MAX($C$144*O$5/12,Inputs!$C$8)))+$I$144*(O$5&gt;Inputs!$C$12)*$D$144*(1+Inputs!$C$11*(O$5-Inputs!$C$12)/12)</f>
        <v>1680</v>
      </c>
      <c r="P148" s="42" t="n">
        <f aca="false">$D$144*(1+IF($C$144&lt;=0,0,MAX($C$144*P$5/12,Inputs!$C$8)))+$I$144*(P$5&gt;Inputs!$C$12)*$D$144*(1+Inputs!$C$11*(P$5-Inputs!$C$12)/12)</f>
        <v>1680</v>
      </c>
      <c r="Q148" s="42" t="n">
        <f aca="false">$D$144*(1+IF($C$144&lt;=0,0,MAX($C$144*Q$5/12,Inputs!$C$8)))+$I$144*(Q$5&gt;Inputs!$C$12)*$D$144*(1+Inputs!$C$11*(Q$5-Inputs!$C$12)/12)</f>
        <v>1680</v>
      </c>
      <c r="R148" s="42" t="n">
        <f aca="false">$D$144*(1+IF($C$144&lt;=0,0,MAX($C$144*R$5/12,Inputs!$C$8)))+$I$144*(R$5&gt;Inputs!$C$12)*$D$144*(1+Inputs!$C$11*(R$5-Inputs!$C$12)/12)</f>
        <v>1680</v>
      </c>
      <c r="S148" s="42" t="n">
        <f aca="false">$D$144*(1+IF($C$144&lt;=0,0,MAX($C$144*S$5/12,Inputs!$C$8)))+$I$144*(S$5&gt;Inputs!$C$12)*$D$144*(1+Inputs!$C$11*(S$5-Inputs!$C$12)/12)</f>
        <v>1680</v>
      </c>
      <c r="T148" s="42" t="n">
        <f aca="false">$D$144*(1+IF($C$144&lt;=0,0,MAX($C$144*T$5/12,Inputs!$C$8)))+$I$144*(T$5&gt;Inputs!$C$12)*$D$144*(1+Inputs!$C$11*(T$5-Inputs!$C$12)/12)</f>
        <v>1680</v>
      </c>
      <c r="U148" s="42" t="n">
        <f aca="false">$D$144*(1+IF($C$144&lt;=0,0,MAX($C$144*U$5/12,Inputs!$C$8)))+$I$144*(U$5&gt;Inputs!$C$12)*$D$144*(1+Inputs!$C$11*(U$5-Inputs!$C$12)/12)</f>
        <v>1684</v>
      </c>
      <c r="V148" s="42" t="n">
        <f aca="false">$D$144*(1+IF($C$144&lt;=0,0,MAX($C$144*V$5/12,Inputs!$C$8)))+$I$144*(V$5&gt;Inputs!$C$12)*$D$144*(1+Inputs!$C$11*(V$5-Inputs!$C$12)/12)</f>
        <v>1696</v>
      </c>
      <c r="W148" s="42" t="n">
        <f aca="false">$D$144*(1+IF($C$144&lt;=0,0,MAX($C$144*W$5/12,Inputs!$C$8)))+$I$144*(W$5&gt;Inputs!$C$12)*$D$144*(1+Inputs!$C$11*(W$5-Inputs!$C$12)/12)</f>
        <v>1708</v>
      </c>
      <c r="X148" s="42" t="n">
        <f aca="false">$D$144*(1+IF($C$144&lt;=0,0,MAX($C$144*X$5/12,Inputs!$C$8)))+$I$144*(X$5&gt;Inputs!$C$12)*$D$144*(1+Inputs!$C$11*(X$5-Inputs!$C$12)/12)</f>
        <v>1720</v>
      </c>
      <c r="Y148" s="42" t="n">
        <f aca="false">$D$144*(1+IF($C$144&lt;=0,0,MAX($C$144*Y$5/12,Inputs!$C$8)))+$I$144*(Y$5&gt;Inputs!$C$12)*$D$144*(1+Inputs!$C$11*(Y$5-Inputs!$C$12)/12)</f>
        <v>1732</v>
      </c>
      <c r="Z148" s="42" t="n">
        <f aca="false">$D$144*(1+IF($C$144&lt;=0,0,MAX($C$144*Z$5/12,Inputs!$C$8)))+$I$144*(Z$5&gt;Inputs!$C$12)*$D$144*(1+Inputs!$C$11*(Z$5-Inputs!$C$12)/12)</f>
        <v>1744</v>
      </c>
      <c r="AA148" s="42" t="n">
        <f aca="false">$D$144*(1+IF($C$144&lt;=0,0,MAX($C$144*AA$5/12,Inputs!$C$8)))+$I$144*(AA$5&gt;Inputs!$C$12)*$D$144*(1+Inputs!$C$11*(AA$5-Inputs!$C$12)/12)</f>
        <v>3380</v>
      </c>
      <c r="AB148" s="42" t="n">
        <f aca="false">$D$144*(1+IF($C$144&lt;=0,0,MAX($C$144*AB$5/12,Inputs!$C$8)))+$I$144*(AB$5&gt;Inputs!$C$12)*$D$144*(1+Inputs!$C$11*(AB$5-Inputs!$C$12)/12)</f>
        <v>3416</v>
      </c>
      <c r="AC148" s="42" t="n">
        <f aca="false">$D$144*(1+IF($C$144&lt;=0,0,MAX($C$144*AC$5/12,Inputs!$C$8)))+$I$144*(AC$5&gt;Inputs!$C$12)*$D$144*(1+Inputs!$C$11*(AC$5-Inputs!$C$12)/12)</f>
        <v>3452</v>
      </c>
      <c r="AD148" s="42" t="n">
        <f aca="false">$D$144*(1+IF($C$144&lt;=0,0,MAX($C$144*AD$5/12,Inputs!$C$8)))+$I$144*(AD$5&gt;Inputs!$C$12)*$D$144*(1+Inputs!$C$11*(AD$5-Inputs!$C$12)/12)</f>
        <v>3488</v>
      </c>
      <c r="AE148" s="42" t="n">
        <f aca="false">$D$144*(1+IF($C$144&lt;=0,0,MAX($C$144*AE$5/12,Inputs!$C$8)))+$I$144*(AE$5&gt;Inputs!$C$12)*$D$144*(1+Inputs!$C$11*(AE$5-Inputs!$C$12)/12)</f>
        <v>3524</v>
      </c>
      <c r="AF148" s="42" t="n">
        <f aca="false">$D$144*(1+IF($C$144&lt;=0,0,MAX($C$144*AF$5/12,Inputs!$C$8)))+$I$144*(AF$5&gt;Inputs!$C$12)*$D$144*(1+Inputs!$C$11*(AF$5-Inputs!$C$12)/12)</f>
        <v>3560</v>
      </c>
      <c r="AG148" s="42" t="n">
        <f aca="false">$D$144*(1+IF($C$144&lt;=0,0,MAX($C$144*AG$5/12,Inputs!$C$8)))+$I$144*(AG$5&gt;Inputs!$C$12)*$D$144*(1+Inputs!$C$11*(AG$5-Inputs!$C$12)/12)</f>
        <v>3596</v>
      </c>
      <c r="AH148" s="42" t="n">
        <f aca="false">$D$144*(1+IF($C$144&lt;=0,0,MAX($C$144*AH$5/12,Inputs!$C$8)))+$I$144*(AH$5&gt;Inputs!$C$12)*$D$144*(1+Inputs!$C$11*(AH$5-Inputs!$C$12)/12)</f>
        <v>3632</v>
      </c>
      <c r="AI148" s="42" t="n">
        <f aca="false">$D$144*(1+IF($C$144&lt;=0,0,MAX($C$144*AI$5/12,Inputs!$C$8)))+$I$144*(AI$5&gt;Inputs!$C$12)*$D$144*(1+Inputs!$C$11*(AI$5-Inputs!$C$12)/12)</f>
        <v>3668</v>
      </c>
      <c r="AJ148" s="42" t="n">
        <f aca="false">$D$144*(1+IF($C$144&lt;=0,0,MAX($C$144*AJ$5/12,Inputs!$C$8)))+$I$144*(AJ$5&gt;Inputs!$C$12)*$D$144*(1+Inputs!$C$11*(AJ$5-Inputs!$C$12)/12)</f>
        <v>3704</v>
      </c>
      <c r="AK148" s="42" t="n">
        <f aca="false">$D$144*(1+IF($C$144&lt;=0,0,MAX($C$144*AK$5/12,Inputs!$C$8)))+$I$144*(AK$5&gt;Inputs!$C$12)*$D$144*(1+Inputs!$C$11*(AK$5-Inputs!$C$12)/12)</f>
        <v>3740</v>
      </c>
      <c r="AL148" s="42" t="n">
        <f aca="false">$D$144*(1+IF($C$144&lt;=0,0,MAX($C$144*AL$5/12,Inputs!$C$8)))+$I$144*(AL$5&gt;Inputs!$C$12)*$D$144*(1+Inputs!$C$11*(AL$5-Inputs!$C$12)/12)</f>
        <v>3776</v>
      </c>
    </row>
    <row r="149" customFormat="false" ht="15" hidden="false" customHeight="false" outlineLevel="0" collapsed="false">
      <c r="B149" s="31" t="s">
        <v>187</v>
      </c>
      <c r="N149" s="42" t="n">
        <f aca="false">-($D$144+$J$144)*(N$5=0)+IF(AND(N$5-$K$144&gt;=1,N$5-$K$144&lt;=Inputs!$C$13),INDEX($N$147:$AL$147,1,N$5-$K$144+1)*INDEX($N$148:$AL$148,1,N$5-$K$144+1),0)-$I$144*((N$5=Inputs!$C$12)*$C$146*$D$144+(N$5=Inputs!$C$13)*$D$146*($D$144+Inputs!$C$14))+$I$144*((N$5=Inputs!$C$15+$K$144)*$E$146*$I$146+(N$5=Inputs!$C$16+$K$144)*$F$146*$J$146+(N$5=Inputs!$C$17)*$G$146*$H$144*$H$146)</f>
        <v>-1610</v>
      </c>
      <c r="O149" s="42" t="n">
        <f aca="false">-($D$144+$J$144)*(O$5=0)+IF(AND(O$5-$K$144&gt;=1,O$5-$K$144&lt;=Inputs!$C$13),INDEX($N$147:$AL$147,1,O$5-$K$144+1)*INDEX($N$148:$AL$148,1,O$5-$K$144+1),0)-$I$144*((O$5=Inputs!$C$12)*$C$146*$D$144+(O$5=Inputs!$C$13)*$D$146*($D$144+Inputs!$C$14))+$I$144*((O$5=Inputs!$C$15+$K$144)*$E$146*$I$146+(O$5=Inputs!$C$16+$K$144)*$F$146*$J$146+(O$5=Inputs!$C$17)*$G$146*$H$144*$H$146)</f>
        <v>0</v>
      </c>
      <c r="P149" s="42" t="n">
        <f aca="false">-($D$144+$J$144)*(P$5=0)+IF(AND(P$5-$K$144&gt;=1,P$5-$K$144&lt;=Inputs!$C$13),INDEX($N$147:$AL$147,1,P$5-$K$144+1)*INDEX($N$148:$AL$148,1,P$5-$K$144+1),0)-$I$144*((P$5=Inputs!$C$12)*$C$146*$D$144+(P$5=Inputs!$C$13)*$D$146*($D$144+Inputs!$C$14))+$I$144*((P$5=Inputs!$C$15+$K$144)*$E$146*$I$146+(P$5=Inputs!$C$16+$K$144)*$F$146*$J$146+(P$5=Inputs!$C$17)*$G$146*$H$144*$H$146)</f>
        <v>161.28</v>
      </c>
      <c r="Q149" s="42" t="n">
        <f aca="false">-($D$144+$J$144)*(Q$5=0)+IF(AND(Q$5-$K$144&gt;=1,Q$5-$K$144&lt;=Inputs!$C$13),INDEX($N$147:$AL$147,1,Q$5-$K$144+1)*INDEX($N$148:$AL$148,1,Q$5-$K$144+1),0)-$I$144*((Q$5=Inputs!$C$12)*$C$146*$D$144+(Q$5=Inputs!$C$13)*$D$146*($D$144+Inputs!$C$14))+$I$144*((Q$5=Inputs!$C$15+$K$144)*$E$146*$I$146+(Q$5=Inputs!$C$16+$K$144)*$F$146*$J$146+(Q$5=Inputs!$C$17)*$G$146*$H$144*$H$146)</f>
        <v>134.4</v>
      </c>
      <c r="R149" s="42" t="n">
        <f aca="false">-($D$144+$J$144)*(R$5=0)+IF(AND(R$5-$K$144&gt;=1,R$5-$K$144&lt;=Inputs!$C$13),INDEX($N$147:$AL$147,1,R$5-$K$144+1)*INDEX($N$148:$AL$148,1,R$5-$K$144+1),0)-$I$144*((R$5=Inputs!$C$12)*$C$146*$D$144+(R$5=Inputs!$C$13)*$D$146*($D$144+Inputs!$C$14))+$I$144*((R$5=Inputs!$C$15+$K$144)*$E$146*$I$146+(R$5=Inputs!$C$16+$K$144)*$F$146*$J$146+(R$5=Inputs!$C$17)*$G$146*$H$144*$H$146)</f>
        <v>120.96</v>
      </c>
      <c r="S149" s="42" t="n">
        <f aca="false">-($D$144+$J$144)*(S$5=0)+IF(AND(S$5-$K$144&gt;=1,S$5-$K$144&lt;=Inputs!$C$13),INDEX($N$147:$AL$147,1,S$5-$K$144+1)*INDEX($N$148:$AL$148,1,S$5-$K$144+1),0)-$I$144*((S$5=Inputs!$C$12)*$C$146*$D$144+(S$5=Inputs!$C$13)*$D$146*($D$144+Inputs!$C$14))+$I$144*((S$5=Inputs!$C$15+$K$144)*$E$146*$I$146+(S$5=Inputs!$C$16+$K$144)*$F$146*$J$146+(S$5=Inputs!$C$17)*$G$146*$H$144*$H$146)</f>
        <v>94.08</v>
      </c>
      <c r="T149" s="42" t="n">
        <f aca="false">-($D$144+$J$144)*(T$5=0)+IF(AND(T$5-$K$144&gt;=1,T$5-$K$144&lt;=Inputs!$C$13),INDEX($N$147:$AL$147,1,T$5-$K$144+1)*INDEX($N$148:$AL$148,1,T$5-$K$144+1),0)-$I$144*((T$5=Inputs!$C$12)*$C$146*$D$144+(T$5=Inputs!$C$13)*$D$146*($D$144+Inputs!$C$14))+$I$144*((T$5=Inputs!$C$15+$K$144)*$E$146*$I$146+(T$5=Inputs!$C$16+$K$144)*$F$146*$J$146+(T$5=Inputs!$C$17)*$G$146*$H$144*$H$146)</f>
        <v>94.08</v>
      </c>
      <c r="U149" s="42" t="n">
        <f aca="false">-($D$144+$J$144)*(U$5=0)+IF(AND(U$5-$K$144&gt;=1,U$5-$K$144&lt;=Inputs!$C$13),INDEX($N$147:$AL$147,1,U$5-$K$144+1)*INDEX($N$148:$AL$148,1,U$5-$K$144+1),0)-$I$144*((U$5=Inputs!$C$12)*$C$146*$D$144+(U$5=Inputs!$C$13)*$D$146*($D$144+Inputs!$C$14))+$I$144*((U$5=Inputs!$C$15+$K$144)*$E$146*$I$146+(U$5=Inputs!$C$16+$K$144)*$F$146*$J$146+(U$5=Inputs!$C$17)*$G$146*$H$144*$H$146)</f>
        <v>94.08</v>
      </c>
      <c r="V149" s="42" t="n">
        <f aca="false">-($D$144+$J$144)*(V$5=0)+IF(AND(V$5-$K$144&gt;=1,V$5-$K$144&lt;=Inputs!$C$13),INDEX($N$147:$AL$147,1,V$5-$K$144+1)*INDEX($N$148:$AL$148,1,V$5-$K$144+1),0)-$I$144*((V$5=Inputs!$C$12)*$C$146*$D$144+(V$5=Inputs!$C$13)*$D$146*($D$144+Inputs!$C$14))+$I$144*((V$5=Inputs!$C$15+$K$144)*$E$146*$I$146+(V$5=Inputs!$C$16+$K$144)*$F$146*$J$146+(V$5=Inputs!$C$17)*$G$146*$H$144*$H$146)</f>
        <v>58.3786666666667</v>
      </c>
      <c r="W149" s="42" t="n">
        <f aca="false">-($D$144+$J$144)*(W$5=0)+IF(AND(W$5-$K$144&gt;=1,W$5-$K$144&lt;=Inputs!$C$13),INDEX($N$147:$AL$147,1,W$5-$K$144+1)*INDEX($N$148:$AL$148,1,W$5-$K$144+1),0)-$I$144*((W$5=Inputs!$C$12)*$C$146*$D$144+(W$5=Inputs!$C$13)*$D$146*($D$144+Inputs!$C$14))+$I$144*((W$5=Inputs!$C$15+$K$144)*$E$146*$I$146+(W$5=Inputs!$C$16+$K$144)*$F$146*$J$146+(W$5=Inputs!$C$17)*$G$146*$H$144*$H$146)</f>
        <v>58.7946666666667</v>
      </c>
      <c r="X149" s="42" t="n">
        <f aca="false">-($D$144+$J$144)*(X$5=0)+IF(AND(X$5-$K$144&gt;=1,X$5-$K$144&lt;=Inputs!$C$13),INDEX($N$147:$AL$147,1,X$5-$K$144+1)*INDEX($N$148:$AL$148,1,X$5-$K$144+1),0)-$I$144*((X$5=Inputs!$C$12)*$C$146*$D$144+(X$5=Inputs!$C$13)*$D$146*($D$144+Inputs!$C$14))+$I$144*((X$5=Inputs!$C$15+$K$144)*$E$146*$I$146+(X$5=Inputs!$C$16+$K$144)*$F$146*$J$146+(X$5=Inputs!$C$17)*$G$146*$H$144*$H$146)</f>
        <v>59.2106666666667</v>
      </c>
      <c r="Y149" s="42" t="n">
        <f aca="false">-($D$144+$J$144)*(Y$5=0)+IF(AND(Y$5-$K$144&gt;=1,Y$5-$K$144&lt;=Inputs!$C$13),INDEX($N$147:$AL$147,1,Y$5-$K$144+1)*INDEX($N$148:$AL$148,1,Y$5-$K$144+1),0)-$I$144*((Y$5=Inputs!$C$12)*$C$146*$D$144+(Y$5=Inputs!$C$13)*$D$146*($D$144+Inputs!$C$14))+$I$144*((Y$5=Inputs!$C$15+$K$144)*$E$146*$I$146+(Y$5=Inputs!$C$16+$K$144)*$F$146*$J$146+(Y$5=Inputs!$C$17)*$G$146*$H$144*$H$146)</f>
        <v>50.4533333333333</v>
      </c>
      <c r="Z149" s="42" t="n">
        <f aca="false">-($D$144+$J$144)*(Z$5=0)+IF(AND(Z$5-$K$144&gt;=1,Z$5-$K$144&lt;=Inputs!$C$13),INDEX($N$147:$AL$147,1,Z$5-$K$144+1)*INDEX($N$148:$AL$148,1,Z$5-$K$144+1),0)-$I$144*((Z$5=Inputs!$C$12)*$C$146*$D$144+(Z$5=Inputs!$C$13)*$D$146*($D$144+Inputs!$C$14))+$I$144*((Z$5=Inputs!$C$15+$K$144)*$E$146*$I$146+(Z$5=Inputs!$C$16+$K$144)*$F$146*$J$146+(Z$5=Inputs!$C$17)*$G$146*$H$144*$H$146)</f>
        <v>-576.394666666666</v>
      </c>
      <c r="AA149" s="42" t="n">
        <f aca="false">-($D$144+$J$144)*(AA$5=0)+IF(AND(AA$5-$K$144&gt;=1,AA$5-$K$144&lt;=Inputs!$C$13),INDEX($N$147:$AL$147,1,AA$5-$K$144+1)*INDEX($N$148:$AL$148,1,AA$5-$K$144+1),0)-$I$144*((AA$5=Inputs!$C$12)*$C$146*$D$144+(AA$5=Inputs!$C$13)*$D$146*($D$144+Inputs!$C$14))+$I$144*((AA$5=Inputs!$C$15+$K$144)*$E$146*$I$146+(AA$5=Inputs!$C$16+$K$144)*$F$146*$J$146+(AA$5=Inputs!$C$17)*$G$146*$H$144*$H$146)</f>
        <v>51.1573333333333</v>
      </c>
      <c r="AB149" s="42" t="n">
        <f aca="false">-($D$144+$J$144)*(AB$5=0)+IF(AND(AB$5-$K$144&gt;=1,AB$5-$K$144&lt;=Inputs!$C$13),INDEX($N$147:$AL$147,1,AB$5-$K$144+1)*INDEX($N$148:$AL$148,1,AB$5-$K$144+1),0)-$I$144*((AB$5=Inputs!$C$12)*$C$146*$D$144+(AB$5=Inputs!$C$13)*$D$146*($D$144+Inputs!$C$14))+$I$144*((AB$5=Inputs!$C$15+$K$144)*$E$146*$I$146+(AB$5=Inputs!$C$16+$K$144)*$F$146*$J$146+(AB$5=Inputs!$C$17)*$G$146*$H$144*$H$146)</f>
        <v>63.0933333333333</v>
      </c>
      <c r="AC149" s="42" t="n">
        <f aca="false">-($D$144+$J$144)*(AC$5=0)+IF(AND(AC$5-$K$144&gt;=1,AC$5-$K$144&lt;=Inputs!$C$13),INDEX($N$147:$AL$147,1,AC$5-$K$144+1)*INDEX($N$148:$AL$148,1,AC$5-$K$144+1),0)-$I$144*((AC$5=Inputs!$C$12)*$C$146*$D$144+(AC$5=Inputs!$C$13)*$D$146*($D$144+Inputs!$C$14))+$I$144*((AC$5=Inputs!$C$15+$K$144)*$E$146*$I$146+(AC$5=Inputs!$C$16+$K$144)*$F$146*$J$146+(AC$5=Inputs!$C$17)*$G$146*$H$144*$H$146)</f>
        <v>63.7653333333333</v>
      </c>
      <c r="AD149" s="42" t="n">
        <f aca="false">-($D$144+$J$144)*(AD$5=0)+IF(AND(AD$5-$K$144&gt;=1,AD$5-$K$144&lt;=Inputs!$C$13),INDEX($N$147:$AL$147,1,AD$5-$K$144+1)*INDEX($N$148:$AL$148,1,AD$5-$K$144+1),0)-$I$144*((AD$5=Inputs!$C$12)*$C$146*$D$144+(AD$5=Inputs!$C$13)*$D$146*($D$144+Inputs!$C$14))+$I$144*((AD$5=Inputs!$C$15+$K$144)*$E$146*$I$146+(AD$5=Inputs!$C$16+$K$144)*$F$146*$J$146+(AD$5=Inputs!$C$17)*$G$146*$H$144*$H$146)</f>
        <v>64.4373333333336</v>
      </c>
      <c r="AE149" s="42" t="n">
        <f aca="false">-($D$144+$J$144)*(AE$5=0)+IF(AND(AE$5-$K$144&gt;=1,AE$5-$K$144&lt;=Inputs!$C$13),INDEX($N$147:$AL$147,1,AE$5-$K$144+1)*INDEX($N$148:$AL$148,1,AE$5-$K$144+1),0)-$I$144*((AE$5=Inputs!$C$12)*$C$146*$D$144+(AE$5=Inputs!$C$13)*$D$146*($D$144+Inputs!$C$14))+$I$144*((AE$5=Inputs!$C$15+$K$144)*$E$146*$I$146+(AE$5=Inputs!$C$16+$K$144)*$F$146*$J$146+(AE$5=Inputs!$C$17)*$G$146*$H$144*$H$146)</f>
        <v>65.1093333333333</v>
      </c>
      <c r="AF149" s="42" t="n">
        <f aca="false">-($D$144+$J$144)*(AF$5=0)+IF(AND(AF$5-$K$144&gt;=1,AF$5-$K$144&lt;=Inputs!$C$13),INDEX($N$147:$AL$147,1,AF$5-$K$144+1)*INDEX($N$148:$AL$148,1,AF$5-$K$144+1),0)-$I$144*((AF$5=Inputs!$C$12)*$C$146*$D$144+(AF$5=Inputs!$C$13)*$D$146*($D$144+Inputs!$C$14))+$I$144*((AF$5=Inputs!$C$15+$K$144)*$E$146*$I$146+(AF$5=Inputs!$C$16+$K$144)*$F$146*$J$146+(AF$5=Inputs!$C$17)*$G$146*$H$144*$H$146)</f>
        <v>65.7813333333333</v>
      </c>
      <c r="AG149" s="42" t="n">
        <f aca="false">-($D$144+$J$144)*(AG$5=0)+IF(AND(AG$5-$K$144&gt;=1,AG$5-$K$144&lt;=Inputs!$C$13),INDEX($N$147:$AL$147,1,AG$5-$K$144+1)*INDEX($N$148:$AL$148,1,AG$5-$K$144+1),0)-$I$144*((AG$5=Inputs!$C$12)*$C$146*$D$144+(AG$5=Inputs!$C$13)*$D$146*($D$144+Inputs!$C$14))+$I$144*((AG$5=Inputs!$C$15+$K$144)*$E$146*$I$146+(AG$5=Inputs!$C$16+$K$144)*$F$146*$J$146+(AG$5=Inputs!$C$17)*$G$146*$H$144*$H$146)</f>
        <v>66.4533333333333</v>
      </c>
      <c r="AH149" s="42" t="n">
        <f aca="false">-($D$144+$J$144)*(AH$5=0)+IF(AND(AH$5-$K$144&gt;=1,AH$5-$K$144&lt;=Inputs!$C$13),INDEX($N$147:$AL$147,1,AH$5-$K$144+1)*INDEX($N$148:$AL$148,1,AH$5-$K$144+1),0)-$I$144*((AH$5=Inputs!$C$12)*$C$146*$D$144+(AH$5=Inputs!$C$13)*$D$146*($D$144+Inputs!$C$14))+$I$144*((AH$5=Inputs!$C$15+$K$144)*$E$146*$I$146+(AH$5=Inputs!$C$16+$K$144)*$F$146*$J$146+(AH$5=Inputs!$C$17)*$G$146*$H$144*$H$146)</f>
        <v>47.9466666666668</v>
      </c>
      <c r="AI149" s="42" t="n">
        <f aca="false">-($D$144+$J$144)*(AI$5=0)+IF(AND(AI$5-$K$144&gt;=1,AI$5-$K$144&lt;=Inputs!$C$13),INDEX($N$147:$AL$147,1,AI$5-$K$144+1)*INDEX($N$148:$AL$148,1,AI$5-$K$144+1),0)-$I$144*((AI$5=Inputs!$C$12)*$C$146*$D$144+(AI$5=Inputs!$C$13)*$D$146*($D$144+Inputs!$C$14))+$I$144*((AI$5=Inputs!$C$15+$K$144)*$E$146*$I$146+(AI$5=Inputs!$C$16+$K$144)*$F$146*$J$146+(AI$5=Inputs!$C$17)*$G$146*$H$144*$H$146)</f>
        <v>48.4266666666665</v>
      </c>
      <c r="AJ149" s="42" t="n">
        <f aca="false">-($D$144+$J$144)*(AJ$5=0)+IF(AND(AJ$5-$K$144&gt;=1,AJ$5-$K$144&lt;=Inputs!$C$13),INDEX($N$147:$AL$147,1,AJ$5-$K$144+1)*INDEX($N$148:$AL$148,1,AJ$5-$K$144+1),0)-$I$144*((AJ$5=Inputs!$C$12)*$C$146*$D$144+(AJ$5=Inputs!$C$13)*$D$146*($D$144+Inputs!$C$14))+$I$144*((AJ$5=Inputs!$C$15+$K$144)*$E$146*$I$146+(AJ$5=Inputs!$C$16+$K$144)*$F$146*$J$146+(AJ$5=Inputs!$C$17)*$G$146*$H$144*$H$146)</f>
        <v>48.9066666666665</v>
      </c>
      <c r="AK149" s="42" t="n">
        <f aca="false">-($D$144+$J$144)*(AK$5=0)+IF(AND(AK$5-$K$144&gt;=1,AK$5-$K$144&lt;=Inputs!$C$13),INDEX($N$147:$AL$147,1,AK$5-$K$144+1)*INDEX($N$148:$AL$148,1,AK$5-$K$144+1),0)-$I$144*((AK$5=Inputs!$C$12)*$C$146*$D$144+(AK$5=Inputs!$C$13)*$D$146*($D$144+Inputs!$C$14))+$I$144*((AK$5=Inputs!$C$15+$K$144)*$E$146*$I$146+(AK$5=Inputs!$C$16+$K$144)*$F$146*$J$146+(AK$5=Inputs!$C$17)*$G$146*$H$144*$H$146)</f>
        <v>49.3866666666668</v>
      </c>
      <c r="AL149" s="42" t="n">
        <f aca="false">-($D$144+$J$144)*(AL$5=0)+IF(AND(AL$5-$K$144&gt;=1,AL$5-$K$144&lt;=Inputs!$C$13),INDEX($N$147:$AL$147,1,AL$5-$K$144+1)*INDEX($N$148:$AL$148,1,AL$5-$K$144+1),0)-$I$144*((AL$5=Inputs!$C$12)*$C$146*$D$144+(AL$5=Inputs!$C$13)*$D$146*($D$144+Inputs!$C$14))+$I$144*((AL$5=Inputs!$C$15+$K$144)*$E$146*$I$146+(AL$5=Inputs!$C$16+$K$144)*$F$146*$J$146+(AL$5=Inputs!$C$17)*$G$146*$H$144*$H$146)</f>
        <v>-630.133333333333</v>
      </c>
      <c r="AM149" s="42" t="n">
        <f aca="false">-($D$144+$J$144)*(AM$5=0)+IF(AND(AM$5-$K$144&gt;=1,AM$5-$K$144&lt;=Inputs!$C$13),INDEX($N$147:$AL$147,1,AM$5-$K$144+1)*INDEX($N$148:$AL$148,1,AM$5-$K$144+1),0)-$I$144*((AM$5=Inputs!$C$12)*$C$146*$D$144+(AM$5=Inputs!$C$13)*$D$146*($D$144+Inputs!$C$14))+$I$144*((AM$5=Inputs!$C$15+$K$144)*$E$146*$I$146+(AM$5=Inputs!$C$16+$K$144)*$F$146*$J$146+(AM$5=Inputs!$C$17)*$G$146*$H$144*$H$146)</f>
        <v>50.3466666666665</v>
      </c>
      <c r="AN149" s="42" t="n">
        <f aca="false">-($D$144+$J$144)*(AN$5=0)+IF(AND(AN$5-$K$144&gt;=1,AN$5-$K$144&lt;=Inputs!$C$13),INDEX($N$147:$AL$147,1,AN$5-$K$144+1)*INDEX($N$148:$AL$148,1,AN$5-$K$144+1),0)-$I$144*((AN$5=Inputs!$C$12)*$C$146*$D$144+(AN$5=Inputs!$C$13)*$D$146*($D$144+Inputs!$C$14))+$I$144*((AN$5=Inputs!$C$15+$K$144)*$E$146*$I$146+(AN$5=Inputs!$C$16+$K$144)*$F$146*$J$146+(AN$5=Inputs!$C$17)*$G$146*$H$144*$H$146)</f>
        <v>0</v>
      </c>
      <c r="AO149" s="42" t="n">
        <f aca="false">-($D$144+$J$144)*(AO$5=0)+IF(AND(AO$5-$K$144&gt;=1,AO$5-$K$144&lt;=Inputs!$C$13),INDEX($N$147:$AL$147,1,AO$5-$K$144+1)*INDEX($N$148:$AL$148,1,AO$5-$K$144+1),0)-$I$144*((AO$5=Inputs!$C$12)*$C$146*$D$144+(AO$5=Inputs!$C$13)*$D$146*($D$144+Inputs!$C$14))+$I$144*((AO$5=Inputs!$C$15+$K$144)*$E$146*$I$146+(AO$5=Inputs!$C$16+$K$144)*$F$146*$J$146+(AO$5=Inputs!$C$17)*$G$146*$H$144*$H$146)</f>
        <v>0</v>
      </c>
      <c r="AP149" s="42" t="n">
        <f aca="false">-($D$144+$J$144)*(AP$5=0)+IF(AND(AP$5-$K$144&gt;=1,AP$5-$K$144&lt;=Inputs!$C$13),INDEX($N$147:$AL$147,1,AP$5-$K$144+1)*INDEX($N$148:$AL$148,1,AP$5-$K$144+1),0)-$I$144*((AP$5=Inputs!$C$12)*$C$146*$D$144+(AP$5=Inputs!$C$13)*$D$146*($D$144+Inputs!$C$14))+$I$144*((AP$5=Inputs!$C$15+$K$144)*$E$146*$I$146+(AP$5=Inputs!$C$16+$K$144)*$F$146*$J$146+(AP$5=Inputs!$C$17)*$G$146*$H$144*$H$146)</f>
        <v>588.48</v>
      </c>
      <c r="AQ149" s="42" t="n">
        <f aca="false">-($D$144+$J$144)*(AQ$5=0)+IF(AND(AQ$5-$K$144&gt;=1,AQ$5-$K$144&lt;=Inputs!$C$13),INDEX($N$147:$AL$147,1,AQ$5-$K$144+1)*INDEX($N$148:$AL$148,1,AQ$5-$K$144+1),0)-$I$144*((AQ$5=Inputs!$C$12)*$C$146*$D$144+(AQ$5=Inputs!$C$13)*$D$146*($D$144+Inputs!$C$14))+$I$144*((AQ$5=Inputs!$C$15+$K$144)*$E$146*$I$146+(AQ$5=Inputs!$C$16+$K$144)*$F$146*$J$146+(AQ$5=Inputs!$C$17)*$G$146*$H$144*$H$146)</f>
        <v>0</v>
      </c>
      <c r="AR149" s="42" t="n">
        <f aca="false">-($D$144+$J$144)*(AR$5=0)+IF(AND(AR$5-$K$144&gt;=1,AR$5-$K$144&lt;=Inputs!$C$13),INDEX($N$147:$AL$147,1,AR$5-$K$144+1)*INDEX($N$148:$AL$148,1,AR$5-$K$144+1),0)-$I$144*((AR$5=Inputs!$C$12)*$C$146*$D$144+(AR$5=Inputs!$C$13)*$D$146*($D$144+Inputs!$C$14))+$I$144*((AR$5=Inputs!$C$15+$K$144)*$E$146*$I$146+(AR$5=Inputs!$C$16+$K$144)*$F$146*$J$146+(AR$5=Inputs!$C$17)*$G$146*$H$144*$H$146)</f>
        <v>0</v>
      </c>
      <c r="AS149" s="42" t="n">
        <f aca="false">-($D$144+$J$144)*(AS$5=0)+IF(AND(AS$5-$K$144&gt;=1,AS$5-$K$144&lt;=Inputs!$C$13),INDEX($N$147:$AL$147,1,AS$5-$K$144+1)*INDEX($N$148:$AL$148,1,AS$5-$K$144+1),0)-$I$144*((AS$5=Inputs!$C$12)*$C$146*$D$144+(AS$5=Inputs!$C$13)*$D$146*($D$144+Inputs!$C$14))+$I$144*((AS$5=Inputs!$C$15+$K$144)*$E$146*$I$146+(AS$5=Inputs!$C$16+$K$144)*$F$146*$J$146+(AS$5=Inputs!$C$17)*$G$146*$H$144*$H$146)</f>
        <v>452.16</v>
      </c>
      <c r="AT149" s="42" t="n">
        <f aca="false">-($D$144+$J$144)*(AT$5=0)+IF(AND(AT$5-$K$144&gt;=1,AT$5-$K$144&lt;=Inputs!$C$13),INDEX($N$147:$AL$147,1,AT$5-$K$144+1)*INDEX($N$148:$AL$148,1,AT$5-$K$144+1),0)-$I$144*((AT$5=Inputs!$C$12)*$C$146*$D$144+(AT$5=Inputs!$C$13)*$D$146*($D$144+Inputs!$C$14))+$I$144*((AT$5=Inputs!$C$15+$K$144)*$E$146*$I$146+(AT$5=Inputs!$C$16+$K$144)*$F$146*$J$146+(AT$5=Inputs!$C$17)*$G$146*$H$144*$H$146)</f>
        <v>0</v>
      </c>
      <c r="AU149" s="42" t="n">
        <f aca="false">-($D$144+$J$144)*(AU$5=0)+IF(AND(AU$5-$K$144&gt;=1,AU$5-$K$144&lt;=Inputs!$C$13),INDEX($N$147:$AL$147,1,AU$5-$K$144+1)*INDEX($N$148:$AL$148,1,AU$5-$K$144+1),0)-$I$144*((AU$5=Inputs!$C$12)*$C$146*$D$144+(AU$5=Inputs!$C$13)*$D$146*($D$144+Inputs!$C$14))+$I$144*((AU$5=Inputs!$C$15+$K$144)*$E$146*$I$146+(AU$5=Inputs!$C$16+$K$144)*$F$146*$J$146+(AU$5=Inputs!$C$17)*$G$146*$H$144*$H$146)</f>
        <v>0</v>
      </c>
      <c r="AV149" s="42" t="n">
        <f aca="false">-($D$144+$J$144)*(AV$5=0)+IF(AND(AV$5-$K$144&gt;=1,AV$5-$K$144&lt;=Inputs!$C$13),INDEX($N$147:$AL$147,1,AV$5-$K$144+1)*INDEX($N$148:$AL$148,1,AV$5-$K$144+1),0)-$I$144*((AV$5=Inputs!$C$12)*$C$146*$D$144+(AV$5=Inputs!$C$13)*$D$146*($D$144+Inputs!$C$14))+$I$144*((AV$5=Inputs!$C$15+$K$144)*$E$146*$I$146+(AV$5=Inputs!$C$16+$K$144)*$F$146*$J$146+(AV$5=Inputs!$C$17)*$G$146*$H$144*$H$146)</f>
        <v>0</v>
      </c>
      <c r="AW149" s="42" t="n">
        <f aca="false">-($D$144+$J$144)*(AW$5=0)+IF(AND(AW$5-$K$144&gt;=1,AW$5-$K$144&lt;=Inputs!$C$13),INDEX($N$147:$AL$147,1,AW$5-$K$144+1)*INDEX($N$148:$AL$148,1,AW$5-$K$144+1),0)-$I$144*((AW$5=Inputs!$C$12)*$C$146*$D$144+(AW$5=Inputs!$C$13)*$D$146*($D$144+Inputs!$C$14))+$I$144*((AW$5=Inputs!$C$15+$K$144)*$E$146*$I$146+(AW$5=Inputs!$C$16+$K$144)*$F$146*$J$146+(AW$5=Inputs!$C$17)*$G$146*$H$144*$H$146)</f>
        <v>0</v>
      </c>
      <c r="AX149" s="42" t="n">
        <f aca="false">-($D$144+$J$144)*(AX$5=0)+IF(AND(AX$5-$K$144&gt;=1,AX$5-$K$144&lt;=Inputs!$C$13),INDEX($N$147:$AL$147,1,AX$5-$K$144+1)*INDEX($N$148:$AL$148,1,AX$5-$K$144+1),0)-$I$144*((AX$5=Inputs!$C$12)*$C$146*$D$144+(AX$5=Inputs!$C$13)*$D$146*($D$144+Inputs!$C$14))+$I$144*((AX$5=Inputs!$C$15+$K$144)*$E$146*$I$146+(AX$5=Inputs!$C$16+$K$144)*$F$146*$J$146+(AX$5=Inputs!$C$17)*$G$146*$H$144*$H$146)</f>
        <v>277.2</v>
      </c>
      <c r="AY149" s="42" t="n">
        <f aca="false">-($D$144+$J$144)*(AY$5=0)+IF(AND(AY$5-$K$144&gt;=1,AY$5-$K$144&lt;=Inputs!$C$13),INDEX($N$147:$AL$147,1,AY$5-$K$144+1)*INDEX($N$148:$AL$148,1,AY$5-$K$144+1),0)-$I$144*((AY$5=Inputs!$C$12)*$C$146*$D$144+(AY$5=Inputs!$C$13)*$D$146*($D$144+Inputs!$C$14))+$I$144*((AY$5=Inputs!$C$15+$K$144)*$E$146*$I$146+(AY$5=Inputs!$C$16+$K$144)*$F$146*$J$146+(AY$5=Inputs!$C$17)*$G$146*$H$144*$H$146)</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AY4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12" min="3" style="0" width="12.5"/>
    <col collapsed="false" customWidth="true" hidden="false" outlineLevel="0" max="13" min="13" style="0" width="2"/>
    <col collapsed="false" customWidth="true" hidden="false" outlineLevel="0" max="51" min="14" style="0" width="10.5"/>
  </cols>
  <sheetData>
    <row r="1" customFormat="false" ht="6" hidden="false" customHeight="true" outlineLevel="0" collapsed="false"/>
    <row r="2" customFormat="false" ht="17.35" hidden="false" customHeight="false" outlineLevel="0" collapsed="false">
      <c r="B2" s="5" t="s">
        <v>239</v>
      </c>
    </row>
    <row r="3" customFormat="false" ht="15" hidden="false" customHeight="false" outlineLevel="0" collapsed="false">
      <c r="B3" s="6" t="s">
        <v>240</v>
      </c>
    </row>
    <row r="5" customFormat="false" ht="15" hidden="false" customHeight="false" outlineLevel="0" collapsed="false">
      <c r="B5" s="7" t="s">
        <v>167</v>
      </c>
      <c r="N5" s="24" t="n">
        <v>0</v>
      </c>
      <c r="O5" s="24" t="n">
        <v>1</v>
      </c>
      <c r="P5" s="24" t="n">
        <v>2</v>
      </c>
      <c r="Q5" s="24" t="n">
        <v>3</v>
      </c>
      <c r="R5" s="24" t="n">
        <v>4</v>
      </c>
      <c r="S5" s="24" t="n">
        <v>5</v>
      </c>
      <c r="T5" s="24" t="n">
        <v>6</v>
      </c>
      <c r="U5" s="24" t="n">
        <v>7</v>
      </c>
      <c r="V5" s="24" t="n">
        <v>8</v>
      </c>
      <c r="W5" s="24" t="n">
        <v>9</v>
      </c>
      <c r="X5" s="24" t="n">
        <v>10</v>
      </c>
      <c r="Y5" s="24" t="n">
        <v>11</v>
      </c>
      <c r="Z5" s="24" t="n">
        <v>12</v>
      </c>
      <c r="AA5" s="24" t="n">
        <v>13</v>
      </c>
      <c r="AB5" s="24" t="n">
        <v>14</v>
      </c>
      <c r="AC5" s="24" t="n">
        <v>15</v>
      </c>
      <c r="AD5" s="24" t="n">
        <v>16</v>
      </c>
      <c r="AE5" s="24" t="n">
        <v>17</v>
      </c>
      <c r="AF5" s="24" t="n">
        <v>18</v>
      </c>
      <c r="AG5" s="24" t="n">
        <v>19</v>
      </c>
      <c r="AH5" s="24" t="n">
        <v>20</v>
      </c>
      <c r="AI5" s="24" t="n">
        <v>21</v>
      </c>
      <c r="AJ5" s="24" t="n">
        <v>22</v>
      </c>
      <c r="AK5" s="24" t="n">
        <v>23</v>
      </c>
      <c r="AL5" s="24" t="n">
        <v>24</v>
      </c>
      <c r="AM5" s="24" t="n">
        <v>25</v>
      </c>
      <c r="AN5" s="24" t="n">
        <v>26</v>
      </c>
      <c r="AO5" s="24" t="n">
        <v>27</v>
      </c>
      <c r="AP5" s="24" t="n">
        <v>28</v>
      </c>
      <c r="AQ5" s="24" t="n">
        <v>29</v>
      </c>
      <c r="AR5" s="24" t="n">
        <v>30</v>
      </c>
      <c r="AS5" s="24" t="n">
        <v>31</v>
      </c>
      <c r="AT5" s="24" t="n">
        <v>32</v>
      </c>
      <c r="AU5" s="24" t="n">
        <v>33</v>
      </c>
      <c r="AV5" s="24" t="n">
        <v>34</v>
      </c>
      <c r="AW5" s="24" t="n">
        <v>35</v>
      </c>
      <c r="AX5" s="24" t="n">
        <v>36</v>
      </c>
      <c r="AY5" s="24" t="n">
        <v>37</v>
      </c>
    </row>
    <row r="7" customFormat="false" ht="15" hidden="false" customHeight="false" outlineLevel="0" collapsed="false">
      <c r="B7" s="7" t="s">
        <v>241</v>
      </c>
      <c r="C7" s="8"/>
      <c r="D7" s="8"/>
      <c r="E7" s="8"/>
      <c r="F7" s="8"/>
      <c r="G7" s="8"/>
      <c r="H7" s="8"/>
      <c r="I7" s="8"/>
      <c r="J7" s="8"/>
      <c r="K7" s="8"/>
      <c r="L7" s="8"/>
    </row>
    <row r="8" customFormat="false" ht="30" hidden="false" customHeight="true" outlineLevel="0" collapsed="false">
      <c r="B8" s="37"/>
      <c r="C8" s="38" t="s">
        <v>169</v>
      </c>
      <c r="D8" s="38" t="s">
        <v>170</v>
      </c>
      <c r="E8" s="38" t="s">
        <v>171</v>
      </c>
      <c r="F8" s="38" t="s">
        <v>43</v>
      </c>
      <c r="G8" s="38" t="s">
        <v>44</v>
      </c>
      <c r="H8" s="38" t="s">
        <v>45</v>
      </c>
      <c r="I8" s="38" t="s">
        <v>172</v>
      </c>
      <c r="J8" s="38" t="s">
        <v>90</v>
      </c>
      <c r="K8" s="38" t="s">
        <v>89</v>
      </c>
      <c r="L8" s="38" t="s">
        <v>173</v>
      </c>
    </row>
    <row r="9" customFormat="false" ht="15" hidden="false" customHeight="false" outlineLevel="0" collapsed="false">
      <c r="B9" s="39" t="s">
        <v>174</v>
      </c>
      <c r="C9" s="26" t="n">
        <f aca="false">Inputs!$F$39*Inputs!$E$55</f>
        <v>0.005</v>
      </c>
      <c r="D9" s="30" t="n">
        <f aca="false">Inputs!$E$39</f>
        <v>4200</v>
      </c>
      <c r="E9" s="26" t="n">
        <f aca="false">IF(Inputs!$G$39=1,Inputs!$F$27,MIN(1,MAX(0,INDEX(Inputs!$F$23:$F$27,MATCH(Inputs!$C$39,Inputs!$B$23:$B$27,0))+INDEX(Inputs!$C$48:$C$51,MATCH(Inputs!$D$55,Inputs!$B$48:$B$51,0)))))</f>
        <v>0.985</v>
      </c>
      <c r="F9" s="25" t="n">
        <f aca="false">IF(Inputs!$G$39=1,Inputs!$G$27,INDEX(Inputs!$G$23:$G$27,MATCH(Inputs!$C$39,Inputs!$B$23:$B$27,0)))</f>
        <v>0.8</v>
      </c>
      <c r="G9" s="25" t="n">
        <f aca="false">IF(Inputs!$G$39=1,Inputs!$H$27,INDEX(Inputs!$H$23:$H$27,MATCH(Inputs!$C$39,Inputs!$B$23:$B$27,0)))*INDEX(Inputs!$D$48:$D$51,MATCH(Inputs!$D$55,Inputs!$B$48:$B$51,0))</f>
        <v>0.95</v>
      </c>
      <c r="H9" s="25" t="n">
        <f aca="false">MAX(0,IF(Inputs!$G$39=1,Inputs!$I$27,INDEX(Inputs!$I$23:$I$27,MATCH(Inputs!$C$39,Inputs!$B$23:$B$27,0)))+INDEX(Inputs!$E$48:$E$51,MATCH(Inputs!$D$55,Inputs!$B$48:$B$51,0)))</f>
        <v>0.9</v>
      </c>
      <c r="I9" s="22" t="n">
        <f aca="false">IF(Inputs!$G$39=1,0,INDEX(Inputs!$J$23:$J$27,MATCH(Inputs!$C$39,Inputs!$B$23:$B$27,0)))</f>
        <v>1</v>
      </c>
      <c r="J9" s="23" t="n">
        <f aca="false">Inputs!$G$55</f>
        <v>10</v>
      </c>
      <c r="K9" s="22" t="n">
        <f aca="false">Inputs!$F$55</f>
        <v>1</v>
      </c>
      <c r="L9" s="22" t="n">
        <f aca="false">Inputs!$C$55</f>
        <v>1</v>
      </c>
    </row>
    <row r="10" customFormat="false" ht="30" hidden="false" customHeight="true" outlineLevel="0" collapsed="false">
      <c r="B10" s="37"/>
      <c r="C10" s="38" t="s">
        <v>175</v>
      </c>
      <c r="D10" s="38" t="s">
        <v>176</v>
      </c>
      <c r="E10" s="38" t="s">
        <v>177</v>
      </c>
      <c r="F10" s="38" t="s">
        <v>178</v>
      </c>
      <c r="G10" s="38" t="s">
        <v>112</v>
      </c>
      <c r="H10" s="38" t="s">
        <v>179</v>
      </c>
      <c r="I10" s="38" t="s">
        <v>180</v>
      </c>
      <c r="J10" s="38" t="s">
        <v>181</v>
      </c>
      <c r="K10" s="38" t="s">
        <v>182</v>
      </c>
      <c r="L10" s="38" t="s">
        <v>183</v>
      </c>
    </row>
    <row r="11" customFormat="false" ht="15" hidden="false" customHeight="false" outlineLevel="0" collapsed="false">
      <c r="B11" s="39" t="s">
        <v>184</v>
      </c>
      <c r="C11" s="40" t="n">
        <f aca="false">1-$E$9*CHOOSE($L$9,INDEX(Timing!$C$7:$AA$7,1,Inputs!$C$12+1),INDEX(Timing!$C$8:$AA$8,1,Inputs!$C$12+1))</f>
        <v>0.2514</v>
      </c>
      <c r="D11" s="40" t="n">
        <f aca="false">1-$E$9*CHOOSE($L$9,INDEX(Timing!$C$7:$AA$7,1,Inputs!$C$13+1),INDEX(Timing!$C$8:$AA$8,1,Inputs!$C$13+1))</f>
        <v>0.015</v>
      </c>
      <c r="E11" s="40" t="n">
        <f aca="false">$I$9*$D$11*$F$9</f>
        <v>0.012</v>
      </c>
      <c r="F11" s="40" t="n">
        <f aca="false">$I$9*($D$11-$E$11)*$G$9</f>
        <v>0.00285</v>
      </c>
      <c r="G11" s="40" t="n">
        <f aca="false">$I$9*($D$11-$E$11-$F$11)</f>
        <v>0.00015</v>
      </c>
      <c r="H11" s="23" t="n">
        <f aca="false">$I$9*(3*$D$9+Inputs!$C$14)</f>
        <v>14400</v>
      </c>
      <c r="I11" s="23" t="n">
        <f aca="false">$I$9*($D$9*(1+IF($C$9&lt;=0,0,MAX($C$9*Inputs!$C$15/12,Inputs!$C$8)))+$D$9*(1+Inputs!$C$11*(Inputs!$C$15-Inputs!$C$12)/12)+$D$9*(1+Inputs!$C$11*(Inputs!$C$15-Inputs!$C$13)/12)+Inputs!$C$14)</f>
        <v>15744</v>
      </c>
      <c r="J11" s="23" t="n">
        <f aca="false">$I$9*($D$9*(1+IF($C$9&lt;=0,0,MAX($C$9*Inputs!$C$16/12,Inputs!$C$8)))+$D$9*(1+Inputs!$C$11*(Inputs!$C$16-Inputs!$C$12)/12)+$D$9*(1+Inputs!$C$11*(Inputs!$C$16-Inputs!$C$13)/12)+Inputs!$C$14)</f>
        <v>16122</v>
      </c>
      <c r="K11" s="40" t="n">
        <f aca="false">IRR($N$14:$AY$14,0.005)</f>
        <v>0.00617231425722721</v>
      </c>
      <c r="L11" s="41" t="n">
        <f aca="false">(1+$K$11)^12-1</f>
        <v>0.0766346621551932</v>
      </c>
    </row>
    <row r="12" customFormat="false" ht="15" hidden="false" customHeight="false" outlineLevel="0" collapsed="false">
      <c r="B12" s="9" t="s">
        <v>185</v>
      </c>
      <c r="N12" s="40" t="n">
        <f aca="false">0</f>
        <v>0</v>
      </c>
      <c r="O12" s="40" t="n">
        <f aca="false">$E$9*(CHOOSE($L$9,Timing!D$7,Timing!D$8)-CHOOSE($L$9,Timing!C$7,Timing!C$8))</f>
        <v>0.1182</v>
      </c>
      <c r="P12" s="40" t="n">
        <f aca="false">$E$9*(CHOOSE($L$9,Timing!E$7,Timing!E$8)-CHOOSE($L$9,Timing!D$7,Timing!D$8))</f>
        <v>0.0985</v>
      </c>
      <c r="Q12" s="40" t="n">
        <f aca="false">$E$9*(CHOOSE($L$9,Timing!F$7,Timing!F$8)-CHOOSE($L$9,Timing!E$7,Timing!E$8))</f>
        <v>0.08865</v>
      </c>
      <c r="R12" s="40" t="n">
        <f aca="false">$E$9*(CHOOSE($L$9,Timing!G$7,Timing!G$8)-CHOOSE($L$9,Timing!F$7,Timing!F$8))</f>
        <v>0.06895</v>
      </c>
      <c r="S12" s="40" t="n">
        <f aca="false">$E$9*(CHOOSE($L$9,Timing!H$7,Timing!H$8)-CHOOSE($L$9,Timing!G$7,Timing!G$8))</f>
        <v>0.06895</v>
      </c>
      <c r="T12" s="40" t="n">
        <f aca="false">$E$9*(CHOOSE($L$9,Timing!I$7,Timing!I$8)-CHOOSE($L$9,Timing!H$7,Timing!H$8))</f>
        <v>0.06895</v>
      </c>
      <c r="U12" s="40" t="n">
        <f aca="false">$E$9*(CHOOSE($L$9,Timing!J$7,Timing!J$8)-CHOOSE($L$9,Timing!I$7,Timing!I$8))</f>
        <v>0.0426833333333333</v>
      </c>
      <c r="V12" s="40" t="n">
        <f aca="false">$E$9*(CHOOSE($L$9,Timing!K$7,Timing!K$8)-CHOOSE($L$9,Timing!J$7,Timing!J$8))</f>
        <v>0.0426833333333333</v>
      </c>
      <c r="W12" s="40" t="n">
        <f aca="false">$E$9*(CHOOSE($L$9,Timing!L$7,Timing!L$8)-CHOOSE($L$9,Timing!K$7,Timing!K$8))</f>
        <v>0.0426833333333333</v>
      </c>
      <c r="X12" s="40" t="n">
        <f aca="false">$E$9*(CHOOSE($L$9,Timing!M$7,Timing!M$8)-CHOOSE($L$9,Timing!L$7,Timing!L$8))</f>
        <v>0.0361166666666666</v>
      </c>
      <c r="Y12" s="40" t="n">
        <f aca="false">$E$9*(CHOOSE($L$9,Timing!N$7,Timing!N$8)-CHOOSE($L$9,Timing!M$7,Timing!M$8))</f>
        <v>0.0361166666666667</v>
      </c>
      <c r="Z12" s="40" t="n">
        <f aca="false">$E$9*(CHOOSE($L$9,Timing!O$7,Timing!O$8)-CHOOSE($L$9,Timing!N$7,Timing!N$8))</f>
        <v>0.0361166666666666</v>
      </c>
      <c r="AA12" s="40" t="n">
        <f aca="false">$E$9*(CHOOSE($L$9,Timing!P$7,Timing!P$8)-CHOOSE($L$9,Timing!O$7,Timing!O$8))</f>
        <v>0.0229833333333333</v>
      </c>
      <c r="AB12" s="40" t="n">
        <f aca="false">$E$9*(CHOOSE($L$9,Timing!Q$7,Timing!Q$8)-CHOOSE($L$9,Timing!P$7,Timing!P$8))</f>
        <v>0.0229833333333333</v>
      </c>
      <c r="AC12" s="40" t="n">
        <f aca="false">$E$9*(CHOOSE($L$9,Timing!R$7,Timing!R$8)-CHOOSE($L$9,Timing!Q$7,Timing!Q$8))</f>
        <v>0.0229833333333334</v>
      </c>
      <c r="AD12" s="40" t="n">
        <f aca="false">$E$9*(CHOOSE($L$9,Timing!S$7,Timing!S$8)-CHOOSE($L$9,Timing!R$7,Timing!R$8))</f>
        <v>0.0229833333333333</v>
      </c>
      <c r="AE12" s="40" t="n">
        <f aca="false">$E$9*(CHOOSE($L$9,Timing!T$7,Timing!T$8)-CHOOSE($L$9,Timing!S$7,Timing!S$8))</f>
        <v>0.0229833333333333</v>
      </c>
      <c r="AF12" s="40" t="n">
        <f aca="false">$E$9*(CHOOSE($L$9,Timing!U$7,Timing!U$8)-CHOOSE($L$9,Timing!T$7,Timing!T$8))</f>
        <v>0.0229833333333333</v>
      </c>
      <c r="AG12" s="40" t="n">
        <f aca="false">$E$9*(CHOOSE($L$9,Timing!V$7,Timing!V$8)-CHOOSE($L$9,Timing!U$7,Timing!U$8))</f>
        <v>0.0164166666666667</v>
      </c>
      <c r="AH12" s="40" t="n">
        <f aca="false">$E$9*(CHOOSE($L$9,Timing!W$7,Timing!W$8)-CHOOSE($L$9,Timing!V$7,Timing!V$8))</f>
        <v>0.0164166666666666</v>
      </c>
      <c r="AI12" s="40" t="n">
        <f aca="false">$E$9*(CHOOSE($L$9,Timing!X$7,Timing!X$8)-CHOOSE($L$9,Timing!W$7,Timing!W$8))</f>
        <v>0.0164166666666666</v>
      </c>
      <c r="AJ12" s="40" t="n">
        <f aca="false">$E$9*(CHOOSE($L$9,Timing!Y$7,Timing!Y$8)-CHOOSE($L$9,Timing!X$7,Timing!X$8))</f>
        <v>0.0164166666666667</v>
      </c>
      <c r="AK12" s="40" t="n">
        <f aca="false">$E$9*(CHOOSE($L$9,Timing!Z$7,Timing!Z$8)-CHOOSE($L$9,Timing!Y$7,Timing!Y$8))</f>
        <v>0.0164166666666667</v>
      </c>
      <c r="AL12" s="40" t="n">
        <f aca="false">$E$9*(CHOOSE($L$9,Timing!AA$7,Timing!AA$8)-CHOOSE($L$9,Timing!Z$7,Timing!Z$8))</f>
        <v>0.0164166666666666</v>
      </c>
    </row>
    <row r="13" customFormat="false" ht="15" hidden="false" customHeight="false" outlineLevel="0" collapsed="false">
      <c r="B13" s="9" t="s">
        <v>186</v>
      </c>
      <c r="N13" s="42" t="n">
        <f aca="false">0</f>
        <v>0</v>
      </c>
      <c r="O13" s="42" t="n">
        <f aca="false">$D$9*(1+IF($C$9&lt;=0,0,MAX($C$9*O$5/12,Inputs!$C$8)))+$I$9*(O$5&gt;Inputs!$C$12)*$D$9*(1+Inputs!$C$11*(O$5-Inputs!$C$12)/12)</f>
        <v>4410</v>
      </c>
      <c r="P13" s="42" t="n">
        <f aca="false">$D$9*(1+IF($C$9&lt;=0,0,MAX($C$9*P$5/12,Inputs!$C$8)))+$I$9*(P$5&gt;Inputs!$C$12)*$D$9*(1+Inputs!$C$11*(P$5-Inputs!$C$12)/12)</f>
        <v>4410</v>
      </c>
      <c r="Q13" s="42" t="n">
        <f aca="false">$D$9*(1+IF($C$9&lt;=0,0,MAX($C$9*Q$5/12,Inputs!$C$8)))+$I$9*(Q$5&gt;Inputs!$C$12)*$D$9*(1+Inputs!$C$11*(Q$5-Inputs!$C$12)/12)</f>
        <v>4410</v>
      </c>
      <c r="R13" s="42" t="n">
        <f aca="false">$D$9*(1+IF($C$9&lt;=0,0,MAX($C$9*R$5/12,Inputs!$C$8)))+$I$9*(R$5&gt;Inputs!$C$12)*$D$9*(1+Inputs!$C$11*(R$5-Inputs!$C$12)/12)</f>
        <v>4410</v>
      </c>
      <c r="S13" s="42" t="n">
        <f aca="false">$D$9*(1+IF($C$9&lt;=0,0,MAX($C$9*S$5/12,Inputs!$C$8)))+$I$9*(S$5&gt;Inputs!$C$12)*$D$9*(1+Inputs!$C$11*(S$5-Inputs!$C$12)/12)</f>
        <v>4410</v>
      </c>
      <c r="T13" s="42" t="n">
        <f aca="false">$D$9*(1+IF($C$9&lt;=0,0,MAX($C$9*T$5/12,Inputs!$C$8)))+$I$9*(T$5&gt;Inputs!$C$12)*$D$9*(1+Inputs!$C$11*(T$5-Inputs!$C$12)/12)</f>
        <v>4410</v>
      </c>
      <c r="U13" s="42" t="n">
        <f aca="false">$D$9*(1+IF($C$9&lt;=0,0,MAX($C$9*U$5/12,Inputs!$C$8)))+$I$9*(U$5&gt;Inputs!$C$12)*$D$9*(1+Inputs!$C$11*(U$5-Inputs!$C$12)/12)</f>
        <v>4410</v>
      </c>
      <c r="V13" s="42" t="n">
        <f aca="false">$D$9*(1+IF($C$9&lt;=0,0,MAX($C$9*V$5/12,Inputs!$C$8)))+$I$9*(V$5&gt;Inputs!$C$12)*$D$9*(1+Inputs!$C$11*(V$5-Inputs!$C$12)/12)</f>
        <v>4410</v>
      </c>
      <c r="W13" s="42" t="n">
        <f aca="false">$D$9*(1+IF($C$9&lt;=0,0,MAX($C$9*W$5/12,Inputs!$C$8)))+$I$9*(W$5&gt;Inputs!$C$12)*$D$9*(1+Inputs!$C$11*(W$5-Inputs!$C$12)/12)</f>
        <v>4410</v>
      </c>
      <c r="X13" s="42" t="n">
        <f aca="false">$D$9*(1+IF($C$9&lt;=0,0,MAX($C$9*X$5/12,Inputs!$C$8)))+$I$9*(X$5&gt;Inputs!$C$12)*$D$9*(1+Inputs!$C$11*(X$5-Inputs!$C$12)/12)</f>
        <v>4410</v>
      </c>
      <c r="Y13" s="42" t="n">
        <f aca="false">$D$9*(1+IF($C$9&lt;=0,0,MAX($C$9*Y$5/12,Inputs!$C$8)))+$I$9*(Y$5&gt;Inputs!$C$12)*$D$9*(1+Inputs!$C$11*(Y$5-Inputs!$C$12)/12)</f>
        <v>4410</v>
      </c>
      <c r="Z13" s="42" t="n">
        <f aca="false">$D$9*(1+IF($C$9&lt;=0,0,MAX($C$9*Z$5/12,Inputs!$C$8)))+$I$9*(Z$5&gt;Inputs!$C$12)*$D$9*(1+Inputs!$C$11*(Z$5-Inputs!$C$12)/12)</f>
        <v>4410</v>
      </c>
      <c r="AA13" s="42" t="n">
        <f aca="false">$D$9*(1+IF($C$9&lt;=0,0,MAX($C$9*AA$5/12,Inputs!$C$8)))+$I$9*(AA$5&gt;Inputs!$C$12)*$D$9*(1+Inputs!$C$11*(AA$5-Inputs!$C$12)/12)</f>
        <v>8673</v>
      </c>
      <c r="AB13" s="42" t="n">
        <f aca="false">$D$9*(1+IF($C$9&lt;=0,0,MAX($C$9*AB$5/12,Inputs!$C$8)))+$I$9*(AB$5&gt;Inputs!$C$12)*$D$9*(1+Inputs!$C$11*(AB$5-Inputs!$C$12)/12)</f>
        <v>8736</v>
      </c>
      <c r="AC13" s="42" t="n">
        <f aca="false">$D$9*(1+IF($C$9&lt;=0,0,MAX($C$9*AC$5/12,Inputs!$C$8)))+$I$9*(AC$5&gt;Inputs!$C$12)*$D$9*(1+Inputs!$C$11*(AC$5-Inputs!$C$12)/12)</f>
        <v>8799</v>
      </c>
      <c r="AD13" s="42" t="n">
        <f aca="false">$D$9*(1+IF($C$9&lt;=0,0,MAX($C$9*AD$5/12,Inputs!$C$8)))+$I$9*(AD$5&gt;Inputs!$C$12)*$D$9*(1+Inputs!$C$11*(AD$5-Inputs!$C$12)/12)</f>
        <v>8862</v>
      </c>
      <c r="AE13" s="42" t="n">
        <f aca="false">$D$9*(1+IF($C$9&lt;=0,0,MAX($C$9*AE$5/12,Inputs!$C$8)))+$I$9*(AE$5&gt;Inputs!$C$12)*$D$9*(1+Inputs!$C$11*(AE$5-Inputs!$C$12)/12)</f>
        <v>8925</v>
      </c>
      <c r="AF13" s="42" t="n">
        <f aca="false">$D$9*(1+IF($C$9&lt;=0,0,MAX($C$9*AF$5/12,Inputs!$C$8)))+$I$9*(AF$5&gt;Inputs!$C$12)*$D$9*(1+Inputs!$C$11*(AF$5-Inputs!$C$12)/12)</f>
        <v>8988</v>
      </c>
      <c r="AG13" s="42" t="n">
        <f aca="false">$D$9*(1+IF($C$9&lt;=0,0,MAX($C$9*AG$5/12,Inputs!$C$8)))+$I$9*(AG$5&gt;Inputs!$C$12)*$D$9*(1+Inputs!$C$11*(AG$5-Inputs!$C$12)/12)</f>
        <v>9051</v>
      </c>
      <c r="AH13" s="42" t="n">
        <f aca="false">$D$9*(1+IF($C$9&lt;=0,0,MAX($C$9*AH$5/12,Inputs!$C$8)))+$I$9*(AH$5&gt;Inputs!$C$12)*$D$9*(1+Inputs!$C$11*(AH$5-Inputs!$C$12)/12)</f>
        <v>9114</v>
      </c>
      <c r="AI13" s="42" t="n">
        <f aca="false">$D$9*(1+IF($C$9&lt;=0,0,MAX($C$9*AI$5/12,Inputs!$C$8)))+$I$9*(AI$5&gt;Inputs!$C$12)*$D$9*(1+Inputs!$C$11*(AI$5-Inputs!$C$12)/12)</f>
        <v>9177</v>
      </c>
      <c r="AJ13" s="42" t="n">
        <f aca="false">$D$9*(1+IF($C$9&lt;=0,0,MAX($C$9*AJ$5/12,Inputs!$C$8)))+$I$9*(AJ$5&gt;Inputs!$C$12)*$D$9*(1+Inputs!$C$11*(AJ$5-Inputs!$C$12)/12)</f>
        <v>9240</v>
      </c>
      <c r="AK13" s="42" t="n">
        <f aca="false">$D$9*(1+IF($C$9&lt;=0,0,MAX($C$9*AK$5/12,Inputs!$C$8)))+$I$9*(AK$5&gt;Inputs!$C$12)*$D$9*(1+Inputs!$C$11*(AK$5-Inputs!$C$12)/12)</f>
        <v>9303</v>
      </c>
      <c r="AL13" s="42" t="n">
        <f aca="false">$D$9*(1+IF($C$9&lt;=0,0,MAX($C$9*AL$5/12,Inputs!$C$8)))+$I$9*(AL$5&gt;Inputs!$C$12)*$D$9*(1+Inputs!$C$11*(AL$5-Inputs!$C$12)/12)</f>
        <v>9366</v>
      </c>
    </row>
    <row r="14" customFormat="false" ht="15" hidden="false" customHeight="false" outlineLevel="0" collapsed="false">
      <c r="B14" s="31" t="s">
        <v>187</v>
      </c>
      <c r="N14" s="42" t="n">
        <f aca="false">-($D$9+$J$9)*(N$5=0)+IF(AND(N$5-$K$9&gt;=1,N$5-$K$9&lt;=Inputs!$C$13),INDEX($N$12:$AL$12,1,N$5-$K$9+1)*INDEX($N$13:$AL$13,1,N$5-$K$9+1),0)-$I$9*((N$5=Inputs!$C$12)*$C$11*$D$9+(N$5=Inputs!$C$13)*$D$11*($D$9+Inputs!$C$14))+$I$9*((N$5=Inputs!$C$15+$K$9)*$E$11*$I$11+(N$5=Inputs!$C$16+$K$9)*$F$11*$J$11+(N$5=Inputs!$C$17)*$G$11*$H$9*$H$11)</f>
        <v>-4210</v>
      </c>
      <c r="O14" s="42" t="n">
        <f aca="false">-($D$9+$J$9)*(O$5=0)+IF(AND(O$5-$K$9&gt;=1,O$5-$K$9&lt;=Inputs!$C$13),INDEX($N$12:$AL$12,1,O$5-$K$9+1)*INDEX($N$13:$AL$13,1,O$5-$K$9+1),0)-$I$9*((O$5=Inputs!$C$12)*$C$11*$D$9+(O$5=Inputs!$C$13)*$D$11*($D$9+Inputs!$C$14))+$I$9*((O$5=Inputs!$C$15+$K$9)*$E$11*$I$11+(O$5=Inputs!$C$16+$K$9)*$F$11*$J$11+(O$5=Inputs!$C$17)*$G$11*$H$9*$H$11)</f>
        <v>0</v>
      </c>
      <c r="P14" s="42" t="n">
        <f aca="false">-($D$9+$J$9)*(P$5=0)+IF(AND(P$5-$K$9&gt;=1,P$5-$K$9&lt;=Inputs!$C$13),INDEX($N$12:$AL$12,1,P$5-$K$9+1)*INDEX($N$13:$AL$13,1,P$5-$K$9+1),0)-$I$9*((P$5=Inputs!$C$12)*$C$11*$D$9+(P$5=Inputs!$C$13)*$D$11*($D$9+Inputs!$C$14))+$I$9*((P$5=Inputs!$C$15+$K$9)*$E$11*$I$11+(P$5=Inputs!$C$16+$K$9)*$F$11*$J$11+(P$5=Inputs!$C$17)*$G$11*$H$9*$H$11)</f>
        <v>521.262</v>
      </c>
      <c r="Q14" s="42" t="n">
        <f aca="false">-($D$9+$J$9)*(Q$5=0)+IF(AND(Q$5-$K$9&gt;=1,Q$5-$K$9&lt;=Inputs!$C$13),INDEX($N$12:$AL$12,1,Q$5-$K$9+1)*INDEX($N$13:$AL$13,1,Q$5-$K$9+1),0)-$I$9*((Q$5=Inputs!$C$12)*$C$11*$D$9+(Q$5=Inputs!$C$13)*$D$11*($D$9+Inputs!$C$14))+$I$9*((Q$5=Inputs!$C$15+$K$9)*$E$11*$I$11+(Q$5=Inputs!$C$16+$K$9)*$F$11*$J$11+(Q$5=Inputs!$C$17)*$G$11*$H$9*$H$11)</f>
        <v>434.385</v>
      </c>
      <c r="R14" s="42" t="n">
        <f aca="false">-($D$9+$J$9)*(R$5=0)+IF(AND(R$5-$K$9&gt;=1,R$5-$K$9&lt;=Inputs!$C$13),INDEX($N$12:$AL$12,1,R$5-$K$9+1)*INDEX($N$13:$AL$13,1,R$5-$K$9+1),0)-$I$9*((R$5=Inputs!$C$12)*$C$11*$D$9+(R$5=Inputs!$C$13)*$D$11*($D$9+Inputs!$C$14))+$I$9*((R$5=Inputs!$C$15+$K$9)*$E$11*$I$11+(R$5=Inputs!$C$16+$K$9)*$F$11*$J$11+(R$5=Inputs!$C$17)*$G$11*$H$9*$H$11)</f>
        <v>390.9465</v>
      </c>
      <c r="S14" s="42" t="n">
        <f aca="false">-($D$9+$J$9)*(S$5=0)+IF(AND(S$5-$K$9&gt;=1,S$5-$K$9&lt;=Inputs!$C$13),INDEX($N$12:$AL$12,1,S$5-$K$9+1)*INDEX($N$13:$AL$13,1,S$5-$K$9+1),0)-$I$9*((S$5=Inputs!$C$12)*$C$11*$D$9+(S$5=Inputs!$C$13)*$D$11*($D$9+Inputs!$C$14))+$I$9*((S$5=Inputs!$C$15+$K$9)*$E$11*$I$11+(S$5=Inputs!$C$16+$K$9)*$F$11*$J$11+(S$5=Inputs!$C$17)*$G$11*$H$9*$H$11)</f>
        <v>304.0695</v>
      </c>
      <c r="T14" s="42" t="n">
        <f aca="false">-($D$9+$J$9)*(T$5=0)+IF(AND(T$5-$K$9&gt;=1,T$5-$K$9&lt;=Inputs!$C$13),INDEX($N$12:$AL$12,1,T$5-$K$9+1)*INDEX($N$13:$AL$13,1,T$5-$K$9+1),0)-$I$9*((T$5=Inputs!$C$12)*$C$11*$D$9+(T$5=Inputs!$C$13)*$D$11*($D$9+Inputs!$C$14))+$I$9*((T$5=Inputs!$C$15+$K$9)*$E$11*$I$11+(T$5=Inputs!$C$16+$K$9)*$F$11*$J$11+(T$5=Inputs!$C$17)*$G$11*$H$9*$H$11)</f>
        <v>304.0695</v>
      </c>
      <c r="U14" s="42" t="n">
        <f aca="false">-($D$9+$J$9)*(U$5=0)+IF(AND(U$5-$K$9&gt;=1,U$5-$K$9&lt;=Inputs!$C$13),INDEX($N$12:$AL$12,1,U$5-$K$9+1)*INDEX($N$13:$AL$13,1,U$5-$K$9+1),0)-$I$9*((U$5=Inputs!$C$12)*$C$11*$D$9+(U$5=Inputs!$C$13)*$D$11*($D$9+Inputs!$C$14))+$I$9*((U$5=Inputs!$C$15+$K$9)*$E$11*$I$11+(U$5=Inputs!$C$16+$K$9)*$F$11*$J$11+(U$5=Inputs!$C$17)*$G$11*$H$9*$H$11)</f>
        <v>304.0695</v>
      </c>
      <c r="V14" s="42" t="n">
        <f aca="false">-($D$9+$J$9)*(V$5=0)+IF(AND(V$5-$K$9&gt;=1,V$5-$K$9&lt;=Inputs!$C$13),INDEX($N$12:$AL$12,1,V$5-$K$9+1)*INDEX($N$13:$AL$13,1,V$5-$K$9+1),0)-$I$9*((V$5=Inputs!$C$12)*$C$11*$D$9+(V$5=Inputs!$C$13)*$D$11*($D$9+Inputs!$C$14))+$I$9*((V$5=Inputs!$C$15+$K$9)*$E$11*$I$11+(V$5=Inputs!$C$16+$K$9)*$F$11*$J$11+(V$5=Inputs!$C$17)*$G$11*$H$9*$H$11)</f>
        <v>188.2335</v>
      </c>
      <c r="W14" s="42" t="n">
        <f aca="false">-($D$9+$J$9)*(W$5=0)+IF(AND(W$5-$K$9&gt;=1,W$5-$K$9&lt;=Inputs!$C$13),INDEX($N$12:$AL$12,1,W$5-$K$9+1)*INDEX($N$13:$AL$13,1,W$5-$K$9+1),0)-$I$9*((W$5=Inputs!$C$12)*$C$11*$D$9+(W$5=Inputs!$C$13)*$D$11*($D$9+Inputs!$C$14))+$I$9*((W$5=Inputs!$C$15+$K$9)*$E$11*$I$11+(W$5=Inputs!$C$16+$K$9)*$F$11*$J$11+(W$5=Inputs!$C$17)*$G$11*$H$9*$H$11)</f>
        <v>188.2335</v>
      </c>
      <c r="X14" s="42" t="n">
        <f aca="false">-($D$9+$J$9)*(X$5=0)+IF(AND(X$5-$K$9&gt;=1,X$5-$K$9&lt;=Inputs!$C$13),INDEX($N$12:$AL$12,1,X$5-$K$9+1)*INDEX($N$13:$AL$13,1,X$5-$K$9+1),0)-$I$9*((X$5=Inputs!$C$12)*$C$11*$D$9+(X$5=Inputs!$C$13)*$D$11*($D$9+Inputs!$C$14))+$I$9*((X$5=Inputs!$C$15+$K$9)*$E$11*$I$11+(X$5=Inputs!$C$16+$K$9)*$F$11*$J$11+(X$5=Inputs!$C$17)*$G$11*$H$9*$H$11)</f>
        <v>188.2335</v>
      </c>
      <c r="Y14" s="42" t="n">
        <f aca="false">-($D$9+$J$9)*(Y$5=0)+IF(AND(Y$5-$K$9&gt;=1,Y$5-$K$9&lt;=Inputs!$C$13),INDEX($N$12:$AL$12,1,Y$5-$K$9+1)*INDEX($N$13:$AL$13,1,Y$5-$K$9+1),0)-$I$9*((Y$5=Inputs!$C$12)*$C$11*$D$9+(Y$5=Inputs!$C$13)*$D$11*($D$9+Inputs!$C$14))+$I$9*((Y$5=Inputs!$C$15+$K$9)*$E$11*$I$11+(Y$5=Inputs!$C$16+$K$9)*$F$11*$J$11+(Y$5=Inputs!$C$17)*$G$11*$H$9*$H$11)</f>
        <v>159.2745</v>
      </c>
      <c r="Z14" s="42" t="n">
        <f aca="false">-($D$9+$J$9)*(Z$5=0)+IF(AND(Z$5-$K$9&gt;=1,Z$5-$K$9&lt;=Inputs!$C$13),INDEX($N$12:$AL$12,1,Z$5-$K$9+1)*INDEX($N$13:$AL$13,1,Z$5-$K$9+1),0)-$I$9*((Z$5=Inputs!$C$12)*$C$11*$D$9+(Z$5=Inputs!$C$13)*$D$11*($D$9+Inputs!$C$14))+$I$9*((Z$5=Inputs!$C$15+$K$9)*$E$11*$I$11+(Z$5=Inputs!$C$16+$K$9)*$F$11*$J$11+(Z$5=Inputs!$C$17)*$G$11*$H$9*$H$11)</f>
        <v>-896.6055</v>
      </c>
      <c r="AA14" s="42" t="n">
        <f aca="false">-($D$9+$J$9)*(AA$5=0)+IF(AND(AA$5-$K$9&gt;=1,AA$5-$K$9&lt;=Inputs!$C$13),INDEX($N$12:$AL$12,1,AA$5-$K$9+1)*INDEX($N$13:$AL$13,1,AA$5-$K$9+1),0)-$I$9*((AA$5=Inputs!$C$12)*$C$11*$D$9+(AA$5=Inputs!$C$13)*$D$11*($D$9+Inputs!$C$14))+$I$9*((AA$5=Inputs!$C$15+$K$9)*$E$11*$I$11+(AA$5=Inputs!$C$16+$K$9)*$F$11*$J$11+(AA$5=Inputs!$C$17)*$G$11*$H$9*$H$11)</f>
        <v>159.2745</v>
      </c>
      <c r="AB14" s="42" t="n">
        <f aca="false">-($D$9+$J$9)*(AB$5=0)+IF(AND(AB$5-$K$9&gt;=1,AB$5-$K$9&lt;=Inputs!$C$13),INDEX($N$12:$AL$12,1,AB$5-$K$9+1)*INDEX($N$13:$AL$13,1,AB$5-$K$9+1),0)-$I$9*((AB$5=Inputs!$C$12)*$C$11*$D$9+(AB$5=Inputs!$C$13)*$D$11*($D$9+Inputs!$C$14))+$I$9*((AB$5=Inputs!$C$15+$K$9)*$E$11*$I$11+(AB$5=Inputs!$C$16+$K$9)*$F$11*$J$11+(AB$5=Inputs!$C$17)*$G$11*$H$9*$H$11)</f>
        <v>199.33445</v>
      </c>
      <c r="AC14" s="42" t="n">
        <f aca="false">-($D$9+$J$9)*(AC$5=0)+IF(AND(AC$5-$K$9&gt;=1,AC$5-$K$9&lt;=Inputs!$C$13),INDEX($N$12:$AL$12,1,AC$5-$K$9+1)*INDEX($N$13:$AL$13,1,AC$5-$K$9+1),0)-$I$9*((AC$5=Inputs!$C$12)*$C$11*$D$9+(AC$5=Inputs!$C$13)*$D$11*($D$9+Inputs!$C$14))+$I$9*((AC$5=Inputs!$C$15+$K$9)*$E$11*$I$11+(AC$5=Inputs!$C$16+$K$9)*$F$11*$J$11+(AC$5=Inputs!$C$17)*$G$11*$H$9*$H$11)</f>
        <v>200.7824</v>
      </c>
      <c r="AD14" s="42" t="n">
        <f aca="false">-($D$9+$J$9)*(AD$5=0)+IF(AND(AD$5-$K$9&gt;=1,AD$5-$K$9&lt;=Inputs!$C$13),INDEX($N$12:$AL$12,1,AD$5-$K$9+1)*INDEX($N$13:$AL$13,1,AD$5-$K$9+1),0)-$I$9*((AD$5=Inputs!$C$12)*$C$11*$D$9+(AD$5=Inputs!$C$13)*$D$11*($D$9+Inputs!$C$14))+$I$9*((AD$5=Inputs!$C$15+$K$9)*$E$11*$I$11+(AD$5=Inputs!$C$16+$K$9)*$F$11*$J$11+(AD$5=Inputs!$C$17)*$G$11*$H$9*$H$11)</f>
        <v>202.230350000001</v>
      </c>
      <c r="AE14" s="42" t="n">
        <f aca="false">-($D$9+$J$9)*(AE$5=0)+IF(AND(AE$5-$K$9&gt;=1,AE$5-$K$9&lt;=Inputs!$C$13),INDEX($N$12:$AL$12,1,AE$5-$K$9+1)*INDEX($N$13:$AL$13,1,AE$5-$K$9+1),0)-$I$9*((AE$5=Inputs!$C$12)*$C$11*$D$9+(AE$5=Inputs!$C$13)*$D$11*($D$9+Inputs!$C$14))+$I$9*((AE$5=Inputs!$C$15+$K$9)*$E$11*$I$11+(AE$5=Inputs!$C$16+$K$9)*$F$11*$J$11+(AE$5=Inputs!$C$17)*$G$11*$H$9*$H$11)</f>
        <v>203.6783</v>
      </c>
      <c r="AF14" s="42" t="n">
        <f aca="false">-($D$9+$J$9)*(AF$5=0)+IF(AND(AF$5-$K$9&gt;=1,AF$5-$K$9&lt;=Inputs!$C$13),INDEX($N$12:$AL$12,1,AF$5-$K$9+1)*INDEX($N$13:$AL$13,1,AF$5-$K$9+1),0)-$I$9*((AF$5=Inputs!$C$12)*$C$11*$D$9+(AF$5=Inputs!$C$13)*$D$11*($D$9+Inputs!$C$14))+$I$9*((AF$5=Inputs!$C$15+$K$9)*$E$11*$I$11+(AF$5=Inputs!$C$16+$K$9)*$F$11*$J$11+(AF$5=Inputs!$C$17)*$G$11*$H$9*$H$11)</f>
        <v>205.12625</v>
      </c>
      <c r="AG14" s="42" t="n">
        <f aca="false">-($D$9+$J$9)*(AG$5=0)+IF(AND(AG$5-$K$9&gt;=1,AG$5-$K$9&lt;=Inputs!$C$13),INDEX($N$12:$AL$12,1,AG$5-$K$9+1)*INDEX($N$13:$AL$13,1,AG$5-$K$9+1),0)-$I$9*((AG$5=Inputs!$C$12)*$C$11*$D$9+(AG$5=Inputs!$C$13)*$D$11*($D$9+Inputs!$C$14))+$I$9*((AG$5=Inputs!$C$15+$K$9)*$E$11*$I$11+(AG$5=Inputs!$C$16+$K$9)*$F$11*$J$11+(AG$5=Inputs!$C$17)*$G$11*$H$9*$H$11)</f>
        <v>206.5742</v>
      </c>
      <c r="AH14" s="42" t="n">
        <f aca="false">-($D$9+$J$9)*(AH$5=0)+IF(AND(AH$5-$K$9&gt;=1,AH$5-$K$9&lt;=Inputs!$C$13),INDEX($N$12:$AL$12,1,AH$5-$K$9+1)*INDEX($N$13:$AL$13,1,AH$5-$K$9+1),0)-$I$9*((AH$5=Inputs!$C$12)*$C$11*$D$9+(AH$5=Inputs!$C$13)*$D$11*($D$9+Inputs!$C$14))+$I$9*((AH$5=Inputs!$C$15+$K$9)*$E$11*$I$11+(AH$5=Inputs!$C$16+$K$9)*$F$11*$J$11+(AH$5=Inputs!$C$17)*$G$11*$H$9*$H$11)</f>
        <v>148.58725</v>
      </c>
      <c r="AI14" s="42" t="n">
        <f aca="false">-($D$9+$J$9)*(AI$5=0)+IF(AND(AI$5-$K$9&gt;=1,AI$5-$K$9&lt;=Inputs!$C$13),INDEX($N$12:$AL$12,1,AI$5-$K$9+1)*INDEX($N$13:$AL$13,1,AI$5-$K$9+1),0)-$I$9*((AI$5=Inputs!$C$12)*$C$11*$D$9+(AI$5=Inputs!$C$13)*$D$11*($D$9+Inputs!$C$14))+$I$9*((AI$5=Inputs!$C$15+$K$9)*$E$11*$I$11+(AI$5=Inputs!$C$16+$K$9)*$F$11*$J$11+(AI$5=Inputs!$C$17)*$G$11*$H$9*$H$11)</f>
        <v>149.621499999999</v>
      </c>
      <c r="AJ14" s="42" t="n">
        <f aca="false">-($D$9+$J$9)*(AJ$5=0)+IF(AND(AJ$5-$K$9&gt;=1,AJ$5-$K$9&lt;=Inputs!$C$13),INDEX($N$12:$AL$12,1,AJ$5-$K$9+1)*INDEX($N$13:$AL$13,1,AJ$5-$K$9+1),0)-$I$9*((AJ$5=Inputs!$C$12)*$C$11*$D$9+(AJ$5=Inputs!$C$13)*$D$11*($D$9+Inputs!$C$14))+$I$9*((AJ$5=Inputs!$C$15+$K$9)*$E$11*$I$11+(AJ$5=Inputs!$C$16+$K$9)*$F$11*$J$11+(AJ$5=Inputs!$C$17)*$G$11*$H$9*$H$11)</f>
        <v>150.655749999999</v>
      </c>
      <c r="AK14" s="42" t="n">
        <f aca="false">-($D$9+$J$9)*(AK$5=0)+IF(AND(AK$5-$K$9&gt;=1,AK$5-$K$9&lt;=Inputs!$C$13),INDEX($N$12:$AL$12,1,AK$5-$K$9+1)*INDEX($N$13:$AL$13,1,AK$5-$K$9+1),0)-$I$9*((AK$5=Inputs!$C$12)*$C$11*$D$9+(AK$5=Inputs!$C$13)*$D$11*($D$9+Inputs!$C$14))+$I$9*((AK$5=Inputs!$C$15+$K$9)*$E$11*$I$11+(AK$5=Inputs!$C$16+$K$9)*$F$11*$J$11+(AK$5=Inputs!$C$17)*$G$11*$H$9*$H$11)</f>
        <v>151.69</v>
      </c>
      <c r="AL14" s="42" t="n">
        <f aca="false">-($D$9+$J$9)*(AL$5=0)+IF(AND(AL$5-$K$9&gt;=1,AL$5-$K$9&lt;=Inputs!$C$13),INDEX($N$12:$AL$12,1,AL$5-$K$9+1)*INDEX($N$13:$AL$13,1,AL$5-$K$9+1),0)-$I$9*((AL$5=Inputs!$C$12)*$C$11*$D$9+(AL$5=Inputs!$C$13)*$D$11*($D$9+Inputs!$C$14))+$I$9*((AL$5=Inputs!$C$15+$K$9)*$E$11*$I$11+(AL$5=Inputs!$C$16+$K$9)*$F$11*$J$11+(AL$5=Inputs!$C$17)*$G$11*$H$9*$H$11)</f>
        <v>62.7242500000004</v>
      </c>
      <c r="AM14" s="42" t="n">
        <f aca="false">-($D$9+$J$9)*(AM$5=0)+IF(AND(AM$5-$K$9&gt;=1,AM$5-$K$9&lt;=Inputs!$C$13),INDEX($N$12:$AL$12,1,AM$5-$K$9+1)*INDEX($N$13:$AL$13,1,AM$5-$K$9+1),0)-$I$9*((AM$5=Inputs!$C$12)*$C$11*$D$9+(AM$5=Inputs!$C$13)*$D$11*($D$9+Inputs!$C$14))+$I$9*((AM$5=Inputs!$C$15+$K$9)*$E$11*$I$11+(AM$5=Inputs!$C$16+$K$9)*$F$11*$J$11+(AM$5=Inputs!$C$17)*$G$11*$H$9*$H$11)</f>
        <v>153.758499999999</v>
      </c>
      <c r="AN14" s="42" t="n">
        <f aca="false">-($D$9+$J$9)*(AN$5=0)+IF(AND(AN$5-$K$9&gt;=1,AN$5-$K$9&lt;=Inputs!$C$13),INDEX($N$12:$AL$12,1,AN$5-$K$9+1)*INDEX($N$13:$AL$13,1,AN$5-$K$9+1),0)-$I$9*((AN$5=Inputs!$C$12)*$C$11*$D$9+(AN$5=Inputs!$C$13)*$D$11*($D$9+Inputs!$C$14))+$I$9*((AN$5=Inputs!$C$15+$K$9)*$E$11*$I$11+(AN$5=Inputs!$C$16+$K$9)*$F$11*$J$11+(AN$5=Inputs!$C$17)*$G$11*$H$9*$H$11)</f>
        <v>0</v>
      </c>
      <c r="AO14" s="42" t="n">
        <f aca="false">-($D$9+$J$9)*(AO$5=0)+IF(AND(AO$5-$K$9&gt;=1,AO$5-$K$9&lt;=Inputs!$C$13),INDEX($N$12:$AL$12,1,AO$5-$K$9+1)*INDEX($N$13:$AL$13,1,AO$5-$K$9+1),0)-$I$9*((AO$5=Inputs!$C$12)*$C$11*$D$9+(AO$5=Inputs!$C$13)*$D$11*($D$9+Inputs!$C$14))+$I$9*((AO$5=Inputs!$C$15+$K$9)*$E$11*$I$11+(AO$5=Inputs!$C$16+$K$9)*$F$11*$J$11+(AO$5=Inputs!$C$17)*$G$11*$H$9*$H$11)</f>
        <v>0</v>
      </c>
      <c r="AP14" s="42" t="n">
        <f aca="false">-($D$9+$J$9)*(AP$5=0)+IF(AND(AP$5-$K$9&gt;=1,AP$5-$K$9&lt;=Inputs!$C$13),INDEX($N$12:$AL$12,1,AP$5-$K$9+1)*INDEX($N$13:$AL$13,1,AP$5-$K$9+1),0)-$I$9*((AP$5=Inputs!$C$12)*$C$11*$D$9+(AP$5=Inputs!$C$13)*$D$11*($D$9+Inputs!$C$14))+$I$9*((AP$5=Inputs!$C$15+$K$9)*$E$11*$I$11+(AP$5=Inputs!$C$16+$K$9)*$F$11*$J$11+(AP$5=Inputs!$C$17)*$G$11*$H$9*$H$11)</f>
        <v>188.928</v>
      </c>
      <c r="AQ14" s="42" t="n">
        <f aca="false">-($D$9+$J$9)*(AQ$5=0)+IF(AND(AQ$5-$K$9&gt;=1,AQ$5-$K$9&lt;=Inputs!$C$13),INDEX($N$12:$AL$12,1,AQ$5-$K$9+1)*INDEX($N$13:$AL$13,1,AQ$5-$K$9+1),0)-$I$9*((AQ$5=Inputs!$C$12)*$C$11*$D$9+(AQ$5=Inputs!$C$13)*$D$11*($D$9+Inputs!$C$14))+$I$9*((AQ$5=Inputs!$C$15+$K$9)*$E$11*$I$11+(AQ$5=Inputs!$C$16+$K$9)*$F$11*$J$11+(AQ$5=Inputs!$C$17)*$G$11*$H$9*$H$11)</f>
        <v>0</v>
      </c>
      <c r="AR14" s="42" t="n">
        <f aca="false">-($D$9+$J$9)*(AR$5=0)+IF(AND(AR$5-$K$9&gt;=1,AR$5-$K$9&lt;=Inputs!$C$13),INDEX($N$12:$AL$12,1,AR$5-$K$9+1)*INDEX($N$13:$AL$13,1,AR$5-$K$9+1),0)-$I$9*((AR$5=Inputs!$C$12)*$C$11*$D$9+(AR$5=Inputs!$C$13)*$D$11*($D$9+Inputs!$C$14))+$I$9*((AR$5=Inputs!$C$15+$K$9)*$E$11*$I$11+(AR$5=Inputs!$C$16+$K$9)*$F$11*$J$11+(AR$5=Inputs!$C$17)*$G$11*$H$9*$H$11)</f>
        <v>0</v>
      </c>
      <c r="AS14" s="42" t="n">
        <f aca="false">-($D$9+$J$9)*(AS$5=0)+IF(AND(AS$5-$K$9&gt;=1,AS$5-$K$9&lt;=Inputs!$C$13),INDEX($N$12:$AL$12,1,AS$5-$K$9+1)*INDEX($N$13:$AL$13,1,AS$5-$K$9+1),0)-$I$9*((AS$5=Inputs!$C$12)*$C$11*$D$9+(AS$5=Inputs!$C$13)*$D$11*($D$9+Inputs!$C$14))+$I$9*((AS$5=Inputs!$C$15+$K$9)*$E$11*$I$11+(AS$5=Inputs!$C$16+$K$9)*$F$11*$J$11+(AS$5=Inputs!$C$17)*$G$11*$H$9*$H$11)</f>
        <v>45.9477</v>
      </c>
      <c r="AT14" s="42" t="n">
        <f aca="false">-($D$9+$J$9)*(AT$5=0)+IF(AND(AT$5-$K$9&gt;=1,AT$5-$K$9&lt;=Inputs!$C$13),INDEX($N$12:$AL$12,1,AT$5-$K$9+1)*INDEX($N$13:$AL$13,1,AT$5-$K$9+1),0)-$I$9*((AT$5=Inputs!$C$12)*$C$11*$D$9+(AT$5=Inputs!$C$13)*$D$11*($D$9+Inputs!$C$14))+$I$9*((AT$5=Inputs!$C$15+$K$9)*$E$11*$I$11+(AT$5=Inputs!$C$16+$K$9)*$F$11*$J$11+(AT$5=Inputs!$C$17)*$G$11*$H$9*$H$11)</f>
        <v>0</v>
      </c>
      <c r="AU14" s="42" t="n">
        <f aca="false">-($D$9+$J$9)*(AU$5=0)+IF(AND(AU$5-$K$9&gt;=1,AU$5-$K$9&lt;=Inputs!$C$13),INDEX($N$12:$AL$12,1,AU$5-$K$9+1)*INDEX($N$13:$AL$13,1,AU$5-$K$9+1),0)-$I$9*((AU$5=Inputs!$C$12)*$C$11*$D$9+(AU$5=Inputs!$C$13)*$D$11*($D$9+Inputs!$C$14))+$I$9*((AU$5=Inputs!$C$15+$K$9)*$E$11*$I$11+(AU$5=Inputs!$C$16+$K$9)*$F$11*$J$11+(AU$5=Inputs!$C$17)*$G$11*$H$9*$H$11)</f>
        <v>0</v>
      </c>
      <c r="AV14" s="42" t="n">
        <f aca="false">-($D$9+$J$9)*(AV$5=0)+IF(AND(AV$5-$K$9&gt;=1,AV$5-$K$9&lt;=Inputs!$C$13),INDEX($N$12:$AL$12,1,AV$5-$K$9+1)*INDEX($N$13:$AL$13,1,AV$5-$K$9+1),0)-$I$9*((AV$5=Inputs!$C$12)*$C$11*$D$9+(AV$5=Inputs!$C$13)*$D$11*($D$9+Inputs!$C$14))+$I$9*((AV$5=Inputs!$C$15+$K$9)*$E$11*$I$11+(AV$5=Inputs!$C$16+$K$9)*$F$11*$J$11+(AV$5=Inputs!$C$17)*$G$11*$H$9*$H$11)</f>
        <v>0</v>
      </c>
      <c r="AW14" s="42" t="n">
        <f aca="false">-($D$9+$J$9)*(AW$5=0)+IF(AND(AW$5-$K$9&gt;=1,AW$5-$K$9&lt;=Inputs!$C$13),INDEX($N$12:$AL$12,1,AW$5-$K$9+1)*INDEX($N$13:$AL$13,1,AW$5-$K$9+1),0)-$I$9*((AW$5=Inputs!$C$12)*$C$11*$D$9+(AW$5=Inputs!$C$13)*$D$11*($D$9+Inputs!$C$14))+$I$9*((AW$5=Inputs!$C$15+$K$9)*$E$11*$I$11+(AW$5=Inputs!$C$16+$K$9)*$F$11*$J$11+(AW$5=Inputs!$C$17)*$G$11*$H$9*$H$11)</f>
        <v>0</v>
      </c>
      <c r="AX14" s="42" t="n">
        <f aca="false">-($D$9+$J$9)*(AX$5=0)+IF(AND(AX$5-$K$9&gt;=1,AX$5-$K$9&lt;=Inputs!$C$13),INDEX($N$12:$AL$12,1,AX$5-$K$9+1)*INDEX($N$13:$AL$13,1,AX$5-$K$9+1),0)-$I$9*((AX$5=Inputs!$C$12)*$C$11*$D$9+(AX$5=Inputs!$C$13)*$D$11*($D$9+Inputs!$C$14))+$I$9*((AX$5=Inputs!$C$15+$K$9)*$E$11*$I$11+(AX$5=Inputs!$C$16+$K$9)*$F$11*$J$11+(AX$5=Inputs!$C$17)*$G$11*$H$9*$H$11)</f>
        <v>1.94400000000001</v>
      </c>
      <c r="AY14" s="42" t="n">
        <f aca="false">-($D$9+$J$9)*(AY$5=0)+IF(AND(AY$5-$K$9&gt;=1,AY$5-$K$9&lt;=Inputs!$C$13),INDEX($N$12:$AL$12,1,AY$5-$K$9+1)*INDEX($N$13:$AL$13,1,AY$5-$K$9+1),0)-$I$9*((AY$5=Inputs!$C$12)*$C$11*$D$9+(AY$5=Inputs!$C$13)*$D$11*($D$9+Inputs!$C$14))+$I$9*((AY$5=Inputs!$C$15+$K$9)*$E$11*$I$11+(AY$5=Inputs!$C$16+$K$9)*$F$11*$J$11+(AY$5=Inputs!$C$17)*$G$11*$H$9*$H$11)</f>
        <v>0</v>
      </c>
    </row>
    <row r="16" customFormat="false" ht="15" hidden="false" customHeight="false" outlineLevel="0" collapsed="false">
      <c r="B16" s="7" t="s">
        <v>242</v>
      </c>
      <c r="C16" s="8"/>
      <c r="D16" s="8"/>
      <c r="E16" s="8"/>
      <c r="F16" s="8"/>
      <c r="G16" s="8"/>
      <c r="H16" s="8"/>
      <c r="I16" s="8"/>
      <c r="J16" s="8"/>
      <c r="K16" s="8"/>
      <c r="L16" s="8"/>
    </row>
    <row r="17" customFormat="false" ht="30" hidden="false" customHeight="true" outlineLevel="0" collapsed="false">
      <c r="B17" s="37"/>
      <c r="C17" s="38" t="s">
        <v>169</v>
      </c>
      <c r="D17" s="38" t="s">
        <v>170</v>
      </c>
      <c r="E17" s="38" t="s">
        <v>171</v>
      </c>
      <c r="F17" s="38" t="s">
        <v>43</v>
      </c>
      <c r="G17" s="38" t="s">
        <v>44</v>
      </c>
      <c r="H17" s="38" t="s">
        <v>45</v>
      </c>
      <c r="I17" s="38" t="s">
        <v>172</v>
      </c>
      <c r="J17" s="38" t="s">
        <v>90</v>
      </c>
      <c r="K17" s="38" t="s">
        <v>89</v>
      </c>
      <c r="L17" s="38" t="s">
        <v>173</v>
      </c>
    </row>
    <row r="18" customFormat="false" ht="15" hidden="false" customHeight="false" outlineLevel="0" collapsed="false">
      <c r="B18" s="39" t="s">
        <v>174</v>
      </c>
      <c r="C18" s="26" t="n">
        <f aca="false">Inputs!$F$40*Inputs!$E$55</f>
        <v>0.07</v>
      </c>
      <c r="D18" s="30" t="n">
        <f aca="false">Inputs!$E$40</f>
        <v>3600</v>
      </c>
      <c r="E18" s="26" t="n">
        <f aca="false">IF(Inputs!$G$40=1,Inputs!$F$27,MIN(1,MAX(0,INDEX(Inputs!$F$23:$F$27,MATCH(Inputs!$C$40,Inputs!$B$23:$B$27,0))+INDEX(Inputs!$C$48:$C$51,MATCH(Inputs!$D$55,Inputs!$B$48:$B$51,0)))))</f>
        <v>0.93</v>
      </c>
      <c r="F18" s="25" t="n">
        <f aca="false">IF(Inputs!$G$40=1,Inputs!$G$27,INDEX(Inputs!$G$23:$G$27,MATCH(Inputs!$C$40,Inputs!$B$23:$B$27,0)))</f>
        <v>0.6</v>
      </c>
      <c r="G18" s="25" t="n">
        <f aca="false">IF(Inputs!$G$40=1,Inputs!$H$27,INDEX(Inputs!$H$23:$H$27,MATCH(Inputs!$C$40,Inputs!$B$23:$B$27,0)))*INDEX(Inputs!$D$48:$D$51,MATCH(Inputs!$D$55,Inputs!$B$48:$B$51,0))</f>
        <v>0.85</v>
      </c>
      <c r="H18" s="25" t="n">
        <f aca="false">MAX(0,IF(Inputs!$G$40=1,Inputs!$I$27,INDEX(Inputs!$I$23:$I$27,MATCH(Inputs!$C$40,Inputs!$B$23:$B$27,0)))+INDEX(Inputs!$E$48:$E$51,MATCH(Inputs!$D$55,Inputs!$B$48:$B$51,0)))</f>
        <v>0.9</v>
      </c>
      <c r="I18" s="22" t="n">
        <f aca="false">IF(Inputs!$G$40=1,0,INDEX(Inputs!$J$23:$J$27,MATCH(Inputs!$C$40,Inputs!$B$23:$B$27,0)))</f>
        <v>1</v>
      </c>
      <c r="J18" s="23" t="n">
        <f aca="false">Inputs!$G$55</f>
        <v>10</v>
      </c>
      <c r="K18" s="22" t="n">
        <f aca="false">Inputs!$F$55</f>
        <v>1</v>
      </c>
      <c r="L18" s="22" t="n">
        <f aca="false">Inputs!$C$55</f>
        <v>1</v>
      </c>
    </row>
    <row r="19" customFormat="false" ht="30" hidden="false" customHeight="true" outlineLevel="0" collapsed="false">
      <c r="B19" s="37"/>
      <c r="C19" s="38" t="s">
        <v>175</v>
      </c>
      <c r="D19" s="38" t="s">
        <v>176</v>
      </c>
      <c r="E19" s="38" t="s">
        <v>177</v>
      </c>
      <c r="F19" s="38" t="s">
        <v>178</v>
      </c>
      <c r="G19" s="38" t="s">
        <v>112</v>
      </c>
      <c r="H19" s="38" t="s">
        <v>179</v>
      </c>
      <c r="I19" s="38" t="s">
        <v>180</v>
      </c>
      <c r="J19" s="38" t="s">
        <v>181</v>
      </c>
      <c r="K19" s="38" t="s">
        <v>182</v>
      </c>
      <c r="L19" s="38" t="s">
        <v>183</v>
      </c>
    </row>
    <row r="20" customFormat="false" ht="15" hidden="false" customHeight="false" outlineLevel="0" collapsed="false">
      <c r="B20" s="39" t="s">
        <v>184</v>
      </c>
      <c r="C20" s="40" t="n">
        <f aca="false">1-$E$18*CHOOSE($L$18,INDEX(Timing!$C$7:$AA$7,1,Inputs!$C$12+1),INDEX(Timing!$C$8:$AA$8,1,Inputs!$C$12+1))</f>
        <v>0.2932</v>
      </c>
      <c r="D20" s="40" t="n">
        <f aca="false">1-$E$18*CHOOSE($L$18,INDEX(Timing!$C$7:$AA$7,1,Inputs!$C$13+1),INDEX(Timing!$C$8:$AA$8,1,Inputs!$C$13+1))</f>
        <v>0.07</v>
      </c>
      <c r="E20" s="40" t="n">
        <f aca="false">$I$18*$D$20*$F$18</f>
        <v>0.042</v>
      </c>
      <c r="F20" s="40" t="n">
        <f aca="false">$I$18*($D$20-$E$20)*$G$18</f>
        <v>0.0238</v>
      </c>
      <c r="G20" s="40" t="n">
        <f aca="false">$I$18*($D$20-$E$20-$F$20)</f>
        <v>0.0042</v>
      </c>
      <c r="H20" s="23" t="n">
        <f aca="false">$I$18*(3*$D$18+Inputs!$C$14)</f>
        <v>12600</v>
      </c>
      <c r="I20" s="23" t="n">
        <f aca="false">$I$18*($D$18*(1+IF($C$18&lt;=0,0,MAX($C$18*Inputs!$C$15/12,Inputs!$C$8)))+$D$18*(1+Inputs!$C$11*(Inputs!$C$15-Inputs!$C$12)/12)+$D$18*(1+Inputs!$C$11*(Inputs!$C$15-Inputs!$C$13)/12)+Inputs!$C$14)</f>
        <v>14139</v>
      </c>
      <c r="J20" s="23" t="n">
        <f aca="false">$I$18*($D$18*(1+IF($C$18&lt;=0,0,MAX($C$18*Inputs!$C$16/12,Inputs!$C$8)))+$D$18*(1+Inputs!$C$11*(Inputs!$C$16-Inputs!$C$12)/12)+$D$18*(1+Inputs!$C$11*(Inputs!$C$16-Inputs!$C$13)/12)+Inputs!$C$14)</f>
        <v>14526</v>
      </c>
      <c r="K20" s="40" t="n">
        <f aca="false">IRR($N$23:$AY$23,0.005)</f>
        <v>0.00727642756888269</v>
      </c>
      <c r="L20" s="41" t="n">
        <f aca="false">(1+$K$20)^12-1</f>
        <v>0.0908977543816594</v>
      </c>
    </row>
    <row r="21" customFormat="false" ht="15" hidden="false" customHeight="false" outlineLevel="0" collapsed="false">
      <c r="B21" s="9" t="s">
        <v>185</v>
      </c>
      <c r="N21" s="40" t="n">
        <f aca="false">0</f>
        <v>0</v>
      </c>
      <c r="O21" s="40" t="n">
        <f aca="false">$E$18*(CHOOSE($L$18,Timing!D$7,Timing!D$8)-CHOOSE($L$18,Timing!C$7,Timing!C$8))</f>
        <v>0.1116</v>
      </c>
      <c r="P21" s="40" t="n">
        <f aca="false">$E$18*(CHOOSE($L$18,Timing!E$7,Timing!E$8)-CHOOSE($L$18,Timing!D$7,Timing!D$8))</f>
        <v>0.093</v>
      </c>
      <c r="Q21" s="40" t="n">
        <f aca="false">$E$18*(CHOOSE($L$18,Timing!F$7,Timing!F$8)-CHOOSE($L$18,Timing!E$7,Timing!E$8))</f>
        <v>0.0837</v>
      </c>
      <c r="R21" s="40" t="n">
        <f aca="false">$E$18*(CHOOSE($L$18,Timing!G$7,Timing!G$8)-CHOOSE($L$18,Timing!F$7,Timing!F$8))</f>
        <v>0.0651</v>
      </c>
      <c r="S21" s="40" t="n">
        <f aca="false">$E$18*(CHOOSE($L$18,Timing!H$7,Timing!H$8)-CHOOSE($L$18,Timing!G$7,Timing!G$8))</f>
        <v>0.0651</v>
      </c>
      <c r="T21" s="40" t="n">
        <f aca="false">$E$18*(CHOOSE($L$18,Timing!I$7,Timing!I$8)-CHOOSE($L$18,Timing!H$7,Timing!H$8))</f>
        <v>0.0651</v>
      </c>
      <c r="U21" s="40" t="n">
        <f aca="false">$E$18*(CHOOSE($L$18,Timing!J$7,Timing!J$8)-CHOOSE($L$18,Timing!I$7,Timing!I$8))</f>
        <v>0.0403</v>
      </c>
      <c r="V21" s="40" t="n">
        <f aca="false">$E$18*(CHOOSE($L$18,Timing!K$7,Timing!K$8)-CHOOSE($L$18,Timing!J$7,Timing!J$8))</f>
        <v>0.0403</v>
      </c>
      <c r="W21" s="40" t="n">
        <f aca="false">$E$18*(CHOOSE($L$18,Timing!L$7,Timing!L$8)-CHOOSE($L$18,Timing!K$7,Timing!K$8))</f>
        <v>0.0403</v>
      </c>
      <c r="X21" s="40" t="n">
        <f aca="false">$E$18*(CHOOSE($L$18,Timing!M$7,Timing!M$8)-CHOOSE($L$18,Timing!L$7,Timing!L$8))</f>
        <v>0.0341</v>
      </c>
      <c r="Y21" s="40" t="n">
        <f aca="false">$E$18*(CHOOSE($L$18,Timing!N$7,Timing!N$8)-CHOOSE($L$18,Timing!M$7,Timing!M$8))</f>
        <v>0.0341000000000001</v>
      </c>
      <c r="Z21" s="40" t="n">
        <f aca="false">$E$18*(CHOOSE($L$18,Timing!O$7,Timing!O$8)-CHOOSE($L$18,Timing!N$7,Timing!N$8))</f>
        <v>0.0341</v>
      </c>
      <c r="AA21" s="40" t="n">
        <f aca="false">$E$18*(CHOOSE($L$18,Timing!P$7,Timing!P$8)-CHOOSE($L$18,Timing!O$7,Timing!O$8))</f>
        <v>0.0217</v>
      </c>
      <c r="AB21" s="40" t="n">
        <f aca="false">$E$18*(CHOOSE($L$18,Timing!Q$7,Timing!Q$8)-CHOOSE($L$18,Timing!P$7,Timing!P$8))</f>
        <v>0.0217</v>
      </c>
      <c r="AC21" s="40" t="n">
        <f aca="false">$E$18*(CHOOSE($L$18,Timing!R$7,Timing!R$8)-CHOOSE($L$18,Timing!Q$7,Timing!Q$8))</f>
        <v>0.0217000000000001</v>
      </c>
      <c r="AD21" s="40" t="n">
        <f aca="false">$E$18*(CHOOSE($L$18,Timing!S$7,Timing!S$8)-CHOOSE($L$18,Timing!R$7,Timing!R$8))</f>
        <v>0.0217</v>
      </c>
      <c r="AE21" s="40" t="n">
        <f aca="false">$E$18*(CHOOSE($L$18,Timing!T$7,Timing!T$8)-CHOOSE($L$18,Timing!S$7,Timing!S$8))</f>
        <v>0.0217</v>
      </c>
      <c r="AF21" s="40" t="n">
        <f aca="false">$E$18*(CHOOSE($L$18,Timing!U$7,Timing!U$8)-CHOOSE($L$18,Timing!T$7,Timing!T$8))</f>
        <v>0.0217</v>
      </c>
      <c r="AG21" s="40" t="n">
        <f aca="false">$E$18*(CHOOSE($L$18,Timing!V$7,Timing!V$8)-CHOOSE($L$18,Timing!U$7,Timing!U$8))</f>
        <v>0.0155</v>
      </c>
      <c r="AH21" s="40" t="n">
        <f aca="false">$E$18*(CHOOSE($L$18,Timing!W$7,Timing!W$8)-CHOOSE($L$18,Timing!V$7,Timing!V$8))</f>
        <v>0.0154999999999999</v>
      </c>
      <c r="AI21" s="40" t="n">
        <f aca="false">$E$18*(CHOOSE($L$18,Timing!X$7,Timing!X$8)-CHOOSE($L$18,Timing!W$7,Timing!W$8))</f>
        <v>0.0154999999999999</v>
      </c>
      <c r="AJ21" s="40" t="n">
        <f aca="false">$E$18*(CHOOSE($L$18,Timing!Y$7,Timing!Y$8)-CHOOSE($L$18,Timing!X$7,Timing!X$8))</f>
        <v>0.0155</v>
      </c>
      <c r="AK21" s="40" t="n">
        <f aca="false">$E$18*(CHOOSE($L$18,Timing!Z$7,Timing!Z$8)-CHOOSE($L$18,Timing!Y$7,Timing!Y$8))</f>
        <v>0.0155</v>
      </c>
      <c r="AL21" s="40" t="n">
        <f aca="false">$E$18*(CHOOSE($L$18,Timing!AA$7,Timing!AA$8)-CHOOSE($L$18,Timing!Z$7,Timing!Z$8))</f>
        <v>0.0154999999999999</v>
      </c>
    </row>
    <row r="22" customFormat="false" ht="15" hidden="false" customHeight="false" outlineLevel="0" collapsed="false">
      <c r="B22" s="9" t="s">
        <v>186</v>
      </c>
      <c r="N22" s="42" t="n">
        <f aca="false">0</f>
        <v>0</v>
      </c>
      <c r="O22" s="42" t="n">
        <f aca="false">$D$18*(1+IF($C$18&lt;=0,0,MAX($C$18*O$5/12,Inputs!$C$8)))+$I$18*(O$5&gt;Inputs!$C$12)*$D$18*(1+Inputs!$C$11*(O$5-Inputs!$C$12)/12)</f>
        <v>3780</v>
      </c>
      <c r="P22" s="42" t="n">
        <f aca="false">$D$18*(1+IF($C$18&lt;=0,0,MAX($C$18*P$5/12,Inputs!$C$8)))+$I$18*(P$5&gt;Inputs!$C$12)*$D$18*(1+Inputs!$C$11*(P$5-Inputs!$C$12)/12)</f>
        <v>3780</v>
      </c>
      <c r="Q22" s="42" t="n">
        <f aca="false">$D$18*(1+IF($C$18&lt;=0,0,MAX($C$18*Q$5/12,Inputs!$C$8)))+$I$18*(Q$5&gt;Inputs!$C$12)*$D$18*(1+Inputs!$C$11*(Q$5-Inputs!$C$12)/12)</f>
        <v>3780</v>
      </c>
      <c r="R22" s="42" t="n">
        <f aca="false">$D$18*(1+IF($C$18&lt;=0,0,MAX($C$18*R$5/12,Inputs!$C$8)))+$I$18*(R$5&gt;Inputs!$C$12)*$D$18*(1+Inputs!$C$11*(R$5-Inputs!$C$12)/12)</f>
        <v>3780</v>
      </c>
      <c r="S22" s="42" t="n">
        <f aca="false">$D$18*(1+IF($C$18&lt;=0,0,MAX($C$18*S$5/12,Inputs!$C$8)))+$I$18*(S$5&gt;Inputs!$C$12)*$D$18*(1+Inputs!$C$11*(S$5-Inputs!$C$12)/12)</f>
        <v>3780</v>
      </c>
      <c r="T22" s="42" t="n">
        <f aca="false">$D$18*(1+IF($C$18&lt;=0,0,MAX($C$18*T$5/12,Inputs!$C$8)))+$I$18*(T$5&gt;Inputs!$C$12)*$D$18*(1+Inputs!$C$11*(T$5-Inputs!$C$12)/12)</f>
        <v>3780</v>
      </c>
      <c r="U22" s="42" t="n">
        <f aca="false">$D$18*(1+IF($C$18&lt;=0,0,MAX($C$18*U$5/12,Inputs!$C$8)))+$I$18*(U$5&gt;Inputs!$C$12)*$D$18*(1+Inputs!$C$11*(U$5-Inputs!$C$12)/12)</f>
        <v>3780</v>
      </c>
      <c r="V22" s="42" t="n">
        <f aca="false">$D$18*(1+IF($C$18&lt;=0,0,MAX($C$18*V$5/12,Inputs!$C$8)))+$I$18*(V$5&gt;Inputs!$C$12)*$D$18*(1+Inputs!$C$11*(V$5-Inputs!$C$12)/12)</f>
        <v>3780</v>
      </c>
      <c r="W22" s="42" t="n">
        <f aca="false">$D$18*(1+IF($C$18&lt;=0,0,MAX($C$18*W$5/12,Inputs!$C$8)))+$I$18*(W$5&gt;Inputs!$C$12)*$D$18*(1+Inputs!$C$11*(W$5-Inputs!$C$12)/12)</f>
        <v>3789</v>
      </c>
      <c r="X22" s="42" t="n">
        <f aca="false">$D$18*(1+IF($C$18&lt;=0,0,MAX($C$18*X$5/12,Inputs!$C$8)))+$I$18*(X$5&gt;Inputs!$C$12)*$D$18*(1+Inputs!$C$11*(X$5-Inputs!$C$12)/12)</f>
        <v>3810</v>
      </c>
      <c r="Y22" s="42" t="n">
        <f aca="false">$D$18*(1+IF($C$18&lt;=0,0,MAX($C$18*Y$5/12,Inputs!$C$8)))+$I$18*(Y$5&gt;Inputs!$C$12)*$D$18*(1+Inputs!$C$11*(Y$5-Inputs!$C$12)/12)</f>
        <v>3831</v>
      </c>
      <c r="Z22" s="42" t="n">
        <f aca="false">$D$18*(1+IF($C$18&lt;=0,0,MAX($C$18*Z$5/12,Inputs!$C$8)))+$I$18*(Z$5&gt;Inputs!$C$12)*$D$18*(1+Inputs!$C$11*(Z$5-Inputs!$C$12)/12)</f>
        <v>3852</v>
      </c>
      <c r="AA22" s="42" t="n">
        <f aca="false">$D$18*(1+IF($C$18&lt;=0,0,MAX($C$18*AA$5/12,Inputs!$C$8)))+$I$18*(AA$5&gt;Inputs!$C$12)*$D$18*(1+Inputs!$C$11*(AA$5-Inputs!$C$12)/12)</f>
        <v>7527</v>
      </c>
      <c r="AB22" s="42" t="n">
        <f aca="false">$D$18*(1+IF($C$18&lt;=0,0,MAX($C$18*AB$5/12,Inputs!$C$8)))+$I$18*(AB$5&gt;Inputs!$C$12)*$D$18*(1+Inputs!$C$11*(AB$5-Inputs!$C$12)/12)</f>
        <v>7602</v>
      </c>
      <c r="AC22" s="42" t="n">
        <f aca="false">$D$18*(1+IF($C$18&lt;=0,0,MAX($C$18*AC$5/12,Inputs!$C$8)))+$I$18*(AC$5&gt;Inputs!$C$12)*$D$18*(1+Inputs!$C$11*(AC$5-Inputs!$C$12)/12)</f>
        <v>7677</v>
      </c>
      <c r="AD22" s="42" t="n">
        <f aca="false">$D$18*(1+IF($C$18&lt;=0,0,MAX($C$18*AD$5/12,Inputs!$C$8)))+$I$18*(AD$5&gt;Inputs!$C$12)*$D$18*(1+Inputs!$C$11*(AD$5-Inputs!$C$12)/12)</f>
        <v>7752</v>
      </c>
      <c r="AE22" s="42" t="n">
        <f aca="false">$D$18*(1+IF($C$18&lt;=0,0,MAX($C$18*AE$5/12,Inputs!$C$8)))+$I$18*(AE$5&gt;Inputs!$C$12)*$D$18*(1+Inputs!$C$11*(AE$5-Inputs!$C$12)/12)</f>
        <v>7827</v>
      </c>
      <c r="AF22" s="42" t="n">
        <f aca="false">$D$18*(1+IF($C$18&lt;=0,0,MAX($C$18*AF$5/12,Inputs!$C$8)))+$I$18*(AF$5&gt;Inputs!$C$12)*$D$18*(1+Inputs!$C$11*(AF$5-Inputs!$C$12)/12)</f>
        <v>7902</v>
      </c>
      <c r="AG22" s="42" t="n">
        <f aca="false">$D$18*(1+IF($C$18&lt;=0,0,MAX($C$18*AG$5/12,Inputs!$C$8)))+$I$18*(AG$5&gt;Inputs!$C$12)*$D$18*(1+Inputs!$C$11*(AG$5-Inputs!$C$12)/12)</f>
        <v>7977</v>
      </c>
      <c r="AH22" s="42" t="n">
        <f aca="false">$D$18*(1+IF($C$18&lt;=0,0,MAX($C$18*AH$5/12,Inputs!$C$8)))+$I$18*(AH$5&gt;Inputs!$C$12)*$D$18*(1+Inputs!$C$11*(AH$5-Inputs!$C$12)/12)</f>
        <v>8052</v>
      </c>
      <c r="AI22" s="42" t="n">
        <f aca="false">$D$18*(1+IF($C$18&lt;=0,0,MAX($C$18*AI$5/12,Inputs!$C$8)))+$I$18*(AI$5&gt;Inputs!$C$12)*$D$18*(1+Inputs!$C$11*(AI$5-Inputs!$C$12)/12)</f>
        <v>8127</v>
      </c>
      <c r="AJ22" s="42" t="n">
        <f aca="false">$D$18*(1+IF($C$18&lt;=0,0,MAX($C$18*AJ$5/12,Inputs!$C$8)))+$I$18*(AJ$5&gt;Inputs!$C$12)*$D$18*(1+Inputs!$C$11*(AJ$5-Inputs!$C$12)/12)</f>
        <v>8202</v>
      </c>
      <c r="AK22" s="42" t="n">
        <f aca="false">$D$18*(1+IF($C$18&lt;=0,0,MAX($C$18*AK$5/12,Inputs!$C$8)))+$I$18*(AK$5&gt;Inputs!$C$12)*$D$18*(1+Inputs!$C$11*(AK$5-Inputs!$C$12)/12)</f>
        <v>8277</v>
      </c>
      <c r="AL22" s="42" t="n">
        <f aca="false">$D$18*(1+IF($C$18&lt;=0,0,MAX($C$18*AL$5/12,Inputs!$C$8)))+$I$18*(AL$5&gt;Inputs!$C$12)*$D$18*(1+Inputs!$C$11*(AL$5-Inputs!$C$12)/12)</f>
        <v>8352</v>
      </c>
    </row>
    <row r="23" customFormat="false" ht="15" hidden="false" customHeight="false" outlineLevel="0" collapsed="false">
      <c r="B23" s="31" t="s">
        <v>187</v>
      </c>
      <c r="N23" s="42" t="n">
        <f aca="false">-($D$18+$J$18)*(N$5=0)+IF(AND(N$5-$K$18&gt;=1,N$5-$K$18&lt;=Inputs!$C$13),INDEX($N$21:$AL$21,1,N$5-$K$18+1)*INDEX($N$22:$AL$22,1,N$5-$K$18+1),0)-$I$18*((N$5=Inputs!$C$12)*$C$20*$D$18+(N$5=Inputs!$C$13)*$D$20*($D$18+Inputs!$C$14))+$I$18*((N$5=Inputs!$C$15+$K$18)*$E$20*$I$20+(N$5=Inputs!$C$16+$K$18)*$F$20*$J$20+(N$5=Inputs!$C$17)*$G$20*$H$18*$H$20)</f>
        <v>-3610</v>
      </c>
      <c r="O23" s="42" t="n">
        <f aca="false">-($D$18+$J$18)*(O$5=0)+IF(AND(O$5-$K$18&gt;=1,O$5-$K$18&lt;=Inputs!$C$13),INDEX($N$21:$AL$21,1,O$5-$K$18+1)*INDEX($N$22:$AL$22,1,O$5-$K$18+1),0)-$I$18*((O$5=Inputs!$C$12)*$C$20*$D$18+(O$5=Inputs!$C$13)*$D$20*($D$18+Inputs!$C$14))+$I$18*((O$5=Inputs!$C$15+$K$18)*$E$20*$I$20+(O$5=Inputs!$C$16+$K$18)*$F$20*$J$20+(O$5=Inputs!$C$17)*$G$20*$H$18*$H$20)</f>
        <v>0</v>
      </c>
      <c r="P23" s="42" t="n">
        <f aca="false">-($D$18+$J$18)*(P$5=0)+IF(AND(P$5-$K$18&gt;=1,P$5-$K$18&lt;=Inputs!$C$13),INDEX($N$21:$AL$21,1,P$5-$K$18+1)*INDEX($N$22:$AL$22,1,P$5-$K$18+1),0)-$I$18*((P$5=Inputs!$C$12)*$C$20*$D$18+(P$5=Inputs!$C$13)*$D$20*($D$18+Inputs!$C$14))+$I$18*((P$5=Inputs!$C$15+$K$18)*$E$20*$I$20+(P$5=Inputs!$C$16+$K$18)*$F$20*$J$20+(P$5=Inputs!$C$17)*$G$20*$H$18*$H$20)</f>
        <v>421.848</v>
      </c>
      <c r="Q23" s="42" t="n">
        <f aca="false">-($D$18+$J$18)*(Q$5=0)+IF(AND(Q$5-$K$18&gt;=1,Q$5-$K$18&lt;=Inputs!$C$13),INDEX($N$21:$AL$21,1,Q$5-$K$18+1)*INDEX($N$22:$AL$22,1,Q$5-$K$18+1),0)-$I$18*((Q$5=Inputs!$C$12)*$C$20*$D$18+(Q$5=Inputs!$C$13)*$D$20*($D$18+Inputs!$C$14))+$I$18*((Q$5=Inputs!$C$15+$K$18)*$E$20*$I$20+(Q$5=Inputs!$C$16+$K$18)*$F$20*$J$20+(Q$5=Inputs!$C$17)*$G$20*$H$18*$H$20)</f>
        <v>351.54</v>
      </c>
      <c r="R23" s="42" t="n">
        <f aca="false">-($D$18+$J$18)*(R$5=0)+IF(AND(R$5-$K$18&gt;=1,R$5-$K$18&lt;=Inputs!$C$13),INDEX($N$21:$AL$21,1,R$5-$K$18+1)*INDEX($N$22:$AL$22,1,R$5-$K$18+1),0)-$I$18*((R$5=Inputs!$C$12)*$C$20*$D$18+(R$5=Inputs!$C$13)*$D$20*($D$18+Inputs!$C$14))+$I$18*((R$5=Inputs!$C$15+$K$18)*$E$20*$I$20+(R$5=Inputs!$C$16+$K$18)*$F$20*$J$20+(R$5=Inputs!$C$17)*$G$20*$H$18*$H$20)</f>
        <v>316.386</v>
      </c>
      <c r="S23" s="42" t="n">
        <f aca="false">-($D$18+$J$18)*(S$5=0)+IF(AND(S$5-$K$18&gt;=1,S$5-$K$18&lt;=Inputs!$C$13),INDEX($N$21:$AL$21,1,S$5-$K$18+1)*INDEX($N$22:$AL$22,1,S$5-$K$18+1),0)-$I$18*((S$5=Inputs!$C$12)*$C$20*$D$18+(S$5=Inputs!$C$13)*$D$20*($D$18+Inputs!$C$14))+$I$18*((S$5=Inputs!$C$15+$K$18)*$E$20*$I$20+(S$5=Inputs!$C$16+$K$18)*$F$20*$J$20+(S$5=Inputs!$C$17)*$G$20*$H$18*$H$20)</f>
        <v>246.078</v>
      </c>
      <c r="T23" s="42" t="n">
        <f aca="false">-($D$18+$J$18)*(T$5=0)+IF(AND(T$5-$K$18&gt;=1,T$5-$K$18&lt;=Inputs!$C$13),INDEX($N$21:$AL$21,1,T$5-$K$18+1)*INDEX($N$22:$AL$22,1,T$5-$K$18+1),0)-$I$18*((T$5=Inputs!$C$12)*$C$20*$D$18+(T$5=Inputs!$C$13)*$D$20*($D$18+Inputs!$C$14))+$I$18*((T$5=Inputs!$C$15+$K$18)*$E$20*$I$20+(T$5=Inputs!$C$16+$K$18)*$F$20*$J$20+(T$5=Inputs!$C$17)*$G$20*$H$18*$H$20)</f>
        <v>246.078</v>
      </c>
      <c r="U23" s="42" t="n">
        <f aca="false">-($D$18+$J$18)*(U$5=0)+IF(AND(U$5-$K$18&gt;=1,U$5-$K$18&lt;=Inputs!$C$13),INDEX($N$21:$AL$21,1,U$5-$K$18+1)*INDEX($N$22:$AL$22,1,U$5-$K$18+1),0)-$I$18*((U$5=Inputs!$C$12)*$C$20*$D$18+(U$5=Inputs!$C$13)*$D$20*($D$18+Inputs!$C$14))+$I$18*((U$5=Inputs!$C$15+$K$18)*$E$20*$I$20+(U$5=Inputs!$C$16+$K$18)*$F$20*$J$20+(U$5=Inputs!$C$17)*$G$20*$H$18*$H$20)</f>
        <v>246.078</v>
      </c>
      <c r="V23" s="42" t="n">
        <f aca="false">-($D$18+$J$18)*(V$5=0)+IF(AND(V$5-$K$18&gt;=1,V$5-$K$18&lt;=Inputs!$C$13),INDEX($N$21:$AL$21,1,V$5-$K$18+1)*INDEX($N$22:$AL$22,1,V$5-$K$18+1),0)-$I$18*((V$5=Inputs!$C$12)*$C$20*$D$18+(V$5=Inputs!$C$13)*$D$20*($D$18+Inputs!$C$14))+$I$18*((V$5=Inputs!$C$15+$K$18)*$E$20*$I$20+(V$5=Inputs!$C$16+$K$18)*$F$20*$J$20+(V$5=Inputs!$C$17)*$G$20*$H$18*$H$20)</f>
        <v>152.334</v>
      </c>
      <c r="W23" s="42" t="n">
        <f aca="false">-($D$18+$J$18)*(W$5=0)+IF(AND(W$5-$K$18&gt;=1,W$5-$K$18&lt;=Inputs!$C$13),INDEX($N$21:$AL$21,1,W$5-$K$18+1)*INDEX($N$22:$AL$22,1,W$5-$K$18+1),0)-$I$18*((W$5=Inputs!$C$12)*$C$20*$D$18+(W$5=Inputs!$C$13)*$D$20*($D$18+Inputs!$C$14))+$I$18*((W$5=Inputs!$C$15+$K$18)*$E$20*$I$20+(W$5=Inputs!$C$16+$K$18)*$F$20*$J$20+(W$5=Inputs!$C$17)*$G$20*$H$18*$H$20)</f>
        <v>152.334</v>
      </c>
      <c r="X23" s="42" t="n">
        <f aca="false">-($D$18+$J$18)*(X$5=0)+IF(AND(X$5-$K$18&gt;=1,X$5-$K$18&lt;=Inputs!$C$13),INDEX($N$21:$AL$21,1,X$5-$K$18+1)*INDEX($N$22:$AL$22,1,X$5-$K$18+1),0)-$I$18*((X$5=Inputs!$C$12)*$C$20*$D$18+(X$5=Inputs!$C$13)*$D$20*($D$18+Inputs!$C$14))+$I$18*((X$5=Inputs!$C$15+$K$18)*$E$20*$I$20+(X$5=Inputs!$C$16+$K$18)*$F$20*$J$20+(X$5=Inputs!$C$17)*$G$20*$H$18*$H$20)</f>
        <v>152.6967</v>
      </c>
      <c r="Y23" s="42" t="n">
        <f aca="false">-($D$18+$J$18)*(Y$5=0)+IF(AND(Y$5-$K$18&gt;=1,Y$5-$K$18&lt;=Inputs!$C$13),INDEX($N$21:$AL$21,1,Y$5-$K$18+1)*INDEX($N$22:$AL$22,1,Y$5-$K$18+1),0)-$I$18*((Y$5=Inputs!$C$12)*$C$20*$D$18+(Y$5=Inputs!$C$13)*$D$20*($D$18+Inputs!$C$14))+$I$18*((Y$5=Inputs!$C$15+$K$18)*$E$20*$I$20+(Y$5=Inputs!$C$16+$K$18)*$F$20*$J$20+(Y$5=Inputs!$C$17)*$G$20*$H$18*$H$20)</f>
        <v>129.921</v>
      </c>
      <c r="Z23" s="42" t="n">
        <f aca="false">-($D$18+$J$18)*(Z$5=0)+IF(AND(Z$5-$K$18&gt;=1,Z$5-$K$18&lt;=Inputs!$C$13),INDEX($N$21:$AL$21,1,Z$5-$K$18+1)*INDEX($N$22:$AL$22,1,Z$5-$K$18+1),0)-$I$18*((Z$5=Inputs!$C$12)*$C$20*$D$18+(Z$5=Inputs!$C$13)*$D$20*($D$18+Inputs!$C$14))+$I$18*((Z$5=Inputs!$C$15+$K$18)*$E$20*$I$20+(Z$5=Inputs!$C$16+$K$18)*$F$20*$J$20+(Z$5=Inputs!$C$17)*$G$20*$H$18*$H$20)</f>
        <v>-924.8829</v>
      </c>
      <c r="AA23" s="42" t="n">
        <f aca="false">-($D$18+$J$18)*(AA$5=0)+IF(AND(AA$5-$K$18&gt;=1,AA$5-$K$18&lt;=Inputs!$C$13),INDEX($N$21:$AL$21,1,AA$5-$K$18+1)*INDEX($N$22:$AL$22,1,AA$5-$K$18+1),0)-$I$18*((AA$5=Inputs!$C$12)*$C$20*$D$18+(AA$5=Inputs!$C$13)*$D$20*($D$18+Inputs!$C$14))+$I$18*((AA$5=Inputs!$C$15+$K$18)*$E$20*$I$20+(AA$5=Inputs!$C$16+$K$18)*$F$20*$J$20+(AA$5=Inputs!$C$17)*$G$20*$H$18*$H$20)</f>
        <v>131.3532</v>
      </c>
      <c r="AB23" s="42" t="n">
        <f aca="false">-($D$18+$J$18)*(AB$5=0)+IF(AND(AB$5-$K$18&gt;=1,AB$5-$K$18&lt;=Inputs!$C$13),INDEX($N$21:$AL$21,1,AB$5-$K$18+1)*INDEX($N$22:$AL$22,1,AB$5-$K$18+1),0)-$I$18*((AB$5=Inputs!$C$12)*$C$20*$D$18+(AB$5=Inputs!$C$13)*$D$20*($D$18+Inputs!$C$14))+$I$18*((AB$5=Inputs!$C$15+$K$18)*$E$20*$I$20+(AB$5=Inputs!$C$16+$K$18)*$F$20*$J$20+(AB$5=Inputs!$C$17)*$G$20*$H$18*$H$20)</f>
        <v>163.3359</v>
      </c>
      <c r="AC23" s="42" t="n">
        <f aca="false">-($D$18+$J$18)*(AC$5=0)+IF(AND(AC$5-$K$18&gt;=1,AC$5-$K$18&lt;=Inputs!$C$13),INDEX($N$21:$AL$21,1,AC$5-$K$18+1)*INDEX($N$22:$AL$22,1,AC$5-$K$18+1),0)-$I$18*((AC$5=Inputs!$C$12)*$C$20*$D$18+(AC$5=Inputs!$C$13)*$D$20*($D$18+Inputs!$C$14))+$I$18*((AC$5=Inputs!$C$15+$K$18)*$E$20*$I$20+(AC$5=Inputs!$C$16+$K$18)*$F$20*$J$20+(AC$5=Inputs!$C$17)*$G$20*$H$18*$H$20)</f>
        <v>164.9634</v>
      </c>
      <c r="AD23" s="42" t="n">
        <f aca="false">-($D$18+$J$18)*(AD$5=0)+IF(AND(AD$5-$K$18&gt;=1,AD$5-$K$18&lt;=Inputs!$C$13),INDEX($N$21:$AL$21,1,AD$5-$K$18+1)*INDEX($N$22:$AL$22,1,AD$5-$K$18+1),0)-$I$18*((AD$5=Inputs!$C$12)*$C$20*$D$18+(AD$5=Inputs!$C$13)*$D$20*($D$18+Inputs!$C$14))+$I$18*((AD$5=Inputs!$C$15+$K$18)*$E$20*$I$20+(AD$5=Inputs!$C$16+$K$18)*$F$20*$J$20+(AD$5=Inputs!$C$17)*$G$20*$H$18*$H$20)</f>
        <v>166.590900000001</v>
      </c>
      <c r="AE23" s="42" t="n">
        <f aca="false">-($D$18+$J$18)*(AE$5=0)+IF(AND(AE$5-$K$18&gt;=1,AE$5-$K$18&lt;=Inputs!$C$13),INDEX($N$21:$AL$21,1,AE$5-$K$18+1)*INDEX($N$22:$AL$22,1,AE$5-$K$18+1),0)-$I$18*((AE$5=Inputs!$C$12)*$C$20*$D$18+(AE$5=Inputs!$C$13)*$D$20*($D$18+Inputs!$C$14))+$I$18*((AE$5=Inputs!$C$15+$K$18)*$E$20*$I$20+(AE$5=Inputs!$C$16+$K$18)*$F$20*$J$20+(AE$5=Inputs!$C$17)*$G$20*$H$18*$H$20)</f>
        <v>168.2184</v>
      </c>
      <c r="AF23" s="42" t="n">
        <f aca="false">-($D$18+$J$18)*(AF$5=0)+IF(AND(AF$5-$K$18&gt;=1,AF$5-$K$18&lt;=Inputs!$C$13),INDEX($N$21:$AL$21,1,AF$5-$K$18+1)*INDEX($N$22:$AL$22,1,AF$5-$K$18+1),0)-$I$18*((AF$5=Inputs!$C$12)*$C$20*$D$18+(AF$5=Inputs!$C$13)*$D$20*($D$18+Inputs!$C$14))+$I$18*((AF$5=Inputs!$C$15+$K$18)*$E$20*$I$20+(AF$5=Inputs!$C$16+$K$18)*$F$20*$J$20+(AF$5=Inputs!$C$17)*$G$20*$H$18*$H$20)</f>
        <v>169.8459</v>
      </c>
      <c r="AG23" s="42" t="n">
        <f aca="false">-($D$18+$J$18)*(AG$5=0)+IF(AND(AG$5-$K$18&gt;=1,AG$5-$K$18&lt;=Inputs!$C$13),INDEX($N$21:$AL$21,1,AG$5-$K$18+1)*INDEX($N$22:$AL$22,1,AG$5-$K$18+1),0)-$I$18*((AG$5=Inputs!$C$12)*$C$20*$D$18+(AG$5=Inputs!$C$13)*$D$20*($D$18+Inputs!$C$14))+$I$18*((AG$5=Inputs!$C$15+$K$18)*$E$20*$I$20+(AG$5=Inputs!$C$16+$K$18)*$F$20*$J$20+(AG$5=Inputs!$C$17)*$G$20*$H$18*$H$20)</f>
        <v>171.4734</v>
      </c>
      <c r="AH23" s="42" t="n">
        <f aca="false">-($D$18+$J$18)*(AH$5=0)+IF(AND(AH$5-$K$18&gt;=1,AH$5-$K$18&lt;=Inputs!$C$13),INDEX($N$21:$AL$21,1,AH$5-$K$18+1)*INDEX($N$22:$AL$22,1,AH$5-$K$18+1),0)-$I$18*((AH$5=Inputs!$C$12)*$C$20*$D$18+(AH$5=Inputs!$C$13)*$D$20*($D$18+Inputs!$C$14))+$I$18*((AH$5=Inputs!$C$15+$K$18)*$E$20*$I$20+(AH$5=Inputs!$C$16+$K$18)*$F$20*$J$20+(AH$5=Inputs!$C$17)*$G$20*$H$18*$H$20)</f>
        <v>123.6435</v>
      </c>
      <c r="AI23" s="42" t="n">
        <f aca="false">-($D$18+$J$18)*(AI$5=0)+IF(AND(AI$5-$K$18&gt;=1,AI$5-$K$18&lt;=Inputs!$C$13),INDEX($N$21:$AL$21,1,AI$5-$K$18+1)*INDEX($N$22:$AL$22,1,AI$5-$K$18+1),0)-$I$18*((AI$5=Inputs!$C$12)*$C$20*$D$18+(AI$5=Inputs!$C$13)*$D$20*($D$18+Inputs!$C$14))+$I$18*((AI$5=Inputs!$C$15+$K$18)*$E$20*$I$20+(AI$5=Inputs!$C$16+$K$18)*$F$20*$J$20+(AI$5=Inputs!$C$17)*$G$20*$H$18*$H$20)</f>
        <v>124.806</v>
      </c>
      <c r="AJ23" s="42" t="n">
        <f aca="false">-($D$18+$J$18)*(AJ$5=0)+IF(AND(AJ$5-$K$18&gt;=1,AJ$5-$K$18&lt;=Inputs!$C$13),INDEX($N$21:$AL$21,1,AJ$5-$K$18+1)*INDEX($N$22:$AL$22,1,AJ$5-$K$18+1),0)-$I$18*((AJ$5=Inputs!$C$12)*$C$20*$D$18+(AJ$5=Inputs!$C$13)*$D$20*($D$18+Inputs!$C$14))+$I$18*((AJ$5=Inputs!$C$15+$K$18)*$E$20*$I$20+(AJ$5=Inputs!$C$16+$K$18)*$F$20*$J$20+(AJ$5=Inputs!$C$17)*$G$20*$H$18*$H$20)</f>
        <v>125.9685</v>
      </c>
      <c r="AK23" s="42" t="n">
        <f aca="false">-($D$18+$J$18)*(AK$5=0)+IF(AND(AK$5-$K$18&gt;=1,AK$5-$K$18&lt;=Inputs!$C$13),INDEX($N$21:$AL$21,1,AK$5-$K$18+1)*INDEX($N$22:$AL$22,1,AK$5-$K$18+1),0)-$I$18*((AK$5=Inputs!$C$12)*$C$20*$D$18+(AK$5=Inputs!$C$13)*$D$20*($D$18+Inputs!$C$14))+$I$18*((AK$5=Inputs!$C$15+$K$18)*$E$20*$I$20+(AK$5=Inputs!$C$16+$K$18)*$F$20*$J$20+(AK$5=Inputs!$C$17)*$G$20*$H$18*$H$20)</f>
        <v>127.131</v>
      </c>
      <c r="AL23" s="42" t="n">
        <f aca="false">-($D$18+$J$18)*(AL$5=0)+IF(AND(AL$5-$K$18&gt;=1,AL$5-$K$18&lt;=Inputs!$C$13),INDEX($N$21:$AL$21,1,AL$5-$K$18+1)*INDEX($N$22:$AL$22,1,AL$5-$K$18+1),0)-$I$18*((AL$5=Inputs!$C$12)*$C$20*$D$18+(AL$5=Inputs!$C$13)*$D$20*($D$18+Inputs!$C$14))+$I$18*((AL$5=Inputs!$C$15+$K$18)*$E$20*$I$20+(AL$5=Inputs!$C$16+$K$18)*$F$20*$J$20+(AL$5=Inputs!$C$17)*$G$20*$H$18*$H$20)</f>
        <v>-249.706499999999</v>
      </c>
      <c r="AM23" s="42" t="n">
        <f aca="false">-($D$18+$J$18)*(AM$5=0)+IF(AND(AM$5-$K$18&gt;=1,AM$5-$K$18&lt;=Inputs!$C$13),INDEX($N$21:$AL$21,1,AM$5-$K$18+1)*INDEX($N$22:$AL$22,1,AM$5-$K$18+1),0)-$I$18*((AM$5=Inputs!$C$12)*$C$20*$D$18+(AM$5=Inputs!$C$13)*$D$20*($D$18+Inputs!$C$14))+$I$18*((AM$5=Inputs!$C$15+$K$18)*$E$20*$I$20+(AM$5=Inputs!$C$16+$K$18)*$F$20*$J$20+(AM$5=Inputs!$C$17)*$G$20*$H$18*$H$20)</f>
        <v>129.456</v>
      </c>
      <c r="AN23" s="42" t="n">
        <f aca="false">-($D$18+$J$18)*(AN$5=0)+IF(AND(AN$5-$K$18&gt;=1,AN$5-$K$18&lt;=Inputs!$C$13),INDEX($N$21:$AL$21,1,AN$5-$K$18+1)*INDEX($N$22:$AL$22,1,AN$5-$K$18+1),0)-$I$18*((AN$5=Inputs!$C$12)*$C$20*$D$18+(AN$5=Inputs!$C$13)*$D$20*($D$18+Inputs!$C$14))+$I$18*((AN$5=Inputs!$C$15+$K$18)*$E$20*$I$20+(AN$5=Inputs!$C$16+$K$18)*$F$20*$J$20+(AN$5=Inputs!$C$17)*$G$20*$H$18*$H$20)</f>
        <v>0</v>
      </c>
      <c r="AO23" s="42" t="n">
        <f aca="false">-($D$18+$J$18)*(AO$5=0)+IF(AND(AO$5-$K$18&gt;=1,AO$5-$K$18&lt;=Inputs!$C$13),INDEX($N$21:$AL$21,1,AO$5-$K$18+1)*INDEX($N$22:$AL$22,1,AO$5-$K$18+1),0)-$I$18*((AO$5=Inputs!$C$12)*$C$20*$D$18+(AO$5=Inputs!$C$13)*$D$20*($D$18+Inputs!$C$14))+$I$18*((AO$5=Inputs!$C$15+$K$18)*$E$20*$I$20+(AO$5=Inputs!$C$16+$K$18)*$F$20*$J$20+(AO$5=Inputs!$C$17)*$G$20*$H$18*$H$20)</f>
        <v>0</v>
      </c>
      <c r="AP23" s="42" t="n">
        <f aca="false">-($D$18+$J$18)*(AP$5=0)+IF(AND(AP$5-$K$18&gt;=1,AP$5-$K$18&lt;=Inputs!$C$13),INDEX($N$21:$AL$21,1,AP$5-$K$18+1)*INDEX($N$22:$AL$22,1,AP$5-$K$18+1),0)-$I$18*((AP$5=Inputs!$C$12)*$C$20*$D$18+(AP$5=Inputs!$C$13)*$D$20*($D$18+Inputs!$C$14))+$I$18*((AP$5=Inputs!$C$15+$K$18)*$E$20*$I$20+(AP$5=Inputs!$C$16+$K$18)*$F$20*$J$20+(AP$5=Inputs!$C$17)*$G$20*$H$18*$H$20)</f>
        <v>593.838</v>
      </c>
      <c r="AQ23" s="42" t="n">
        <f aca="false">-($D$18+$J$18)*(AQ$5=0)+IF(AND(AQ$5-$K$18&gt;=1,AQ$5-$K$18&lt;=Inputs!$C$13),INDEX($N$21:$AL$21,1,AQ$5-$K$18+1)*INDEX($N$22:$AL$22,1,AQ$5-$K$18+1),0)-$I$18*((AQ$5=Inputs!$C$12)*$C$20*$D$18+(AQ$5=Inputs!$C$13)*$D$20*($D$18+Inputs!$C$14))+$I$18*((AQ$5=Inputs!$C$15+$K$18)*$E$20*$I$20+(AQ$5=Inputs!$C$16+$K$18)*$F$20*$J$20+(AQ$5=Inputs!$C$17)*$G$20*$H$18*$H$20)</f>
        <v>0</v>
      </c>
      <c r="AR23" s="42" t="n">
        <f aca="false">-($D$18+$J$18)*(AR$5=0)+IF(AND(AR$5-$K$18&gt;=1,AR$5-$K$18&lt;=Inputs!$C$13),INDEX($N$21:$AL$21,1,AR$5-$K$18+1)*INDEX($N$22:$AL$22,1,AR$5-$K$18+1),0)-$I$18*((AR$5=Inputs!$C$12)*$C$20*$D$18+(AR$5=Inputs!$C$13)*$D$20*($D$18+Inputs!$C$14))+$I$18*((AR$5=Inputs!$C$15+$K$18)*$E$20*$I$20+(AR$5=Inputs!$C$16+$K$18)*$F$20*$J$20+(AR$5=Inputs!$C$17)*$G$20*$H$18*$H$20)</f>
        <v>0</v>
      </c>
      <c r="AS23" s="42" t="n">
        <f aca="false">-($D$18+$J$18)*(AS$5=0)+IF(AND(AS$5-$K$18&gt;=1,AS$5-$K$18&lt;=Inputs!$C$13),INDEX($N$21:$AL$21,1,AS$5-$K$18+1)*INDEX($N$22:$AL$22,1,AS$5-$K$18+1),0)-$I$18*((AS$5=Inputs!$C$12)*$C$20*$D$18+(AS$5=Inputs!$C$13)*$D$20*($D$18+Inputs!$C$14))+$I$18*((AS$5=Inputs!$C$15+$K$18)*$E$20*$I$20+(AS$5=Inputs!$C$16+$K$18)*$F$20*$J$20+(AS$5=Inputs!$C$17)*$G$20*$H$18*$H$20)</f>
        <v>345.7188</v>
      </c>
      <c r="AT23" s="42" t="n">
        <f aca="false">-($D$18+$J$18)*(AT$5=0)+IF(AND(AT$5-$K$18&gt;=1,AT$5-$K$18&lt;=Inputs!$C$13),INDEX($N$21:$AL$21,1,AT$5-$K$18+1)*INDEX($N$22:$AL$22,1,AT$5-$K$18+1),0)-$I$18*((AT$5=Inputs!$C$12)*$C$20*$D$18+(AT$5=Inputs!$C$13)*$D$20*($D$18+Inputs!$C$14))+$I$18*((AT$5=Inputs!$C$15+$K$18)*$E$20*$I$20+(AT$5=Inputs!$C$16+$K$18)*$F$20*$J$20+(AT$5=Inputs!$C$17)*$G$20*$H$18*$H$20)</f>
        <v>0</v>
      </c>
      <c r="AU23" s="42" t="n">
        <f aca="false">-($D$18+$J$18)*(AU$5=0)+IF(AND(AU$5-$K$18&gt;=1,AU$5-$K$18&lt;=Inputs!$C$13),INDEX($N$21:$AL$21,1,AU$5-$K$18+1)*INDEX($N$22:$AL$22,1,AU$5-$K$18+1),0)-$I$18*((AU$5=Inputs!$C$12)*$C$20*$D$18+(AU$5=Inputs!$C$13)*$D$20*($D$18+Inputs!$C$14))+$I$18*((AU$5=Inputs!$C$15+$K$18)*$E$20*$I$20+(AU$5=Inputs!$C$16+$K$18)*$F$20*$J$20+(AU$5=Inputs!$C$17)*$G$20*$H$18*$H$20)</f>
        <v>0</v>
      </c>
      <c r="AV23" s="42" t="n">
        <f aca="false">-($D$18+$J$18)*(AV$5=0)+IF(AND(AV$5-$K$18&gt;=1,AV$5-$K$18&lt;=Inputs!$C$13),INDEX($N$21:$AL$21,1,AV$5-$K$18+1)*INDEX($N$22:$AL$22,1,AV$5-$K$18+1),0)-$I$18*((AV$5=Inputs!$C$12)*$C$20*$D$18+(AV$5=Inputs!$C$13)*$D$20*($D$18+Inputs!$C$14))+$I$18*((AV$5=Inputs!$C$15+$K$18)*$E$20*$I$20+(AV$5=Inputs!$C$16+$K$18)*$F$20*$J$20+(AV$5=Inputs!$C$17)*$G$20*$H$18*$H$20)</f>
        <v>0</v>
      </c>
      <c r="AW23" s="42" t="n">
        <f aca="false">-($D$18+$J$18)*(AW$5=0)+IF(AND(AW$5-$K$18&gt;=1,AW$5-$K$18&lt;=Inputs!$C$13),INDEX($N$21:$AL$21,1,AW$5-$K$18+1)*INDEX($N$22:$AL$22,1,AW$5-$K$18+1),0)-$I$18*((AW$5=Inputs!$C$12)*$C$20*$D$18+(AW$5=Inputs!$C$13)*$D$20*($D$18+Inputs!$C$14))+$I$18*((AW$5=Inputs!$C$15+$K$18)*$E$20*$I$20+(AW$5=Inputs!$C$16+$K$18)*$F$20*$J$20+(AW$5=Inputs!$C$17)*$G$20*$H$18*$H$20)</f>
        <v>0</v>
      </c>
      <c r="AX23" s="42" t="n">
        <f aca="false">-($D$18+$J$18)*(AX$5=0)+IF(AND(AX$5-$K$18&gt;=1,AX$5-$K$18&lt;=Inputs!$C$13),INDEX($N$21:$AL$21,1,AX$5-$K$18+1)*INDEX($N$22:$AL$22,1,AX$5-$K$18+1),0)-$I$18*((AX$5=Inputs!$C$12)*$C$20*$D$18+(AX$5=Inputs!$C$13)*$D$20*($D$18+Inputs!$C$14))+$I$18*((AX$5=Inputs!$C$15+$K$18)*$E$20*$I$20+(AX$5=Inputs!$C$16+$K$18)*$F$20*$J$20+(AX$5=Inputs!$C$17)*$G$20*$H$18*$H$20)</f>
        <v>47.628</v>
      </c>
      <c r="AY23" s="42" t="n">
        <f aca="false">-($D$18+$J$18)*(AY$5=0)+IF(AND(AY$5-$K$18&gt;=1,AY$5-$K$18&lt;=Inputs!$C$13),INDEX($N$21:$AL$21,1,AY$5-$K$18+1)*INDEX($N$22:$AL$22,1,AY$5-$K$18+1),0)-$I$18*((AY$5=Inputs!$C$12)*$C$20*$D$18+(AY$5=Inputs!$C$13)*$D$20*($D$18+Inputs!$C$14))+$I$18*((AY$5=Inputs!$C$15+$K$18)*$E$20*$I$20+(AY$5=Inputs!$C$16+$K$18)*$F$20*$J$20+(AY$5=Inputs!$C$17)*$G$20*$H$18*$H$20)</f>
        <v>0</v>
      </c>
    </row>
    <row r="25" customFormat="false" ht="15" hidden="false" customHeight="false" outlineLevel="0" collapsed="false">
      <c r="B25" s="7" t="s">
        <v>243</v>
      </c>
      <c r="C25" s="8"/>
      <c r="D25" s="8"/>
      <c r="E25" s="8"/>
      <c r="F25" s="8"/>
      <c r="G25" s="8"/>
      <c r="H25" s="8"/>
      <c r="I25" s="8"/>
      <c r="J25" s="8"/>
      <c r="K25" s="8"/>
      <c r="L25" s="8"/>
    </row>
    <row r="26" customFormat="false" ht="30" hidden="false" customHeight="true" outlineLevel="0" collapsed="false">
      <c r="B26" s="37"/>
      <c r="C26" s="38" t="s">
        <v>169</v>
      </c>
      <c r="D26" s="38" t="s">
        <v>170</v>
      </c>
      <c r="E26" s="38" t="s">
        <v>171</v>
      </c>
      <c r="F26" s="38" t="s">
        <v>43</v>
      </c>
      <c r="G26" s="38" t="s">
        <v>44</v>
      </c>
      <c r="H26" s="38" t="s">
        <v>45</v>
      </c>
      <c r="I26" s="38" t="s">
        <v>172</v>
      </c>
      <c r="J26" s="38" t="s">
        <v>90</v>
      </c>
      <c r="K26" s="38" t="s">
        <v>89</v>
      </c>
      <c r="L26" s="38" t="s">
        <v>173</v>
      </c>
    </row>
    <row r="27" customFormat="false" ht="15" hidden="false" customHeight="false" outlineLevel="0" collapsed="false">
      <c r="B27" s="39" t="s">
        <v>174</v>
      </c>
      <c r="C27" s="26" t="n">
        <f aca="false">Inputs!$F$41*Inputs!$E$55</f>
        <v>0.09</v>
      </c>
      <c r="D27" s="30" t="n">
        <f aca="false">Inputs!$E$41</f>
        <v>9500</v>
      </c>
      <c r="E27" s="26" t="n">
        <f aca="false">IF(Inputs!$G$41=1,Inputs!$F$27,MIN(1,MAX(0,INDEX(Inputs!$F$23:$F$27,MATCH(Inputs!$C$41,Inputs!$B$23:$B$27,0))+INDEX(Inputs!$C$48:$C$51,MATCH(Inputs!$D$55,Inputs!$B$48:$B$51,0)))))</f>
        <v>0.9</v>
      </c>
      <c r="F27" s="25" t="n">
        <f aca="false">IF(Inputs!$G$41=1,Inputs!$G$27,INDEX(Inputs!$G$23:$G$27,MATCH(Inputs!$C$41,Inputs!$B$23:$B$27,0)))</f>
        <v>0.6</v>
      </c>
      <c r="G27" s="25" t="n">
        <f aca="false">IF(Inputs!$G$41=1,Inputs!$H$27,INDEX(Inputs!$H$23:$H$27,MATCH(Inputs!$C$41,Inputs!$B$23:$B$27,0)))*INDEX(Inputs!$D$48:$D$51,MATCH(Inputs!$D$55,Inputs!$B$48:$B$51,0))</f>
        <v>0.8</v>
      </c>
      <c r="H27" s="25" t="n">
        <f aca="false">MAX(0,IF(Inputs!$G$41=1,Inputs!$I$27,INDEX(Inputs!$I$23:$I$27,MATCH(Inputs!$C$41,Inputs!$B$23:$B$27,0)))+INDEX(Inputs!$E$48:$E$51,MATCH(Inputs!$D$55,Inputs!$B$48:$B$51,0)))</f>
        <v>0.9</v>
      </c>
      <c r="I27" s="22" t="n">
        <f aca="false">IF(Inputs!$G$41=1,0,INDEX(Inputs!$J$23:$J$27,MATCH(Inputs!$C$41,Inputs!$B$23:$B$27,0)))</f>
        <v>1</v>
      </c>
      <c r="J27" s="23" t="n">
        <f aca="false">Inputs!$G$55</f>
        <v>10</v>
      </c>
      <c r="K27" s="22" t="n">
        <f aca="false">Inputs!$F$55</f>
        <v>1</v>
      </c>
      <c r="L27" s="22" t="n">
        <f aca="false">Inputs!$C$55</f>
        <v>1</v>
      </c>
    </row>
    <row r="28" customFormat="false" ht="30" hidden="false" customHeight="true" outlineLevel="0" collapsed="false">
      <c r="B28" s="37"/>
      <c r="C28" s="38" t="s">
        <v>175</v>
      </c>
      <c r="D28" s="38" t="s">
        <v>176</v>
      </c>
      <c r="E28" s="38" t="s">
        <v>177</v>
      </c>
      <c r="F28" s="38" t="s">
        <v>178</v>
      </c>
      <c r="G28" s="38" t="s">
        <v>112</v>
      </c>
      <c r="H28" s="38" t="s">
        <v>179</v>
      </c>
      <c r="I28" s="38" t="s">
        <v>180</v>
      </c>
      <c r="J28" s="38" t="s">
        <v>181</v>
      </c>
      <c r="K28" s="38" t="s">
        <v>182</v>
      </c>
      <c r="L28" s="38" t="s">
        <v>183</v>
      </c>
    </row>
    <row r="29" customFormat="false" ht="15" hidden="false" customHeight="false" outlineLevel="0" collapsed="false">
      <c r="B29" s="39" t="s">
        <v>184</v>
      </c>
      <c r="C29" s="40" t="n">
        <f aca="false">1-$E$27*CHOOSE($L$27,INDEX(Timing!$C$7:$AA$7,1,Inputs!$C$12+1),INDEX(Timing!$C$8:$AA$8,1,Inputs!$C$12+1))</f>
        <v>0.316</v>
      </c>
      <c r="D29" s="40" t="n">
        <f aca="false">1-$E$27*CHOOSE($L$27,INDEX(Timing!$C$7:$AA$7,1,Inputs!$C$13+1),INDEX(Timing!$C$8:$AA$8,1,Inputs!$C$13+1))</f>
        <v>0.1</v>
      </c>
      <c r="E29" s="40" t="n">
        <f aca="false">$I$27*$D$29*$F$27</f>
        <v>0.06</v>
      </c>
      <c r="F29" s="40" t="n">
        <f aca="false">$I$27*($D$29-$E$29)*$G$27</f>
        <v>0.032</v>
      </c>
      <c r="G29" s="40" t="n">
        <f aca="false">$I$27*($D$29-$E$29-$F$29)</f>
        <v>0.008</v>
      </c>
      <c r="H29" s="23" t="n">
        <f aca="false">$I$27*(3*$D$27+Inputs!$C$14)</f>
        <v>30300</v>
      </c>
      <c r="I29" s="23" t="n">
        <f aca="false">$I$27*($D$27*(1+IF($C$27&lt;=0,0,MAX($C$27*Inputs!$C$15/12,Inputs!$C$8)))+$D$27*(1+Inputs!$C$11*(Inputs!$C$15-Inputs!$C$12)/12)+$D$27*(1+Inputs!$C$11*(Inputs!$C$15-Inputs!$C$13)/12)+Inputs!$C$14)</f>
        <v>34788.75</v>
      </c>
      <c r="J29" s="23" t="n">
        <f aca="false">$I$27*($D$27*(1+IF($C$27&lt;=0,0,MAX($C$27*Inputs!$C$16/12,Inputs!$C$8)))+$D$27*(1+Inputs!$C$11*(Inputs!$C$16-Inputs!$C$12)/12)+$D$27*(1+Inputs!$C$11*(Inputs!$C$16-Inputs!$C$13)/12)+Inputs!$C$14)</f>
        <v>35857.5</v>
      </c>
      <c r="K29" s="40" t="n">
        <f aca="false">IRR($N$32:$AY$32,0.005)</f>
        <v>0.00813789968573205</v>
      </c>
      <c r="L29" s="41" t="n">
        <f aca="false">(1+$K$29)^12-1</f>
        <v>0.102146438751332</v>
      </c>
    </row>
    <row r="30" customFormat="false" ht="15" hidden="false" customHeight="false" outlineLevel="0" collapsed="false">
      <c r="B30" s="9" t="s">
        <v>185</v>
      </c>
      <c r="N30" s="40" t="n">
        <f aca="false">0</f>
        <v>0</v>
      </c>
      <c r="O30" s="40" t="n">
        <f aca="false">$E$27*(CHOOSE($L$27,Timing!D$7,Timing!D$8)-CHOOSE($L$27,Timing!C$7,Timing!C$8))</f>
        <v>0.108</v>
      </c>
      <c r="P30" s="40" t="n">
        <f aca="false">$E$27*(CHOOSE($L$27,Timing!E$7,Timing!E$8)-CHOOSE($L$27,Timing!D$7,Timing!D$8))</f>
        <v>0.09</v>
      </c>
      <c r="Q30" s="40" t="n">
        <f aca="false">$E$27*(CHOOSE($L$27,Timing!F$7,Timing!F$8)-CHOOSE($L$27,Timing!E$7,Timing!E$8))</f>
        <v>0.081</v>
      </c>
      <c r="R30" s="40" t="n">
        <f aca="false">$E$27*(CHOOSE($L$27,Timing!G$7,Timing!G$8)-CHOOSE($L$27,Timing!F$7,Timing!F$8))</f>
        <v>0.063</v>
      </c>
      <c r="S30" s="40" t="n">
        <f aca="false">$E$27*(CHOOSE($L$27,Timing!H$7,Timing!H$8)-CHOOSE($L$27,Timing!G$7,Timing!G$8))</f>
        <v>0.063</v>
      </c>
      <c r="T30" s="40" t="n">
        <f aca="false">$E$27*(CHOOSE($L$27,Timing!I$7,Timing!I$8)-CHOOSE($L$27,Timing!H$7,Timing!H$8))</f>
        <v>0.063</v>
      </c>
      <c r="U30" s="40" t="n">
        <f aca="false">$E$27*(CHOOSE($L$27,Timing!J$7,Timing!J$8)-CHOOSE($L$27,Timing!I$7,Timing!I$8))</f>
        <v>0.039</v>
      </c>
      <c r="V30" s="40" t="n">
        <f aca="false">$E$27*(CHOOSE($L$27,Timing!K$7,Timing!K$8)-CHOOSE($L$27,Timing!J$7,Timing!J$8))</f>
        <v>0.039</v>
      </c>
      <c r="W30" s="40" t="n">
        <f aca="false">$E$27*(CHOOSE($L$27,Timing!L$7,Timing!L$8)-CHOOSE($L$27,Timing!K$7,Timing!K$8))</f>
        <v>0.039</v>
      </c>
      <c r="X30" s="40" t="n">
        <f aca="false">$E$27*(CHOOSE($L$27,Timing!M$7,Timing!M$8)-CHOOSE($L$27,Timing!L$7,Timing!L$8))</f>
        <v>0.033</v>
      </c>
      <c r="Y30" s="40" t="n">
        <f aca="false">$E$27*(CHOOSE($L$27,Timing!N$7,Timing!N$8)-CHOOSE($L$27,Timing!M$7,Timing!M$8))</f>
        <v>0.0330000000000001</v>
      </c>
      <c r="Z30" s="40" t="n">
        <f aca="false">$E$27*(CHOOSE($L$27,Timing!O$7,Timing!O$8)-CHOOSE($L$27,Timing!N$7,Timing!N$8))</f>
        <v>0.033</v>
      </c>
      <c r="AA30" s="40" t="n">
        <f aca="false">$E$27*(CHOOSE($L$27,Timing!P$7,Timing!P$8)-CHOOSE($L$27,Timing!O$7,Timing!O$8))</f>
        <v>0.021</v>
      </c>
      <c r="AB30" s="40" t="n">
        <f aca="false">$E$27*(CHOOSE($L$27,Timing!Q$7,Timing!Q$8)-CHOOSE($L$27,Timing!P$7,Timing!P$8))</f>
        <v>0.021</v>
      </c>
      <c r="AC30" s="40" t="n">
        <f aca="false">$E$27*(CHOOSE($L$27,Timing!R$7,Timing!R$8)-CHOOSE($L$27,Timing!Q$7,Timing!Q$8))</f>
        <v>0.0210000000000001</v>
      </c>
      <c r="AD30" s="40" t="n">
        <f aca="false">$E$27*(CHOOSE($L$27,Timing!S$7,Timing!S$8)-CHOOSE($L$27,Timing!R$7,Timing!R$8))</f>
        <v>0.021</v>
      </c>
      <c r="AE30" s="40" t="n">
        <f aca="false">$E$27*(CHOOSE($L$27,Timing!T$7,Timing!T$8)-CHOOSE($L$27,Timing!S$7,Timing!S$8))</f>
        <v>0.021</v>
      </c>
      <c r="AF30" s="40" t="n">
        <f aca="false">$E$27*(CHOOSE($L$27,Timing!U$7,Timing!U$8)-CHOOSE($L$27,Timing!T$7,Timing!T$8))</f>
        <v>0.021</v>
      </c>
      <c r="AG30" s="40" t="n">
        <f aca="false">$E$27*(CHOOSE($L$27,Timing!V$7,Timing!V$8)-CHOOSE($L$27,Timing!U$7,Timing!U$8))</f>
        <v>0.015</v>
      </c>
      <c r="AH30" s="40" t="n">
        <f aca="false">$E$27*(CHOOSE($L$27,Timing!W$7,Timing!W$8)-CHOOSE($L$27,Timing!V$7,Timing!V$8))</f>
        <v>0.0149999999999999</v>
      </c>
      <c r="AI30" s="40" t="n">
        <f aca="false">$E$27*(CHOOSE($L$27,Timing!X$7,Timing!X$8)-CHOOSE($L$27,Timing!W$7,Timing!W$8))</f>
        <v>0.0149999999999999</v>
      </c>
      <c r="AJ30" s="40" t="n">
        <f aca="false">$E$27*(CHOOSE($L$27,Timing!Y$7,Timing!Y$8)-CHOOSE($L$27,Timing!X$7,Timing!X$8))</f>
        <v>0.015</v>
      </c>
      <c r="AK30" s="40" t="n">
        <f aca="false">$E$27*(CHOOSE($L$27,Timing!Z$7,Timing!Z$8)-CHOOSE($L$27,Timing!Y$7,Timing!Y$8))</f>
        <v>0.015</v>
      </c>
      <c r="AL30" s="40" t="n">
        <f aca="false">$E$27*(CHOOSE($L$27,Timing!AA$7,Timing!AA$8)-CHOOSE($L$27,Timing!Z$7,Timing!Z$8))</f>
        <v>0.0149999999999999</v>
      </c>
    </row>
    <row r="31" customFormat="false" ht="15" hidden="false" customHeight="false" outlineLevel="0" collapsed="false">
      <c r="B31" s="9" t="s">
        <v>186</v>
      </c>
      <c r="N31" s="42" t="n">
        <f aca="false">0</f>
        <v>0</v>
      </c>
      <c r="O31" s="42" t="n">
        <f aca="false">$D$27*(1+IF($C$27&lt;=0,0,MAX($C$27*O$5/12,Inputs!$C$8)))+$I$27*(O$5&gt;Inputs!$C$12)*$D$27*(1+Inputs!$C$11*(O$5-Inputs!$C$12)/12)</f>
        <v>9975</v>
      </c>
      <c r="P31" s="42" t="n">
        <f aca="false">$D$27*(1+IF($C$27&lt;=0,0,MAX($C$27*P$5/12,Inputs!$C$8)))+$I$27*(P$5&gt;Inputs!$C$12)*$D$27*(1+Inputs!$C$11*(P$5-Inputs!$C$12)/12)</f>
        <v>9975</v>
      </c>
      <c r="Q31" s="42" t="n">
        <f aca="false">$D$27*(1+IF($C$27&lt;=0,0,MAX($C$27*Q$5/12,Inputs!$C$8)))+$I$27*(Q$5&gt;Inputs!$C$12)*$D$27*(1+Inputs!$C$11*(Q$5-Inputs!$C$12)/12)</f>
        <v>9975</v>
      </c>
      <c r="R31" s="42" t="n">
        <f aca="false">$D$27*(1+IF($C$27&lt;=0,0,MAX($C$27*R$5/12,Inputs!$C$8)))+$I$27*(R$5&gt;Inputs!$C$12)*$D$27*(1+Inputs!$C$11*(R$5-Inputs!$C$12)/12)</f>
        <v>9975</v>
      </c>
      <c r="S31" s="42" t="n">
        <f aca="false">$D$27*(1+IF($C$27&lt;=0,0,MAX($C$27*S$5/12,Inputs!$C$8)))+$I$27*(S$5&gt;Inputs!$C$12)*$D$27*(1+Inputs!$C$11*(S$5-Inputs!$C$12)/12)</f>
        <v>9975</v>
      </c>
      <c r="T31" s="42" t="n">
        <f aca="false">$D$27*(1+IF($C$27&lt;=0,0,MAX($C$27*T$5/12,Inputs!$C$8)))+$I$27*(T$5&gt;Inputs!$C$12)*$D$27*(1+Inputs!$C$11*(T$5-Inputs!$C$12)/12)</f>
        <v>9975</v>
      </c>
      <c r="U31" s="42" t="n">
        <f aca="false">$D$27*(1+IF($C$27&lt;=0,0,MAX($C$27*U$5/12,Inputs!$C$8)))+$I$27*(U$5&gt;Inputs!$C$12)*$D$27*(1+Inputs!$C$11*(U$5-Inputs!$C$12)/12)</f>
        <v>9998.75</v>
      </c>
      <c r="V31" s="42" t="n">
        <f aca="false">$D$27*(1+IF($C$27&lt;=0,0,MAX($C$27*V$5/12,Inputs!$C$8)))+$I$27*(V$5&gt;Inputs!$C$12)*$D$27*(1+Inputs!$C$11*(V$5-Inputs!$C$12)/12)</f>
        <v>10070</v>
      </c>
      <c r="W31" s="42" t="n">
        <f aca="false">$D$27*(1+IF($C$27&lt;=0,0,MAX($C$27*W$5/12,Inputs!$C$8)))+$I$27*(W$5&gt;Inputs!$C$12)*$D$27*(1+Inputs!$C$11*(W$5-Inputs!$C$12)/12)</f>
        <v>10141.25</v>
      </c>
      <c r="X31" s="42" t="n">
        <f aca="false">$D$27*(1+IF($C$27&lt;=0,0,MAX($C$27*X$5/12,Inputs!$C$8)))+$I$27*(X$5&gt;Inputs!$C$12)*$D$27*(1+Inputs!$C$11*(X$5-Inputs!$C$12)/12)</f>
        <v>10212.5</v>
      </c>
      <c r="Y31" s="42" t="n">
        <f aca="false">$D$27*(1+IF($C$27&lt;=0,0,MAX($C$27*Y$5/12,Inputs!$C$8)))+$I$27*(Y$5&gt;Inputs!$C$12)*$D$27*(1+Inputs!$C$11*(Y$5-Inputs!$C$12)/12)</f>
        <v>10283.75</v>
      </c>
      <c r="Z31" s="42" t="n">
        <f aca="false">$D$27*(1+IF($C$27&lt;=0,0,MAX($C$27*Z$5/12,Inputs!$C$8)))+$I$27*(Z$5&gt;Inputs!$C$12)*$D$27*(1+Inputs!$C$11*(Z$5-Inputs!$C$12)/12)</f>
        <v>10355</v>
      </c>
      <c r="AA31" s="42" t="n">
        <f aca="false">$D$27*(1+IF($C$27&lt;=0,0,MAX($C$27*AA$5/12,Inputs!$C$8)))+$I$27*(AA$5&gt;Inputs!$C$12)*$D$27*(1+Inputs!$C$11*(AA$5-Inputs!$C$12)/12)</f>
        <v>20068.75</v>
      </c>
      <c r="AB31" s="42" t="n">
        <f aca="false">$D$27*(1+IF($C$27&lt;=0,0,MAX($C$27*AB$5/12,Inputs!$C$8)))+$I$27*(AB$5&gt;Inputs!$C$12)*$D$27*(1+Inputs!$C$11*(AB$5-Inputs!$C$12)/12)</f>
        <v>20282.5</v>
      </c>
      <c r="AC31" s="42" t="n">
        <f aca="false">$D$27*(1+IF($C$27&lt;=0,0,MAX($C$27*AC$5/12,Inputs!$C$8)))+$I$27*(AC$5&gt;Inputs!$C$12)*$D$27*(1+Inputs!$C$11*(AC$5-Inputs!$C$12)/12)</f>
        <v>20496.25</v>
      </c>
      <c r="AD31" s="42" t="n">
        <f aca="false">$D$27*(1+IF($C$27&lt;=0,0,MAX($C$27*AD$5/12,Inputs!$C$8)))+$I$27*(AD$5&gt;Inputs!$C$12)*$D$27*(1+Inputs!$C$11*(AD$5-Inputs!$C$12)/12)</f>
        <v>20710</v>
      </c>
      <c r="AE31" s="42" t="n">
        <f aca="false">$D$27*(1+IF($C$27&lt;=0,0,MAX($C$27*AE$5/12,Inputs!$C$8)))+$I$27*(AE$5&gt;Inputs!$C$12)*$D$27*(1+Inputs!$C$11*(AE$5-Inputs!$C$12)/12)</f>
        <v>20923.75</v>
      </c>
      <c r="AF31" s="42" t="n">
        <f aca="false">$D$27*(1+IF($C$27&lt;=0,0,MAX($C$27*AF$5/12,Inputs!$C$8)))+$I$27*(AF$5&gt;Inputs!$C$12)*$D$27*(1+Inputs!$C$11*(AF$5-Inputs!$C$12)/12)</f>
        <v>21137.5</v>
      </c>
      <c r="AG31" s="42" t="n">
        <f aca="false">$D$27*(1+IF($C$27&lt;=0,0,MAX($C$27*AG$5/12,Inputs!$C$8)))+$I$27*(AG$5&gt;Inputs!$C$12)*$D$27*(1+Inputs!$C$11*(AG$5-Inputs!$C$12)/12)</f>
        <v>21351.25</v>
      </c>
      <c r="AH31" s="42" t="n">
        <f aca="false">$D$27*(1+IF($C$27&lt;=0,0,MAX($C$27*AH$5/12,Inputs!$C$8)))+$I$27*(AH$5&gt;Inputs!$C$12)*$D$27*(1+Inputs!$C$11*(AH$5-Inputs!$C$12)/12)</f>
        <v>21565</v>
      </c>
      <c r="AI31" s="42" t="n">
        <f aca="false">$D$27*(1+IF($C$27&lt;=0,0,MAX($C$27*AI$5/12,Inputs!$C$8)))+$I$27*(AI$5&gt;Inputs!$C$12)*$D$27*(1+Inputs!$C$11*(AI$5-Inputs!$C$12)/12)</f>
        <v>21778.75</v>
      </c>
      <c r="AJ31" s="42" t="n">
        <f aca="false">$D$27*(1+IF($C$27&lt;=0,0,MAX($C$27*AJ$5/12,Inputs!$C$8)))+$I$27*(AJ$5&gt;Inputs!$C$12)*$D$27*(1+Inputs!$C$11*(AJ$5-Inputs!$C$12)/12)</f>
        <v>21992.5</v>
      </c>
      <c r="AK31" s="42" t="n">
        <f aca="false">$D$27*(1+IF($C$27&lt;=0,0,MAX($C$27*AK$5/12,Inputs!$C$8)))+$I$27*(AK$5&gt;Inputs!$C$12)*$D$27*(1+Inputs!$C$11*(AK$5-Inputs!$C$12)/12)</f>
        <v>22206.25</v>
      </c>
      <c r="AL31" s="42" t="n">
        <f aca="false">$D$27*(1+IF($C$27&lt;=0,0,MAX($C$27*AL$5/12,Inputs!$C$8)))+$I$27*(AL$5&gt;Inputs!$C$12)*$D$27*(1+Inputs!$C$11*(AL$5-Inputs!$C$12)/12)</f>
        <v>22420</v>
      </c>
    </row>
    <row r="32" customFormat="false" ht="15" hidden="false" customHeight="false" outlineLevel="0" collapsed="false">
      <c r="B32" s="31" t="s">
        <v>187</v>
      </c>
      <c r="N32" s="42" t="n">
        <f aca="false">-($D$27+$J$27)*(N$5=0)+IF(AND(N$5-$K$27&gt;=1,N$5-$K$27&lt;=Inputs!$C$13),INDEX($N$30:$AL$30,1,N$5-$K$27+1)*INDEX($N$31:$AL$31,1,N$5-$K$27+1),0)-$I$27*((N$5=Inputs!$C$12)*$C$29*$D$27+(N$5=Inputs!$C$13)*$D$29*($D$27+Inputs!$C$14))+$I$27*((N$5=Inputs!$C$15+$K$27)*$E$29*$I$29+(N$5=Inputs!$C$16+$K$27)*$F$29*$J$29+(N$5=Inputs!$C$17)*$G$29*$H$27*$H$29)</f>
        <v>-9510</v>
      </c>
      <c r="O32" s="42" t="n">
        <f aca="false">-($D$27+$J$27)*(O$5=0)+IF(AND(O$5-$K$27&gt;=1,O$5-$K$27&lt;=Inputs!$C$13),INDEX($N$30:$AL$30,1,O$5-$K$27+1)*INDEX($N$31:$AL$31,1,O$5-$K$27+1),0)-$I$27*((O$5=Inputs!$C$12)*$C$29*$D$27+(O$5=Inputs!$C$13)*$D$29*($D$27+Inputs!$C$14))+$I$27*((O$5=Inputs!$C$15+$K$27)*$E$29*$I$29+(O$5=Inputs!$C$16+$K$27)*$F$29*$J$29+(O$5=Inputs!$C$17)*$G$29*$H$27*$H$29)</f>
        <v>0</v>
      </c>
      <c r="P32" s="42" t="n">
        <f aca="false">-($D$27+$J$27)*(P$5=0)+IF(AND(P$5-$K$27&gt;=1,P$5-$K$27&lt;=Inputs!$C$13),INDEX($N$30:$AL$30,1,P$5-$K$27+1)*INDEX($N$31:$AL$31,1,P$5-$K$27+1),0)-$I$27*((P$5=Inputs!$C$12)*$C$29*$D$27+(P$5=Inputs!$C$13)*$D$29*($D$27+Inputs!$C$14))+$I$27*((P$5=Inputs!$C$15+$K$27)*$E$29*$I$29+(P$5=Inputs!$C$16+$K$27)*$F$29*$J$29+(P$5=Inputs!$C$17)*$G$29*$H$27*$H$29)</f>
        <v>1077.3</v>
      </c>
      <c r="Q32" s="42" t="n">
        <f aca="false">-($D$27+$J$27)*(Q$5=0)+IF(AND(Q$5-$K$27&gt;=1,Q$5-$K$27&lt;=Inputs!$C$13),INDEX($N$30:$AL$30,1,Q$5-$K$27+1)*INDEX($N$31:$AL$31,1,Q$5-$K$27+1),0)-$I$27*((Q$5=Inputs!$C$12)*$C$29*$D$27+(Q$5=Inputs!$C$13)*$D$29*($D$27+Inputs!$C$14))+$I$27*((Q$5=Inputs!$C$15+$K$27)*$E$29*$I$29+(Q$5=Inputs!$C$16+$K$27)*$F$29*$J$29+(Q$5=Inputs!$C$17)*$G$29*$H$27*$H$29)</f>
        <v>897.75</v>
      </c>
      <c r="R32" s="42" t="n">
        <f aca="false">-($D$27+$J$27)*(R$5=0)+IF(AND(R$5-$K$27&gt;=1,R$5-$K$27&lt;=Inputs!$C$13),INDEX($N$30:$AL$30,1,R$5-$K$27+1)*INDEX($N$31:$AL$31,1,R$5-$K$27+1),0)-$I$27*((R$5=Inputs!$C$12)*$C$29*$D$27+(R$5=Inputs!$C$13)*$D$29*($D$27+Inputs!$C$14))+$I$27*((R$5=Inputs!$C$15+$K$27)*$E$29*$I$29+(R$5=Inputs!$C$16+$K$27)*$F$29*$J$29+(R$5=Inputs!$C$17)*$G$29*$H$27*$H$29)</f>
        <v>807.975</v>
      </c>
      <c r="S32" s="42" t="n">
        <f aca="false">-($D$27+$J$27)*(S$5=0)+IF(AND(S$5-$K$27&gt;=1,S$5-$K$27&lt;=Inputs!$C$13),INDEX($N$30:$AL$30,1,S$5-$K$27+1)*INDEX($N$31:$AL$31,1,S$5-$K$27+1),0)-$I$27*((S$5=Inputs!$C$12)*$C$29*$D$27+(S$5=Inputs!$C$13)*$D$29*($D$27+Inputs!$C$14))+$I$27*((S$5=Inputs!$C$15+$K$27)*$E$29*$I$29+(S$5=Inputs!$C$16+$K$27)*$F$29*$J$29+(S$5=Inputs!$C$17)*$G$29*$H$27*$H$29)</f>
        <v>628.425</v>
      </c>
      <c r="T32" s="42" t="n">
        <f aca="false">-($D$27+$J$27)*(T$5=0)+IF(AND(T$5-$K$27&gt;=1,T$5-$K$27&lt;=Inputs!$C$13),INDEX($N$30:$AL$30,1,T$5-$K$27+1)*INDEX($N$31:$AL$31,1,T$5-$K$27+1),0)-$I$27*((T$5=Inputs!$C$12)*$C$29*$D$27+(T$5=Inputs!$C$13)*$D$29*($D$27+Inputs!$C$14))+$I$27*((T$5=Inputs!$C$15+$K$27)*$E$29*$I$29+(T$5=Inputs!$C$16+$K$27)*$F$29*$J$29+(T$5=Inputs!$C$17)*$G$29*$H$27*$H$29)</f>
        <v>628.425</v>
      </c>
      <c r="U32" s="42" t="n">
        <f aca="false">-($D$27+$J$27)*(U$5=0)+IF(AND(U$5-$K$27&gt;=1,U$5-$K$27&lt;=Inputs!$C$13),INDEX($N$30:$AL$30,1,U$5-$K$27+1)*INDEX($N$31:$AL$31,1,U$5-$K$27+1),0)-$I$27*((U$5=Inputs!$C$12)*$C$29*$D$27+(U$5=Inputs!$C$13)*$D$29*($D$27+Inputs!$C$14))+$I$27*((U$5=Inputs!$C$15+$K$27)*$E$29*$I$29+(U$5=Inputs!$C$16+$K$27)*$F$29*$J$29+(U$5=Inputs!$C$17)*$G$29*$H$27*$H$29)</f>
        <v>628.425</v>
      </c>
      <c r="V32" s="42" t="n">
        <f aca="false">-($D$27+$J$27)*(V$5=0)+IF(AND(V$5-$K$27&gt;=1,V$5-$K$27&lt;=Inputs!$C$13),INDEX($N$30:$AL$30,1,V$5-$K$27+1)*INDEX($N$31:$AL$31,1,V$5-$K$27+1),0)-$I$27*((V$5=Inputs!$C$12)*$C$29*$D$27+(V$5=Inputs!$C$13)*$D$29*($D$27+Inputs!$C$14))+$I$27*((V$5=Inputs!$C$15+$K$27)*$E$29*$I$29+(V$5=Inputs!$C$16+$K$27)*$F$29*$J$29+(V$5=Inputs!$C$17)*$G$29*$H$27*$H$29)</f>
        <v>389.95125</v>
      </c>
      <c r="W32" s="42" t="n">
        <f aca="false">-($D$27+$J$27)*(W$5=0)+IF(AND(W$5-$K$27&gt;=1,W$5-$K$27&lt;=Inputs!$C$13),INDEX($N$30:$AL$30,1,W$5-$K$27+1)*INDEX($N$31:$AL$31,1,W$5-$K$27+1),0)-$I$27*((W$5=Inputs!$C$12)*$C$29*$D$27+(W$5=Inputs!$C$13)*$D$29*($D$27+Inputs!$C$14))+$I$27*((W$5=Inputs!$C$15+$K$27)*$E$29*$I$29+(W$5=Inputs!$C$16+$K$27)*$F$29*$J$29+(W$5=Inputs!$C$17)*$G$29*$H$27*$H$29)</f>
        <v>392.73</v>
      </c>
      <c r="X32" s="42" t="n">
        <f aca="false">-($D$27+$J$27)*(X$5=0)+IF(AND(X$5-$K$27&gt;=1,X$5-$K$27&lt;=Inputs!$C$13),INDEX($N$30:$AL$30,1,X$5-$K$27+1)*INDEX($N$31:$AL$31,1,X$5-$K$27+1),0)-$I$27*((X$5=Inputs!$C$12)*$C$29*$D$27+(X$5=Inputs!$C$13)*$D$29*($D$27+Inputs!$C$14))+$I$27*((X$5=Inputs!$C$15+$K$27)*$E$29*$I$29+(X$5=Inputs!$C$16+$K$27)*$F$29*$J$29+(X$5=Inputs!$C$17)*$G$29*$H$27*$H$29)</f>
        <v>395.50875</v>
      </c>
      <c r="Y32" s="42" t="n">
        <f aca="false">-($D$27+$J$27)*(Y$5=0)+IF(AND(Y$5-$K$27&gt;=1,Y$5-$K$27&lt;=Inputs!$C$13),INDEX($N$30:$AL$30,1,Y$5-$K$27+1)*INDEX($N$31:$AL$31,1,Y$5-$K$27+1),0)-$I$27*((Y$5=Inputs!$C$12)*$C$29*$D$27+(Y$5=Inputs!$C$13)*$D$29*($D$27+Inputs!$C$14))+$I$27*((Y$5=Inputs!$C$15+$K$27)*$E$29*$I$29+(Y$5=Inputs!$C$16+$K$27)*$F$29*$J$29+(Y$5=Inputs!$C$17)*$G$29*$H$27*$H$29)</f>
        <v>337.0125</v>
      </c>
      <c r="Z32" s="42" t="n">
        <f aca="false">-($D$27+$J$27)*(Z$5=0)+IF(AND(Z$5-$K$27&gt;=1,Z$5-$K$27&lt;=Inputs!$C$13),INDEX($N$30:$AL$30,1,Z$5-$K$27+1)*INDEX($N$31:$AL$31,1,Z$5-$K$27+1),0)-$I$27*((Z$5=Inputs!$C$12)*$C$29*$D$27+(Z$5=Inputs!$C$13)*$D$29*($D$27+Inputs!$C$14))+$I$27*((Z$5=Inputs!$C$15+$K$27)*$E$29*$I$29+(Z$5=Inputs!$C$16+$K$27)*$F$29*$J$29+(Z$5=Inputs!$C$17)*$G$29*$H$27*$H$29)</f>
        <v>-2662.63625</v>
      </c>
      <c r="AA32" s="42" t="n">
        <f aca="false">-($D$27+$J$27)*(AA$5=0)+IF(AND(AA$5-$K$27&gt;=1,AA$5-$K$27&lt;=Inputs!$C$13),INDEX($N$30:$AL$30,1,AA$5-$K$27+1)*INDEX($N$31:$AL$31,1,AA$5-$K$27+1),0)-$I$27*((AA$5=Inputs!$C$12)*$C$29*$D$27+(AA$5=Inputs!$C$13)*$D$29*($D$27+Inputs!$C$14))+$I$27*((AA$5=Inputs!$C$15+$K$27)*$E$29*$I$29+(AA$5=Inputs!$C$16+$K$27)*$F$29*$J$29+(AA$5=Inputs!$C$17)*$G$29*$H$27*$H$29)</f>
        <v>341.715</v>
      </c>
      <c r="AB32" s="42" t="n">
        <f aca="false">-($D$27+$J$27)*(AB$5=0)+IF(AND(AB$5-$K$27&gt;=1,AB$5-$K$27&lt;=Inputs!$C$13),INDEX($N$30:$AL$30,1,AB$5-$K$27+1)*INDEX($N$31:$AL$31,1,AB$5-$K$27+1),0)-$I$27*((AB$5=Inputs!$C$12)*$C$29*$D$27+(AB$5=Inputs!$C$13)*$D$29*($D$27+Inputs!$C$14))+$I$27*((AB$5=Inputs!$C$15+$K$27)*$E$29*$I$29+(AB$5=Inputs!$C$16+$K$27)*$F$29*$J$29+(AB$5=Inputs!$C$17)*$G$29*$H$27*$H$29)</f>
        <v>421.44375</v>
      </c>
      <c r="AC32" s="42" t="n">
        <f aca="false">-($D$27+$J$27)*(AC$5=0)+IF(AND(AC$5-$K$27&gt;=1,AC$5-$K$27&lt;=Inputs!$C$13),INDEX($N$30:$AL$30,1,AC$5-$K$27+1)*INDEX($N$31:$AL$31,1,AC$5-$K$27+1),0)-$I$27*((AC$5=Inputs!$C$12)*$C$29*$D$27+(AC$5=Inputs!$C$13)*$D$29*($D$27+Inputs!$C$14))+$I$27*((AC$5=Inputs!$C$15+$K$27)*$E$29*$I$29+(AC$5=Inputs!$C$16+$K$27)*$F$29*$J$29+(AC$5=Inputs!$C$17)*$G$29*$H$27*$H$29)</f>
        <v>425.9325</v>
      </c>
      <c r="AD32" s="42" t="n">
        <f aca="false">-($D$27+$J$27)*(AD$5=0)+IF(AND(AD$5-$K$27&gt;=1,AD$5-$K$27&lt;=Inputs!$C$13),INDEX($N$30:$AL$30,1,AD$5-$K$27+1)*INDEX($N$31:$AL$31,1,AD$5-$K$27+1),0)-$I$27*((AD$5=Inputs!$C$12)*$C$29*$D$27+(AD$5=Inputs!$C$13)*$D$29*($D$27+Inputs!$C$14))+$I$27*((AD$5=Inputs!$C$15+$K$27)*$E$29*$I$29+(AD$5=Inputs!$C$16+$K$27)*$F$29*$J$29+(AD$5=Inputs!$C$17)*$G$29*$H$27*$H$29)</f>
        <v>430.421250000002</v>
      </c>
      <c r="AE32" s="42" t="n">
        <f aca="false">-($D$27+$J$27)*(AE$5=0)+IF(AND(AE$5-$K$27&gt;=1,AE$5-$K$27&lt;=Inputs!$C$13),INDEX($N$30:$AL$30,1,AE$5-$K$27+1)*INDEX($N$31:$AL$31,1,AE$5-$K$27+1),0)-$I$27*((AE$5=Inputs!$C$12)*$C$29*$D$27+(AE$5=Inputs!$C$13)*$D$29*($D$27+Inputs!$C$14))+$I$27*((AE$5=Inputs!$C$15+$K$27)*$E$29*$I$29+(AE$5=Inputs!$C$16+$K$27)*$F$29*$J$29+(AE$5=Inputs!$C$17)*$G$29*$H$27*$H$29)</f>
        <v>434.91</v>
      </c>
      <c r="AF32" s="42" t="n">
        <f aca="false">-($D$27+$J$27)*(AF$5=0)+IF(AND(AF$5-$K$27&gt;=1,AF$5-$K$27&lt;=Inputs!$C$13),INDEX($N$30:$AL$30,1,AF$5-$K$27+1)*INDEX($N$31:$AL$31,1,AF$5-$K$27+1),0)-$I$27*((AF$5=Inputs!$C$12)*$C$29*$D$27+(AF$5=Inputs!$C$13)*$D$29*($D$27+Inputs!$C$14))+$I$27*((AF$5=Inputs!$C$15+$K$27)*$E$29*$I$29+(AF$5=Inputs!$C$16+$K$27)*$F$29*$J$29+(AF$5=Inputs!$C$17)*$G$29*$H$27*$H$29)</f>
        <v>439.39875</v>
      </c>
      <c r="AG32" s="42" t="n">
        <f aca="false">-($D$27+$J$27)*(AG$5=0)+IF(AND(AG$5-$K$27&gt;=1,AG$5-$K$27&lt;=Inputs!$C$13),INDEX($N$30:$AL$30,1,AG$5-$K$27+1)*INDEX($N$31:$AL$31,1,AG$5-$K$27+1),0)-$I$27*((AG$5=Inputs!$C$12)*$C$29*$D$27+(AG$5=Inputs!$C$13)*$D$29*($D$27+Inputs!$C$14))+$I$27*((AG$5=Inputs!$C$15+$K$27)*$E$29*$I$29+(AG$5=Inputs!$C$16+$K$27)*$F$29*$J$29+(AG$5=Inputs!$C$17)*$G$29*$H$27*$H$29)</f>
        <v>443.8875</v>
      </c>
      <c r="AH32" s="42" t="n">
        <f aca="false">-($D$27+$J$27)*(AH$5=0)+IF(AND(AH$5-$K$27&gt;=1,AH$5-$K$27&lt;=Inputs!$C$13),INDEX($N$30:$AL$30,1,AH$5-$K$27+1)*INDEX($N$31:$AL$31,1,AH$5-$K$27+1),0)-$I$27*((AH$5=Inputs!$C$12)*$C$29*$D$27+(AH$5=Inputs!$C$13)*$D$29*($D$27+Inputs!$C$14))+$I$27*((AH$5=Inputs!$C$15+$K$27)*$E$29*$I$29+(AH$5=Inputs!$C$16+$K$27)*$F$29*$J$29+(AH$5=Inputs!$C$17)*$G$29*$H$27*$H$29)</f>
        <v>320.268750000001</v>
      </c>
      <c r="AI32" s="42" t="n">
        <f aca="false">-($D$27+$J$27)*(AI$5=0)+IF(AND(AI$5-$K$27&gt;=1,AI$5-$K$27&lt;=Inputs!$C$13),INDEX($N$30:$AL$30,1,AI$5-$K$27+1)*INDEX($N$31:$AL$31,1,AI$5-$K$27+1),0)-$I$27*((AI$5=Inputs!$C$12)*$C$29*$D$27+(AI$5=Inputs!$C$13)*$D$29*($D$27+Inputs!$C$14))+$I$27*((AI$5=Inputs!$C$15+$K$27)*$E$29*$I$29+(AI$5=Inputs!$C$16+$K$27)*$F$29*$J$29+(AI$5=Inputs!$C$17)*$G$29*$H$27*$H$29)</f>
        <v>323.474999999999</v>
      </c>
      <c r="AJ32" s="42" t="n">
        <f aca="false">-($D$27+$J$27)*(AJ$5=0)+IF(AND(AJ$5-$K$27&gt;=1,AJ$5-$K$27&lt;=Inputs!$C$13),INDEX($N$30:$AL$30,1,AJ$5-$K$27+1)*INDEX($N$31:$AL$31,1,AJ$5-$K$27+1),0)-$I$27*((AJ$5=Inputs!$C$12)*$C$29*$D$27+(AJ$5=Inputs!$C$13)*$D$29*($D$27+Inputs!$C$14))+$I$27*((AJ$5=Inputs!$C$15+$K$27)*$E$29*$I$29+(AJ$5=Inputs!$C$16+$K$27)*$F$29*$J$29+(AJ$5=Inputs!$C$17)*$G$29*$H$27*$H$29)</f>
        <v>326.681249999999</v>
      </c>
      <c r="AK32" s="42" t="n">
        <f aca="false">-($D$27+$J$27)*(AK$5=0)+IF(AND(AK$5-$K$27&gt;=1,AK$5-$K$27&lt;=Inputs!$C$13),INDEX($N$30:$AL$30,1,AK$5-$K$27+1)*INDEX($N$31:$AL$31,1,AK$5-$K$27+1),0)-$I$27*((AK$5=Inputs!$C$12)*$C$29*$D$27+(AK$5=Inputs!$C$13)*$D$29*($D$27+Inputs!$C$14))+$I$27*((AK$5=Inputs!$C$15+$K$27)*$E$29*$I$29+(AK$5=Inputs!$C$16+$K$27)*$F$29*$J$29+(AK$5=Inputs!$C$17)*$G$29*$H$27*$H$29)</f>
        <v>329.887500000001</v>
      </c>
      <c r="AL32" s="42" t="n">
        <f aca="false">-($D$27+$J$27)*(AL$5=0)+IF(AND(AL$5-$K$27&gt;=1,AL$5-$K$27&lt;=Inputs!$C$13),INDEX($N$30:$AL$30,1,AL$5-$K$27+1)*INDEX($N$31:$AL$31,1,AL$5-$K$27+1),0)-$I$27*((AL$5=Inputs!$C$12)*$C$29*$D$27+(AL$5=Inputs!$C$13)*$D$29*($D$27+Inputs!$C$14))+$I$27*((AL$5=Inputs!$C$15+$K$27)*$E$29*$I$29+(AL$5=Inputs!$C$16+$K$27)*$F$29*$J$29+(AL$5=Inputs!$C$17)*$G$29*$H$27*$H$29)</f>
        <v>-796.906249999999</v>
      </c>
      <c r="AM32" s="42" t="n">
        <f aca="false">-($D$27+$J$27)*(AM$5=0)+IF(AND(AM$5-$K$27&gt;=1,AM$5-$K$27&lt;=Inputs!$C$13),INDEX($N$30:$AL$30,1,AM$5-$K$27+1)*INDEX($N$31:$AL$31,1,AM$5-$K$27+1),0)-$I$27*((AM$5=Inputs!$C$12)*$C$29*$D$27+(AM$5=Inputs!$C$13)*$D$29*($D$27+Inputs!$C$14))+$I$27*((AM$5=Inputs!$C$15+$K$27)*$E$29*$I$29+(AM$5=Inputs!$C$16+$K$27)*$F$29*$J$29+(AM$5=Inputs!$C$17)*$G$29*$H$27*$H$29)</f>
        <v>336.299999999999</v>
      </c>
      <c r="AN32" s="42" t="n">
        <f aca="false">-($D$27+$J$27)*(AN$5=0)+IF(AND(AN$5-$K$27&gt;=1,AN$5-$K$27&lt;=Inputs!$C$13),INDEX($N$30:$AL$30,1,AN$5-$K$27+1)*INDEX($N$31:$AL$31,1,AN$5-$K$27+1),0)-$I$27*((AN$5=Inputs!$C$12)*$C$29*$D$27+(AN$5=Inputs!$C$13)*$D$29*($D$27+Inputs!$C$14))+$I$27*((AN$5=Inputs!$C$15+$K$27)*$E$29*$I$29+(AN$5=Inputs!$C$16+$K$27)*$F$29*$J$29+(AN$5=Inputs!$C$17)*$G$29*$H$27*$H$29)</f>
        <v>0</v>
      </c>
      <c r="AO32" s="42" t="n">
        <f aca="false">-($D$27+$J$27)*(AO$5=0)+IF(AND(AO$5-$K$27&gt;=1,AO$5-$K$27&lt;=Inputs!$C$13),INDEX($N$30:$AL$30,1,AO$5-$K$27+1)*INDEX($N$31:$AL$31,1,AO$5-$K$27+1),0)-$I$27*((AO$5=Inputs!$C$12)*$C$29*$D$27+(AO$5=Inputs!$C$13)*$D$29*($D$27+Inputs!$C$14))+$I$27*((AO$5=Inputs!$C$15+$K$27)*$E$29*$I$29+(AO$5=Inputs!$C$16+$K$27)*$F$29*$J$29+(AO$5=Inputs!$C$17)*$G$29*$H$27*$H$29)</f>
        <v>0</v>
      </c>
      <c r="AP32" s="42" t="n">
        <f aca="false">-($D$27+$J$27)*(AP$5=0)+IF(AND(AP$5-$K$27&gt;=1,AP$5-$K$27&lt;=Inputs!$C$13),INDEX($N$30:$AL$30,1,AP$5-$K$27+1)*INDEX($N$31:$AL$31,1,AP$5-$K$27+1),0)-$I$27*((AP$5=Inputs!$C$12)*$C$29*$D$27+(AP$5=Inputs!$C$13)*$D$29*($D$27+Inputs!$C$14))+$I$27*((AP$5=Inputs!$C$15+$K$27)*$E$29*$I$29+(AP$5=Inputs!$C$16+$K$27)*$F$29*$J$29+(AP$5=Inputs!$C$17)*$G$29*$H$27*$H$29)</f>
        <v>2087.325</v>
      </c>
      <c r="AQ32" s="42" t="n">
        <f aca="false">-($D$27+$J$27)*(AQ$5=0)+IF(AND(AQ$5-$K$27&gt;=1,AQ$5-$K$27&lt;=Inputs!$C$13),INDEX($N$30:$AL$30,1,AQ$5-$K$27+1)*INDEX($N$31:$AL$31,1,AQ$5-$K$27+1),0)-$I$27*((AQ$5=Inputs!$C$12)*$C$29*$D$27+(AQ$5=Inputs!$C$13)*$D$29*($D$27+Inputs!$C$14))+$I$27*((AQ$5=Inputs!$C$15+$K$27)*$E$29*$I$29+(AQ$5=Inputs!$C$16+$K$27)*$F$29*$J$29+(AQ$5=Inputs!$C$17)*$G$29*$H$27*$H$29)</f>
        <v>0</v>
      </c>
      <c r="AR32" s="42" t="n">
        <f aca="false">-($D$27+$J$27)*(AR$5=0)+IF(AND(AR$5-$K$27&gt;=1,AR$5-$K$27&lt;=Inputs!$C$13),INDEX($N$30:$AL$30,1,AR$5-$K$27+1)*INDEX($N$31:$AL$31,1,AR$5-$K$27+1),0)-$I$27*((AR$5=Inputs!$C$12)*$C$29*$D$27+(AR$5=Inputs!$C$13)*$D$29*($D$27+Inputs!$C$14))+$I$27*((AR$5=Inputs!$C$15+$K$27)*$E$29*$I$29+(AR$5=Inputs!$C$16+$K$27)*$F$29*$J$29+(AR$5=Inputs!$C$17)*$G$29*$H$27*$H$29)</f>
        <v>0</v>
      </c>
      <c r="AS32" s="42" t="n">
        <f aca="false">-($D$27+$J$27)*(AS$5=0)+IF(AND(AS$5-$K$27&gt;=1,AS$5-$K$27&lt;=Inputs!$C$13),INDEX($N$30:$AL$30,1,AS$5-$K$27+1)*INDEX($N$31:$AL$31,1,AS$5-$K$27+1),0)-$I$27*((AS$5=Inputs!$C$12)*$C$29*$D$27+(AS$5=Inputs!$C$13)*$D$29*($D$27+Inputs!$C$14))+$I$27*((AS$5=Inputs!$C$15+$K$27)*$E$29*$I$29+(AS$5=Inputs!$C$16+$K$27)*$F$29*$J$29+(AS$5=Inputs!$C$17)*$G$29*$H$27*$H$29)</f>
        <v>1147.44</v>
      </c>
      <c r="AT32" s="42" t="n">
        <f aca="false">-($D$27+$J$27)*(AT$5=0)+IF(AND(AT$5-$K$27&gt;=1,AT$5-$K$27&lt;=Inputs!$C$13),INDEX($N$30:$AL$30,1,AT$5-$K$27+1)*INDEX($N$31:$AL$31,1,AT$5-$K$27+1),0)-$I$27*((AT$5=Inputs!$C$12)*$C$29*$D$27+(AT$5=Inputs!$C$13)*$D$29*($D$27+Inputs!$C$14))+$I$27*((AT$5=Inputs!$C$15+$K$27)*$E$29*$I$29+(AT$5=Inputs!$C$16+$K$27)*$F$29*$J$29+(AT$5=Inputs!$C$17)*$G$29*$H$27*$H$29)</f>
        <v>0</v>
      </c>
      <c r="AU32" s="42" t="n">
        <f aca="false">-($D$27+$J$27)*(AU$5=0)+IF(AND(AU$5-$K$27&gt;=1,AU$5-$K$27&lt;=Inputs!$C$13),INDEX($N$30:$AL$30,1,AU$5-$K$27+1)*INDEX($N$31:$AL$31,1,AU$5-$K$27+1),0)-$I$27*((AU$5=Inputs!$C$12)*$C$29*$D$27+(AU$5=Inputs!$C$13)*$D$29*($D$27+Inputs!$C$14))+$I$27*((AU$5=Inputs!$C$15+$K$27)*$E$29*$I$29+(AU$5=Inputs!$C$16+$K$27)*$F$29*$J$29+(AU$5=Inputs!$C$17)*$G$29*$H$27*$H$29)</f>
        <v>0</v>
      </c>
      <c r="AV32" s="42" t="n">
        <f aca="false">-($D$27+$J$27)*(AV$5=0)+IF(AND(AV$5-$K$27&gt;=1,AV$5-$K$27&lt;=Inputs!$C$13),INDEX($N$30:$AL$30,1,AV$5-$K$27+1)*INDEX($N$31:$AL$31,1,AV$5-$K$27+1),0)-$I$27*((AV$5=Inputs!$C$12)*$C$29*$D$27+(AV$5=Inputs!$C$13)*$D$29*($D$27+Inputs!$C$14))+$I$27*((AV$5=Inputs!$C$15+$K$27)*$E$29*$I$29+(AV$5=Inputs!$C$16+$K$27)*$F$29*$J$29+(AV$5=Inputs!$C$17)*$G$29*$H$27*$H$29)</f>
        <v>0</v>
      </c>
      <c r="AW32" s="42" t="n">
        <f aca="false">-($D$27+$J$27)*(AW$5=0)+IF(AND(AW$5-$K$27&gt;=1,AW$5-$K$27&lt;=Inputs!$C$13),INDEX($N$30:$AL$30,1,AW$5-$K$27+1)*INDEX($N$31:$AL$31,1,AW$5-$K$27+1),0)-$I$27*((AW$5=Inputs!$C$12)*$C$29*$D$27+(AW$5=Inputs!$C$13)*$D$29*($D$27+Inputs!$C$14))+$I$27*((AW$5=Inputs!$C$15+$K$27)*$E$29*$I$29+(AW$5=Inputs!$C$16+$K$27)*$F$29*$J$29+(AW$5=Inputs!$C$17)*$G$29*$H$27*$H$29)</f>
        <v>0</v>
      </c>
      <c r="AX32" s="42" t="n">
        <f aca="false">-($D$27+$J$27)*(AX$5=0)+IF(AND(AX$5-$K$27&gt;=1,AX$5-$K$27&lt;=Inputs!$C$13),INDEX($N$30:$AL$30,1,AX$5-$K$27+1)*INDEX($N$31:$AL$31,1,AX$5-$K$27+1),0)-$I$27*((AX$5=Inputs!$C$12)*$C$29*$D$27+(AX$5=Inputs!$C$13)*$D$29*($D$27+Inputs!$C$14))+$I$27*((AX$5=Inputs!$C$15+$K$27)*$E$29*$I$29+(AX$5=Inputs!$C$16+$K$27)*$F$29*$J$29+(AX$5=Inputs!$C$17)*$G$29*$H$27*$H$29)</f>
        <v>218.16</v>
      </c>
      <c r="AY32" s="42" t="n">
        <f aca="false">-($D$27+$J$27)*(AY$5=0)+IF(AND(AY$5-$K$27&gt;=1,AY$5-$K$27&lt;=Inputs!$C$13),INDEX($N$30:$AL$30,1,AY$5-$K$27+1)*INDEX($N$31:$AL$31,1,AY$5-$K$27+1),0)-$I$27*((AY$5=Inputs!$C$12)*$C$29*$D$27+(AY$5=Inputs!$C$13)*$D$29*($D$27+Inputs!$C$14))+$I$27*((AY$5=Inputs!$C$15+$K$27)*$E$29*$I$29+(AY$5=Inputs!$C$16+$K$27)*$F$29*$J$29+(AY$5=Inputs!$C$17)*$G$29*$H$27*$H$29)</f>
        <v>0</v>
      </c>
    </row>
    <row r="34" customFormat="false" ht="15" hidden="false" customHeight="false" outlineLevel="0" collapsed="false">
      <c r="B34" s="7" t="s">
        <v>244</v>
      </c>
      <c r="C34" s="8"/>
      <c r="D34" s="8"/>
      <c r="E34" s="8"/>
      <c r="F34" s="8"/>
      <c r="G34" s="8"/>
      <c r="H34" s="8"/>
      <c r="I34" s="8"/>
      <c r="J34" s="8"/>
      <c r="K34" s="8"/>
      <c r="L34" s="8"/>
    </row>
    <row r="35" customFormat="false" ht="30" hidden="false" customHeight="true" outlineLevel="0" collapsed="false">
      <c r="B35" s="37"/>
      <c r="C35" s="38" t="s">
        <v>169</v>
      </c>
      <c r="D35" s="38" t="s">
        <v>170</v>
      </c>
      <c r="E35" s="38" t="s">
        <v>171</v>
      </c>
      <c r="F35" s="38" t="s">
        <v>43</v>
      </c>
      <c r="G35" s="38" t="s">
        <v>44</v>
      </c>
      <c r="H35" s="38" t="s">
        <v>45</v>
      </c>
      <c r="I35" s="38" t="s">
        <v>172</v>
      </c>
      <c r="J35" s="38" t="s">
        <v>90</v>
      </c>
      <c r="K35" s="38" t="s">
        <v>89</v>
      </c>
      <c r="L35" s="38" t="s">
        <v>173</v>
      </c>
    </row>
    <row r="36" customFormat="false" ht="15" hidden="false" customHeight="false" outlineLevel="0" collapsed="false">
      <c r="B36" s="39" t="s">
        <v>174</v>
      </c>
      <c r="C36" s="26" t="n">
        <f aca="false">Inputs!$F$42*Inputs!$E$55</f>
        <v>0.13</v>
      </c>
      <c r="D36" s="30" t="n">
        <f aca="false">Inputs!$E$42</f>
        <v>1600</v>
      </c>
      <c r="E36" s="26" t="n">
        <f aca="false">IF(Inputs!$G$42=1,Inputs!$F$27,MIN(1,MAX(0,INDEX(Inputs!$F$23:$F$27,MATCH(Inputs!$C$42,Inputs!$B$23:$B$27,0))+INDEX(Inputs!$C$48:$C$51,MATCH(Inputs!$D$55,Inputs!$B$48:$B$51,0)))))</f>
        <v>0.8</v>
      </c>
      <c r="F36" s="25" t="n">
        <f aca="false">IF(Inputs!$G$42=1,Inputs!$G$27,INDEX(Inputs!$G$23:$G$27,MATCH(Inputs!$C$42,Inputs!$B$23:$B$27,0)))</f>
        <v>0.4</v>
      </c>
      <c r="G36" s="25" t="n">
        <f aca="false">IF(Inputs!$G$42=1,Inputs!$H$27,INDEX(Inputs!$H$23:$H$27,MATCH(Inputs!$C$42,Inputs!$B$23:$B$27,0)))*INDEX(Inputs!$D$48:$D$51,MATCH(Inputs!$D$55,Inputs!$B$48:$B$51,0))</f>
        <v>0.5</v>
      </c>
      <c r="H36" s="25" t="n">
        <f aca="false">MAX(0,IF(Inputs!$G$42=1,Inputs!$I$27,INDEX(Inputs!$I$23:$I$27,MATCH(Inputs!$C$42,Inputs!$B$23:$B$27,0)))+INDEX(Inputs!$E$48:$E$51,MATCH(Inputs!$D$55,Inputs!$B$48:$B$51,0)))</f>
        <v>0.7</v>
      </c>
      <c r="I36" s="22" t="n">
        <f aca="false">IF(Inputs!$G$42=1,0,INDEX(Inputs!$J$23:$J$27,MATCH(Inputs!$C$42,Inputs!$B$23:$B$27,0)))</f>
        <v>1</v>
      </c>
      <c r="J36" s="23" t="n">
        <f aca="false">Inputs!$G$55</f>
        <v>10</v>
      </c>
      <c r="K36" s="22" t="n">
        <f aca="false">Inputs!$F$55</f>
        <v>1</v>
      </c>
      <c r="L36" s="22" t="n">
        <f aca="false">Inputs!$C$55</f>
        <v>1</v>
      </c>
    </row>
    <row r="37" customFormat="false" ht="30" hidden="false" customHeight="true" outlineLevel="0" collapsed="false">
      <c r="B37" s="37"/>
      <c r="C37" s="38" t="s">
        <v>175</v>
      </c>
      <c r="D37" s="38" t="s">
        <v>176</v>
      </c>
      <c r="E37" s="38" t="s">
        <v>177</v>
      </c>
      <c r="F37" s="38" t="s">
        <v>178</v>
      </c>
      <c r="G37" s="38" t="s">
        <v>112</v>
      </c>
      <c r="H37" s="38" t="s">
        <v>179</v>
      </c>
      <c r="I37" s="38" t="s">
        <v>180</v>
      </c>
      <c r="J37" s="38" t="s">
        <v>181</v>
      </c>
      <c r="K37" s="38" t="s">
        <v>182</v>
      </c>
      <c r="L37" s="38" t="s">
        <v>183</v>
      </c>
    </row>
    <row r="38" customFormat="false" ht="15" hidden="false" customHeight="false" outlineLevel="0" collapsed="false">
      <c r="B38" s="39" t="s">
        <v>184</v>
      </c>
      <c r="C38" s="40" t="n">
        <f aca="false">1-$E$36*CHOOSE($L$36,INDEX(Timing!$C$7:$AA$7,1,Inputs!$C$12+1),INDEX(Timing!$C$8:$AA$8,1,Inputs!$C$12+1))</f>
        <v>0.392</v>
      </c>
      <c r="D38" s="40" t="n">
        <f aca="false">1-$E$36*CHOOSE($L$36,INDEX(Timing!$C$7:$AA$7,1,Inputs!$C$13+1),INDEX(Timing!$C$8:$AA$8,1,Inputs!$C$13+1))</f>
        <v>0.2</v>
      </c>
      <c r="E38" s="40" t="n">
        <f aca="false">$I$36*$D$38*$F$36</f>
        <v>0.08</v>
      </c>
      <c r="F38" s="40" t="n">
        <f aca="false">$I$36*($D$38-$E$38)*$G$36</f>
        <v>0.06</v>
      </c>
      <c r="G38" s="40" t="n">
        <f aca="false">$I$36*($D$38-$E$38-$F$38)</f>
        <v>0.06</v>
      </c>
      <c r="H38" s="23" t="n">
        <f aca="false">$I$36*(3*$D$36+Inputs!$C$14)</f>
        <v>6600</v>
      </c>
      <c r="I38" s="23" t="n">
        <f aca="false">$I$36*($D$36*(1+IF($C$36&lt;=0,0,MAX($C$36*Inputs!$C$15/12,Inputs!$C$8)))+$D$36*(1+Inputs!$C$11*(Inputs!$C$15-Inputs!$C$12)/12)+$D$36*(1+Inputs!$C$11*(Inputs!$C$15-Inputs!$C$13)/12)+Inputs!$C$14)</f>
        <v>7500</v>
      </c>
      <c r="J38" s="23" t="n">
        <f aca="false">$I$36*($D$36*(1+IF($C$36&lt;=0,0,MAX($C$36*Inputs!$C$16/12,Inputs!$C$8)))+$D$36*(1+Inputs!$C$11*(Inputs!$C$16-Inputs!$C$12)/12)+$D$36*(1+Inputs!$C$11*(Inputs!$C$16-Inputs!$C$13)/12)+Inputs!$C$14)</f>
        <v>7696</v>
      </c>
      <c r="K38" s="40" t="n">
        <f aca="false">IRR($N$41:$AY$41,0.005)</f>
        <v>0.00470908346528356</v>
      </c>
      <c r="L38" s="41" t="n">
        <f aca="false">(1+$K$38)^12-1</f>
        <v>0.0579958014195281</v>
      </c>
    </row>
    <row r="39" customFormat="false" ht="15" hidden="false" customHeight="false" outlineLevel="0" collapsed="false">
      <c r="B39" s="9" t="s">
        <v>185</v>
      </c>
      <c r="N39" s="40" t="n">
        <f aca="false">0</f>
        <v>0</v>
      </c>
      <c r="O39" s="40" t="n">
        <f aca="false">$E$36*(CHOOSE($L$36,Timing!D$7,Timing!D$8)-CHOOSE($L$36,Timing!C$7,Timing!C$8))</f>
        <v>0.096</v>
      </c>
      <c r="P39" s="40" t="n">
        <f aca="false">$E$36*(CHOOSE($L$36,Timing!E$7,Timing!E$8)-CHOOSE($L$36,Timing!D$7,Timing!D$8))</f>
        <v>0.08</v>
      </c>
      <c r="Q39" s="40" t="n">
        <f aca="false">$E$36*(CHOOSE($L$36,Timing!F$7,Timing!F$8)-CHOOSE($L$36,Timing!E$7,Timing!E$8))</f>
        <v>0.072</v>
      </c>
      <c r="R39" s="40" t="n">
        <f aca="false">$E$36*(CHOOSE($L$36,Timing!G$7,Timing!G$8)-CHOOSE($L$36,Timing!F$7,Timing!F$8))</f>
        <v>0.056</v>
      </c>
      <c r="S39" s="40" t="n">
        <f aca="false">$E$36*(CHOOSE($L$36,Timing!H$7,Timing!H$8)-CHOOSE($L$36,Timing!G$7,Timing!G$8))</f>
        <v>0.056</v>
      </c>
      <c r="T39" s="40" t="n">
        <f aca="false">$E$36*(CHOOSE($L$36,Timing!I$7,Timing!I$8)-CHOOSE($L$36,Timing!H$7,Timing!H$8))</f>
        <v>0.056</v>
      </c>
      <c r="U39" s="40" t="n">
        <f aca="false">$E$36*(CHOOSE($L$36,Timing!J$7,Timing!J$8)-CHOOSE($L$36,Timing!I$7,Timing!I$8))</f>
        <v>0.0346666666666667</v>
      </c>
      <c r="V39" s="40" t="n">
        <f aca="false">$E$36*(CHOOSE($L$36,Timing!K$7,Timing!K$8)-CHOOSE($L$36,Timing!J$7,Timing!J$8))</f>
        <v>0.0346666666666667</v>
      </c>
      <c r="W39" s="40" t="n">
        <f aca="false">$E$36*(CHOOSE($L$36,Timing!L$7,Timing!L$8)-CHOOSE($L$36,Timing!K$7,Timing!K$8))</f>
        <v>0.0346666666666667</v>
      </c>
      <c r="X39" s="40" t="n">
        <f aca="false">$E$36*(CHOOSE($L$36,Timing!M$7,Timing!M$8)-CHOOSE($L$36,Timing!L$7,Timing!L$8))</f>
        <v>0.0293333333333333</v>
      </c>
      <c r="Y39" s="40" t="n">
        <f aca="false">$E$36*(CHOOSE($L$36,Timing!N$7,Timing!N$8)-CHOOSE($L$36,Timing!M$7,Timing!M$8))</f>
        <v>0.0293333333333334</v>
      </c>
      <c r="Z39" s="40" t="n">
        <f aca="false">$E$36*(CHOOSE($L$36,Timing!O$7,Timing!O$8)-CHOOSE($L$36,Timing!N$7,Timing!N$8))</f>
        <v>0.0293333333333333</v>
      </c>
      <c r="AA39" s="40" t="n">
        <f aca="false">$E$36*(CHOOSE($L$36,Timing!P$7,Timing!P$8)-CHOOSE($L$36,Timing!O$7,Timing!O$8))</f>
        <v>0.0186666666666667</v>
      </c>
      <c r="AB39" s="40" t="n">
        <f aca="false">$E$36*(CHOOSE($L$36,Timing!Q$7,Timing!Q$8)-CHOOSE($L$36,Timing!P$7,Timing!P$8))</f>
        <v>0.0186666666666667</v>
      </c>
      <c r="AC39" s="40" t="n">
        <f aca="false">$E$36*(CHOOSE($L$36,Timing!R$7,Timing!R$8)-CHOOSE($L$36,Timing!Q$7,Timing!Q$8))</f>
        <v>0.0186666666666667</v>
      </c>
      <c r="AD39" s="40" t="n">
        <f aca="false">$E$36*(CHOOSE($L$36,Timing!S$7,Timing!S$8)-CHOOSE($L$36,Timing!R$7,Timing!R$8))</f>
        <v>0.0186666666666667</v>
      </c>
      <c r="AE39" s="40" t="n">
        <f aca="false">$E$36*(CHOOSE($L$36,Timing!T$7,Timing!T$8)-CHOOSE($L$36,Timing!S$7,Timing!S$8))</f>
        <v>0.0186666666666667</v>
      </c>
      <c r="AF39" s="40" t="n">
        <f aca="false">$E$36*(CHOOSE($L$36,Timing!U$7,Timing!U$8)-CHOOSE($L$36,Timing!T$7,Timing!T$8))</f>
        <v>0.0186666666666667</v>
      </c>
      <c r="AG39" s="40" t="n">
        <f aca="false">$E$36*(CHOOSE($L$36,Timing!V$7,Timing!V$8)-CHOOSE($L$36,Timing!U$7,Timing!U$8))</f>
        <v>0.0133333333333334</v>
      </c>
      <c r="AH39" s="40" t="n">
        <f aca="false">$E$36*(CHOOSE($L$36,Timing!W$7,Timing!W$8)-CHOOSE($L$36,Timing!V$7,Timing!V$8))</f>
        <v>0.0133333333333333</v>
      </c>
      <c r="AI39" s="40" t="n">
        <f aca="false">$E$36*(CHOOSE($L$36,Timing!X$7,Timing!X$8)-CHOOSE($L$36,Timing!W$7,Timing!W$8))</f>
        <v>0.0133333333333333</v>
      </c>
      <c r="AJ39" s="40" t="n">
        <f aca="false">$E$36*(CHOOSE($L$36,Timing!Y$7,Timing!Y$8)-CHOOSE($L$36,Timing!X$7,Timing!X$8))</f>
        <v>0.0133333333333334</v>
      </c>
      <c r="AK39" s="40" t="n">
        <f aca="false">$E$36*(CHOOSE($L$36,Timing!Z$7,Timing!Z$8)-CHOOSE($L$36,Timing!Y$7,Timing!Y$8))</f>
        <v>0.0133333333333334</v>
      </c>
      <c r="AL39" s="40" t="n">
        <f aca="false">$E$36*(CHOOSE($L$36,Timing!AA$7,Timing!AA$8)-CHOOSE($L$36,Timing!Z$7,Timing!Z$8))</f>
        <v>0.0133333333333333</v>
      </c>
    </row>
    <row r="40" customFormat="false" ht="15" hidden="false" customHeight="false" outlineLevel="0" collapsed="false">
      <c r="B40" s="9" t="s">
        <v>186</v>
      </c>
      <c r="N40" s="42" t="n">
        <f aca="false">0</f>
        <v>0</v>
      </c>
      <c r="O40" s="42" t="n">
        <f aca="false">$D$36*(1+IF($C$36&lt;=0,0,MAX($C$36*O$5/12,Inputs!$C$8)))+$I$36*(O$5&gt;Inputs!$C$12)*$D$36*(1+Inputs!$C$11*(O$5-Inputs!$C$12)/12)</f>
        <v>1680</v>
      </c>
      <c r="P40" s="42" t="n">
        <f aca="false">$D$36*(1+IF($C$36&lt;=0,0,MAX($C$36*P$5/12,Inputs!$C$8)))+$I$36*(P$5&gt;Inputs!$C$12)*$D$36*(1+Inputs!$C$11*(P$5-Inputs!$C$12)/12)</f>
        <v>1680</v>
      </c>
      <c r="Q40" s="42" t="n">
        <f aca="false">$D$36*(1+IF($C$36&lt;=0,0,MAX($C$36*Q$5/12,Inputs!$C$8)))+$I$36*(Q$5&gt;Inputs!$C$12)*$D$36*(1+Inputs!$C$11*(Q$5-Inputs!$C$12)/12)</f>
        <v>1680</v>
      </c>
      <c r="R40" s="42" t="n">
        <f aca="false">$D$36*(1+IF($C$36&lt;=0,0,MAX($C$36*R$5/12,Inputs!$C$8)))+$I$36*(R$5&gt;Inputs!$C$12)*$D$36*(1+Inputs!$C$11*(R$5-Inputs!$C$12)/12)</f>
        <v>1680</v>
      </c>
      <c r="S40" s="42" t="n">
        <f aca="false">$D$36*(1+IF($C$36&lt;=0,0,MAX($C$36*S$5/12,Inputs!$C$8)))+$I$36*(S$5&gt;Inputs!$C$12)*$D$36*(1+Inputs!$C$11*(S$5-Inputs!$C$12)/12)</f>
        <v>1686.66666666667</v>
      </c>
      <c r="T40" s="42" t="n">
        <f aca="false">$D$36*(1+IF($C$36&lt;=0,0,MAX($C$36*T$5/12,Inputs!$C$8)))+$I$36*(T$5&gt;Inputs!$C$12)*$D$36*(1+Inputs!$C$11*(T$5-Inputs!$C$12)/12)</f>
        <v>1704</v>
      </c>
      <c r="U40" s="42" t="n">
        <f aca="false">$D$36*(1+IF($C$36&lt;=0,0,MAX($C$36*U$5/12,Inputs!$C$8)))+$I$36*(U$5&gt;Inputs!$C$12)*$D$36*(1+Inputs!$C$11*(U$5-Inputs!$C$12)/12)</f>
        <v>1721.33333333333</v>
      </c>
      <c r="V40" s="42" t="n">
        <f aca="false">$D$36*(1+IF($C$36&lt;=0,0,MAX($C$36*V$5/12,Inputs!$C$8)))+$I$36*(V$5&gt;Inputs!$C$12)*$D$36*(1+Inputs!$C$11*(V$5-Inputs!$C$12)/12)</f>
        <v>1738.66666666667</v>
      </c>
      <c r="W40" s="42" t="n">
        <f aca="false">$D$36*(1+IF($C$36&lt;=0,0,MAX($C$36*W$5/12,Inputs!$C$8)))+$I$36*(W$5&gt;Inputs!$C$12)*$D$36*(1+Inputs!$C$11*(W$5-Inputs!$C$12)/12)</f>
        <v>1756</v>
      </c>
      <c r="X40" s="42" t="n">
        <f aca="false">$D$36*(1+IF($C$36&lt;=0,0,MAX($C$36*X$5/12,Inputs!$C$8)))+$I$36*(X$5&gt;Inputs!$C$12)*$D$36*(1+Inputs!$C$11*(X$5-Inputs!$C$12)/12)</f>
        <v>1773.33333333333</v>
      </c>
      <c r="Y40" s="42" t="n">
        <f aca="false">$D$36*(1+IF($C$36&lt;=0,0,MAX($C$36*Y$5/12,Inputs!$C$8)))+$I$36*(Y$5&gt;Inputs!$C$12)*$D$36*(1+Inputs!$C$11*(Y$5-Inputs!$C$12)/12)</f>
        <v>1790.66666666667</v>
      </c>
      <c r="Z40" s="42" t="n">
        <f aca="false">$D$36*(1+IF($C$36&lt;=0,0,MAX($C$36*Z$5/12,Inputs!$C$8)))+$I$36*(Z$5&gt;Inputs!$C$12)*$D$36*(1+Inputs!$C$11*(Z$5-Inputs!$C$12)/12)</f>
        <v>1808</v>
      </c>
      <c r="AA40" s="42" t="n">
        <f aca="false">$D$36*(1+IF($C$36&lt;=0,0,MAX($C$36*AA$5/12,Inputs!$C$8)))+$I$36*(AA$5&gt;Inputs!$C$12)*$D$36*(1+Inputs!$C$11*(AA$5-Inputs!$C$12)/12)</f>
        <v>3449.33333333333</v>
      </c>
      <c r="AB40" s="42" t="n">
        <f aca="false">$D$36*(1+IF($C$36&lt;=0,0,MAX($C$36*AB$5/12,Inputs!$C$8)))+$I$36*(AB$5&gt;Inputs!$C$12)*$D$36*(1+Inputs!$C$11*(AB$5-Inputs!$C$12)/12)</f>
        <v>3490.66666666667</v>
      </c>
      <c r="AC40" s="42" t="n">
        <f aca="false">$D$36*(1+IF($C$36&lt;=0,0,MAX($C$36*AC$5/12,Inputs!$C$8)))+$I$36*(AC$5&gt;Inputs!$C$12)*$D$36*(1+Inputs!$C$11*(AC$5-Inputs!$C$12)/12)</f>
        <v>3532</v>
      </c>
      <c r="AD40" s="42" t="n">
        <f aca="false">$D$36*(1+IF($C$36&lt;=0,0,MAX($C$36*AD$5/12,Inputs!$C$8)))+$I$36*(AD$5&gt;Inputs!$C$12)*$D$36*(1+Inputs!$C$11*(AD$5-Inputs!$C$12)/12)</f>
        <v>3573.33333333333</v>
      </c>
      <c r="AE40" s="42" t="n">
        <f aca="false">$D$36*(1+IF($C$36&lt;=0,0,MAX($C$36*AE$5/12,Inputs!$C$8)))+$I$36*(AE$5&gt;Inputs!$C$12)*$D$36*(1+Inputs!$C$11*(AE$5-Inputs!$C$12)/12)</f>
        <v>3614.66666666667</v>
      </c>
      <c r="AF40" s="42" t="n">
        <f aca="false">$D$36*(1+IF($C$36&lt;=0,0,MAX($C$36*AF$5/12,Inputs!$C$8)))+$I$36*(AF$5&gt;Inputs!$C$12)*$D$36*(1+Inputs!$C$11*(AF$5-Inputs!$C$12)/12)</f>
        <v>3656</v>
      </c>
      <c r="AG40" s="42" t="n">
        <f aca="false">$D$36*(1+IF($C$36&lt;=0,0,MAX($C$36*AG$5/12,Inputs!$C$8)))+$I$36*(AG$5&gt;Inputs!$C$12)*$D$36*(1+Inputs!$C$11*(AG$5-Inputs!$C$12)/12)</f>
        <v>3697.33333333333</v>
      </c>
      <c r="AH40" s="42" t="n">
        <f aca="false">$D$36*(1+IF($C$36&lt;=0,0,MAX($C$36*AH$5/12,Inputs!$C$8)))+$I$36*(AH$5&gt;Inputs!$C$12)*$D$36*(1+Inputs!$C$11*(AH$5-Inputs!$C$12)/12)</f>
        <v>3738.66666666667</v>
      </c>
      <c r="AI40" s="42" t="n">
        <f aca="false">$D$36*(1+IF($C$36&lt;=0,0,MAX($C$36*AI$5/12,Inputs!$C$8)))+$I$36*(AI$5&gt;Inputs!$C$12)*$D$36*(1+Inputs!$C$11*(AI$5-Inputs!$C$12)/12)</f>
        <v>3780</v>
      </c>
      <c r="AJ40" s="42" t="n">
        <f aca="false">$D$36*(1+IF($C$36&lt;=0,0,MAX($C$36*AJ$5/12,Inputs!$C$8)))+$I$36*(AJ$5&gt;Inputs!$C$12)*$D$36*(1+Inputs!$C$11*(AJ$5-Inputs!$C$12)/12)</f>
        <v>3821.33333333333</v>
      </c>
      <c r="AK40" s="42" t="n">
        <f aca="false">$D$36*(1+IF($C$36&lt;=0,0,MAX($C$36*AK$5/12,Inputs!$C$8)))+$I$36*(AK$5&gt;Inputs!$C$12)*$D$36*(1+Inputs!$C$11*(AK$5-Inputs!$C$12)/12)</f>
        <v>3862.66666666667</v>
      </c>
      <c r="AL40" s="42" t="n">
        <f aca="false">$D$36*(1+IF($C$36&lt;=0,0,MAX($C$36*AL$5/12,Inputs!$C$8)))+$I$36*(AL$5&gt;Inputs!$C$12)*$D$36*(1+Inputs!$C$11*(AL$5-Inputs!$C$12)/12)</f>
        <v>3904</v>
      </c>
    </row>
    <row r="41" customFormat="false" ht="15" hidden="false" customHeight="false" outlineLevel="0" collapsed="false">
      <c r="B41" s="31" t="s">
        <v>187</v>
      </c>
      <c r="N41" s="42" t="n">
        <f aca="false">-($D$36+$J$36)*(N$5=0)+IF(AND(N$5-$K$36&gt;=1,N$5-$K$36&lt;=Inputs!$C$13),INDEX($N$39:$AL$39,1,N$5-$K$36+1)*INDEX($N$40:$AL$40,1,N$5-$K$36+1),0)-$I$36*((N$5=Inputs!$C$12)*$C$38*$D$36+(N$5=Inputs!$C$13)*$D$38*($D$36+Inputs!$C$14))+$I$36*((N$5=Inputs!$C$15+$K$36)*$E$38*$I$38+(N$5=Inputs!$C$16+$K$36)*$F$38*$J$38+(N$5=Inputs!$C$17)*$G$38*$H$36*$H$38)</f>
        <v>-1610</v>
      </c>
      <c r="O41" s="42" t="n">
        <f aca="false">-($D$36+$J$36)*(O$5=0)+IF(AND(O$5-$K$36&gt;=1,O$5-$K$36&lt;=Inputs!$C$13),INDEX($N$39:$AL$39,1,O$5-$K$36+1)*INDEX($N$40:$AL$40,1,O$5-$K$36+1),0)-$I$36*((O$5=Inputs!$C$12)*$C$38*$D$36+(O$5=Inputs!$C$13)*$D$38*($D$36+Inputs!$C$14))+$I$36*((O$5=Inputs!$C$15+$K$36)*$E$38*$I$38+(O$5=Inputs!$C$16+$K$36)*$F$38*$J$38+(O$5=Inputs!$C$17)*$G$38*$H$36*$H$38)</f>
        <v>0</v>
      </c>
      <c r="P41" s="42" t="n">
        <f aca="false">-($D$36+$J$36)*(P$5=0)+IF(AND(P$5-$K$36&gt;=1,P$5-$K$36&lt;=Inputs!$C$13),INDEX($N$39:$AL$39,1,P$5-$K$36+1)*INDEX($N$40:$AL$40,1,P$5-$K$36+1),0)-$I$36*((P$5=Inputs!$C$12)*$C$38*$D$36+(P$5=Inputs!$C$13)*$D$38*($D$36+Inputs!$C$14))+$I$36*((P$5=Inputs!$C$15+$K$36)*$E$38*$I$38+(P$5=Inputs!$C$16+$K$36)*$F$38*$J$38+(P$5=Inputs!$C$17)*$G$38*$H$36*$H$38)</f>
        <v>161.28</v>
      </c>
      <c r="Q41" s="42" t="n">
        <f aca="false">-($D$36+$J$36)*(Q$5=0)+IF(AND(Q$5-$K$36&gt;=1,Q$5-$K$36&lt;=Inputs!$C$13),INDEX($N$39:$AL$39,1,Q$5-$K$36+1)*INDEX($N$40:$AL$40,1,Q$5-$K$36+1),0)-$I$36*((Q$5=Inputs!$C$12)*$C$38*$D$36+(Q$5=Inputs!$C$13)*$D$38*($D$36+Inputs!$C$14))+$I$36*((Q$5=Inputs!$C$15+$K$36)*$E$38*$I$38+(Q$5=Inputs!$C$16+$K$36)*$F$38*$J$38+(Q$5=Inputs!$C$17)*$G$38*$H$36*$H$38)</f>
        <v>134.4</v>
      </c>
      <c r="R41" s="42" t="n">
        <f aca="false">-($D$36+$J$36)*(R$5=0)+IF(AND(R$5-$K$36&gt;=1,R$5-$K$36&lt;=Inputs!$C$13),INDEX($N$39:$AL$39,1,R$5-$K$36+1)*INDEX($N$40:$AL$40,1,R$5-$K$36+1),0)-$I$36*((R$5=Inputs!$C$12)*$C$38*$D$36+(R$5=Inputs!$C$13)*$D$38*($D$36+Inputs!$C$14))+$I$36*((R$5=Inputs!$C$15+$K$36)*$E$38*$I$38+(R$5=Inputs!$C$16+$K$36)*$F$38*$J$38+(R$5=Inputs!$C$17)*$G$38*$H$36*$H$38)</f>
        <v>120.96</v>
      </c>
      <c r="S41" s="42" t="n">
        <f aca="false">-($D$36+$J$36)*(S$5=0)+IF(AND(S$5-$K$36&gt;=1,S$5-$K$36&lt;=Inputs!$C$13),INDEX($N$39:$AL$39,1,S$5-$K$36+1)*INDEX($N$40:$AL$40,1,S$5-$K$36+1),0)-$I$36*((S$5=Inputs!$C$12)*$C$38*$D$36+(S$5=Inputs!$C$13)*$D$38*($D$36+Inputs!$C$14))+$I$36*((S$5=Inputs!$C$15+$K$36)*$E$38*$I$38+(S$5=Inputs!$C$16+$K$36)*$F$38*$J$38+(S$5=Inputs!$C$17)*$G$38*$H$36*$H$38)</f>
        <v>94.08</v>
      </c>
      <c r="T41" s="42" t="n">
        <f aca="false">-($D$36+$J$36)*(T$5=0)+IF(AND(T$5-$K$36&gt;=1,T$5-$K$36&lt;=Inputs!$C$13),INDEX($N$39:$AL$39,1,T$5-$K$36+1)*INDEX($N$40:$AL$40,1,T$5-$K$36+1),0)-$I$36*((T$5=Inputs!$C$12)*$C$38*$D$36+(T$5=Inputs!$C$13)*$D$38*($D$36+Inputs!$C$14))+$I$36*((T$5=Inputs!$C$15+$K$36)*$E$38*$I$38+(T$5=Inputs!$C$16+$K$36)*$F$38*$J$38+(T$5=Inputs!$C$17)*$G$38*$H$36*$H$38)</f>
        <v>94.4533333333334</v>
      </c>
      <c r="U41" s="42" t="n">
        <f aca="false">-($D$36+$J$36)*(U$5=0)+IF(AND(U$5-$K$36&gt;=1,U$5-$K$36&lt;=Inputs!$C$13),INDEX($N$39:$AL$39,1,U$5-$K$36+1)*INDEX($N$40:$AL$40,1,U$5-$K$36+1),0)-$I$36*((U$5=Inputs!$C$12)*$C$38*$D$36+(U$5=Inputs!$C$13)*$D$38*($D$36+Inputs!$C$14))+$I$36*((U$5=Inputs!$C$15+$K$36)*$E$38*$I$38+(U$5=Inputs!$C$16+$K$36)*$F$38*$J$38+(U$5=Inputs!$C$17)*$G$38*$H$36*$H$38)</f>
        <v>95.424</v>
      </c>
      <c r="V41" s="42" t="n">
        <f aca="false">-($D$36+$J$36)*(V$5=0)+IF(AND(V$5-$K$36&gt;=1,V$5-$K$36&lt;=Inputs!$C$13),INDEX($N$39:$AL$39,1,V$5-$K$36+1)*INDEX($N$40:$AL$40,1,V$5-$K$36+1),0)-$I$36*((V$5=Inputs!$C$12)*$C$38*$D$36+(V$5=Inputs!$C$13)*$D$38*($D$36+Inputs!$C$14))+$I$36*((V$5=Inputs!$C$15+$K$36)*$E$38*$I$38+(V$5=Inputs!$C$16+$K$36)*$F$38*$J$38+(V$5=Inputs!$C$17)*$G$38*$H$36*$H$38)</f>
        <v>59.6728888888889</v>
      </c>
      <c r="W41" s="42" t="n">
        <f aca="false">-($D$36+$J$36)*(W$5=0)+IF(AND(W$5-$K$36&gt;=1,W$5-$K$36&lt;=Inputs!$C$13),INDEX($N$39:$AL$39,1,W$5-$K$36+1)*INDEX($N$40:$AL$40,1,W$5-$K$36+1),0)-$I$36*((W$5=Inputs!$C$12)*$C$38*$D$36+(W$5=Inputs!$C$13)*$D$38*($D$36+Inputs!$C$14))+$I$36*((W$5=Inputs!$C$15+$K$36)*$E$38*$I$38+(W$5=Inputs!$C$16+$K$36)*$F$38*$J$38+(W$5=Inputs!$C$17)*$G$38*$H$36*$H$38)</f>
        <v>60.2737777777778</v>
      </c>
      <c r="X41" s="42" t="n">
        <f aca="false">-($D$36+$J$36)*(X$5=0)+IF(AND(X$5-$K$36&gt;=1,X$5-$K$36&lt;=Inputs!$C$13),INDEX($N$39:$AL$39,1,X$5-$K$36+1)*INDEX($N$40:$AL$40,1,X$5-$K$36+1),0)-$I$36*((X$5=Inputs!$C$12)*$C$38*$D$36+(X$5=Inputs!$C$13)*$D$38*($D$36+Inputs!$C$14))+$I$36*((X$5=Inputs!$C$15+$K$36)*$E$38*$I$38+(X$5=Inputs!$C$16+$K$36)*$F$38*$J$38+(X$5=Inputs!$C$17)*$G$38*$H$36*$H$38)</f>
        <v>60.8746666666667</v>
      </c>
      <c r="Y41" s="42" t="n">
        <f aca="false">-($D$36+$J$36)*(Y$5=0)+IF(AND(Y$5-$K$36&gt;=1,Y$5-$K$36&lt;=Inputs!$C$13),INDEX($N$39:$AL$39,1,Y$5-$K$36+1)*INDEX($N$40:$AL$40,1,Y$5-$K$36+1),0)-$I$36*((Y$5=Inputs!$C$12)*$C$38*$D$36+(Y$5=Inputs!$C$13)*$D$38*($D$36+Inputs!$C$14))+$I$36*((Y$5=Inputs!$C$15+$K$36)*$E$38*$I$38+(Y$5=Inputs!$C$16+$K$36)*$F$38*$J$38+(Y$5=Inputs!$C$17)*$G$38*$H$36*$H$38)</f>
        <v>52.0177777777777</v>
      </c>
      <c r="Z41" s="42" t="n">
        <f aca="false">-($D$36+$J$36)*(Z$5=0)+IF(AND(Z$5-$K$36&gt;=1,Z$5-$K$36&lt;=Inputs!$C$13),INDEX($N$39:$AL$39,1,Z$5-$K$36+1)*INDEX($N$40:$AL$40,1,Z$5-$K$36+1),0)-$I$36*((Z$5=Inputs!$C$12)*$C$38*$D$36+(Z$5=Inputs!$C$13)*$D$38*($D$36+Inputs!$C$14))+$I$36*((Z$5=Inputs!$C$15+$K$36)*$E$38*$I$38+(Z$5=Inputs!$C$16+$K$36)*$F$38*$J$38+(Z$5=Inputs!$C$17)*$G$38*$H$36*$H$38)</f>
        <v>-574.673777777777</v>
      </c>
      <c r="AA41" s="42" t="n">
        <f aca="false">-($D$36+$J$36)*(AA$5=0)+IF(AND(AA$5-$K$36&gt;=1,AA$5-$K$36&lt;=Inputs!$C$13),INDEX($N$39:$AL$39,1,AA$5-$K$36+1)*INDEX($N$40:$AL$40,1,AA$5-$K$36+1),0)-$I$36*((AA$5=Inputs!$C$12)*$C$38*$D$36+(AA$5=Inputs!$C$13)*$D$38*($D$36+Inputs!$C$14))+$I$36*((AA$5=Inputs!$C$15+$K$36)*$E$38*$I$38+(AA$5=Inputs!$C$16+$K$36)*$F$38*$J$38+(AA$5=Inputs!$C$17)*$G$38*$H$36*$H$38)</f>
        <v>53.0346666666666</v>
      </c>
      <c r="AB41" s="42" t="n">
        <f aca="false">-($D$36+$J$36)*(AB$5=0)+IF(AND(AB$5-$K$36&gt;=1,AB$5-$K$36&lt;=Inputs!$C$13),INDEX($N$39:$AL$39,1,AB$5-$K$36+1)*INDEX($N$40:$AL$40,1,AB$5-$K$36+1),0)-$I$36*((AB$5=Inputs!$C$12)*$C$38*$D$36+(AB$5=Inputs!$C$13)*$D$38*($D$36+Inputs!$C$14))+$I$36*((AB$5=Inputs!$C$15+$K$36)*$E$38*$I$38+(AB$5=Inputs!$C$16+$K$36)*$F$38*$J$38+(AB$5=Inputs!$C$17)*$G$38*$H$36*$H$38)</f>
        <v>64.3875555555555</v>
      </c>
      <c r="AC41" s="42" t="n">
        <f aca="false">-($D$36+$J$36)*(AC$5=0)+IF(AND(AC$5-$K$36&gt;=1,AC$5-$K$36&lt;=Inputs!$C$13),INDEX($N$39:$AL$39,1,AC$5-$K$36+1)*INDEX($N$40:$AL$40,1,AC$5-$K$36+1),0)-$I$36*((AC$5=Inputs!$C$12)*$C$38*$D$36+(AC$5=Inputs!$C$13)*$D$38*($D$36+Inputs!$C$14))+$I$36*((AC$5=Inputs!$C$15+$K$36)*$E$38*$I$38+(AC$5=Inputs!$C$16+$K$36)*$F$38*$J$38+(AC$5=Inputs!$C$17)*$G$38*$H$36*$H$38)</f>
        <v>65.1591111111111</v>
      </c>
      <c r="AD41" s="42" t="n">
        <f aca="false">-($D$36+$J$36)*(AD$5=0)+IF(AND(AD$5-$K$36&gt;=1,AD$5-$K$36&lt;=Inputs!$C$13),INDEX($N$39:$AL$39,1,AD$5-$K$36+1)*INDEX($N$40:$AL$40,1,AD$5-$K$36+1),0)-$I$36*((AD$5=Inputs!$C$12)*$C$38*$D$36+(AD$5=Inputs!$C$13)*$D$38*($D$36+Inputs!$C$14))+$I$36*((AD$5=Inputs!$C$15+$K$36)*$E$38*$I$38+(AD$5=Inputs!$C$16+$K$36)*$F$38*$J$38+(AD$5=Inputs!$C$17)*$G$38*$H$36*$H$38)</f>
        <v>65.9306666666669</v>
      </c>
      <c r="AE41" s="42" t="n">
        <f aca="false">-($D$36+$J$36)*(AE$5=0)+IF(AND(AE$5-$K$36&gt;=1,AE$5-$K$36&lt;=Inputs!$C$13),INDEX($N$39:$AL$39,1,AE$5-$K$36+1)*INDEX($N$40:$AL$40,1,AE$5-$K$36+1),0)-$I$36*((AE$5=Inputs!$C$12)*$C$38*$D$36+(AE$5=Inputs!$C$13)*$D$38*($D$36+Inputs!$C$14))+$I$36*((AE$5=Inputs!$C$15+$K$36)*$E$38*$I$38+(AE$5=Inputs!$C$16+$K$36)*$F$38*$J$38+(AE$5=Inputs!$C$17)*$G$38*$H$36*$H$38)</f>
        <v>66.7022222222222</v>
      </c>
      <c r="AF41" s="42" t="n">
        <f aca="false">-($D$36+$J$36)*(AF$5=0)+IF(AND(AF$5-$K$36&gt;=1,AF$5-$K$36&lt;=Inputs!$C$13),INDEX($N$39:$AL$39,1,AF$5-$K$36+1)*INDEX($N$40:$AL$40,1,AF$5-$K$36+1),0)-$I$36*((AF$5=Inputs!$C$12)*$C$38*$D$36+(AF$5=Inputs!$C$13)*$D$38*($D$36+Inputs!$C$14))+$I$36*((AF$5=Inputs!$C$15+$K$36)*$E$38*$I$38+(AF$5=Inputs!$C$16+$K$36)*$F$38*$J$38+(AF$5=Inputs!$C$17)*$G$38*$H$36*$H$38)</f>
        <v>67.4737777777777</v>
      </c>
      <c r="AG41" s="42" t="n">
        <f aca="false">-($D$36+$J$36)*(AG$5=0)+IF(AND(AG$5-$K$36&gt;=1,AG$5-$K$36&lt;=Inputs!$C$13),INDEX($N$39:$AL$39,1,AG$5-$K$36+1)*INDEX($N$40:$AL$40,1,AG$5-$K$36+1),0)-$I$36*((AG$5=Inputs!$C$12)*$C$38*$D$36+(AG$5=Inputs!$C$13)*$D$38*($D$36+Inputs!$C$14))+$I$36*((AG$5=Inputs!$C$15+$K$36)*$E$38*$I$38+(AG$5=Inputs!$C$16+$K$36)*$F$38*$J$38+(AG$5=Inputs!$C$17)*$G$38*$H$36*$H$38)</f>
        <v>68.2453333333333</v>
      </c>
      <c r="AH41" s="42" t="n">
        <f aca="false">-($D$36+$J$36)*(AH$5=0)+IF(AND(AH$5-$K$36&gt;=1,AH$5-$K$36&lt;=Inputs!$C$13),INDEX($N$39:$AL$39,1,AH$5-$K$36+1)*INDEX($N$40:$AL$40,1,AH$5-$K$36+1),0)-$I$36*((AH$5=Inputs!$C$12)*$C$38*$D$36+(AH$5=Inputs!$C$13)*$D$38*($D$36+Inputs!$C$14))+$I$36*((AH$5=Inputs!$C$15+$K$36)*$E$38*$I$38+(AH$5=Inputs!$C$16+$K$36)*$F$38*$J$38+(AH$5=Inputs!$C$17)*$G$38*$H$36*$H$38)</f>
        <v>49.2977777777779</v>
      </c>
      <c r="AI41" s="42" t="n">
        <f aca="false">-($D$36+$J$36)*(AI$5=0)+IF(AND(AI$5-$K$36&gt;=1,AI$5-$K$36&lt;=Inputs!$C$13),INDEX($N$39:$AL$39,1,AI$5-$K$36+1)*INDEX($N$40:$AL$40,1,AI$5-$K$36+1),0)-$I$36*((AI$5=Inputs!$C$12)*$C$38*$D$36+(AI$5=Inputs!$C$13)*$D$38*($D$36+Inputs!$C$14))+$I$36*((AI$5=Inputs!$C$15+$K$36)*$E$38*$I$38+(AI$5=Inputs!$C$16+$K$36)*$F$38*$J$38+(AI$5=Inputs!$C$17)*$G$38*$H$36*$H$38)</f>
        <v>49.8488888888887</v>
      </c>
      <c r="AJ41" s="42" t="n">
        <f aca="false">-($D$36+$J$36)*(AJ$5=0)+IF(AND(AJ$5-$K$36&gt;=1,AJ$5-$K$36&lt;=Inputs!$C$13),INDEX($N$39:$AL$39,1,AJ$5-$K$36+1)*INDEX($N$40:$AL$40,1,AJ$5-$K$36+1),0)-$I$36*((AJ$5=Inputs!$C$12)*$C$38*$D$36+(AJ$5=Inputs!$C$13)*$D$38*($D$36+Inputs!$C$14))+$I$36*((AJ$5=Inputs!$C$15+$K$36)*$E$38*$I$38+(AJ$5=Inputs!$C$16+$K$36)*$F$38*$J$38+(AJ$5=Inputs!$C$17)*$G$38*$H$36*$H$38)</f>
        <v>50.3999999999998</v>
      </c>
      <c r="AK41" s="42" t="n">
        <f aca="false">-($D$36+$J$36)*(AK$5=0)+IF(AND(AK$5-$K$36&gt;=1,AK$5-$K$36&lt;=Inputs!$C$13),INDEX($N$39:$AL$39,1,AK$5-$K$36+1)*INDEX($N$40:$AL$40,1,AK$5-$K$36+1),0)-$I$36*((AK$5=Inputs!$C$12)*$C$38*$D$36+(AK$5=Inputs!$C$13)*$D$38*($D$36+Inputs!$C$14))+$I$36*((AK$5=Inputs!$C$15+$K$36)*$E$38*$I$38+(AK$5=Inputs!$C$16+$K$36)*$F$38*$J$38+(AK$5=Inputs!$C$17)*$G$38*$H$36*$H$38)</f>
        <v>50.9511111111113</v>
      </c>
      <c r="AL41" s="42" t="n">
        <f aca="false">-($D$36+$J$36)*(AL$5=0)+IF(AND(AL$5-$K$36&gt;=1,AL$5-$K$36&lt;=Inputs!$C$13),INDEX($N$39:$AL$39,1,AL$5-$K$36+1)*INDEX($N$40:$AL$40,1,AL$5-$K$36+1),0)-$I$36*((AL$5=Inputs!$C$12)*$C$38*$D$36+(AL$5=Inputs!$C$13)*$D$38*($D$36+Inputs!$C$14))+$I$36*((AL$5=Inputs!$C$15+$K$36)*$E$38*$I$38+(AL$5=Inputs!$C$16+$K$36)*$F$38*$J$38+(AL$5=Inputs!$C$17)*$G$38*$H$36*$H$38)</f>
        <v>-628.497777777778</v>
      </c>
      <c r="AM41" s="42" t="n">
        <f aca="false">-($D$36+$J$36)*(AM$5=0)+IF(AND(AM$5-$K$36&gt;=1,AM$5-$K$36&lt;=Inputs!$C$13),INDEX($N$39:$AL$39,1,AM$5-$K$36+1)*INDEX($N$40:$AL$40,1,AM$5-$K$36+1),0)-$I$36*((AM$5=Inputs!$C$12)*$C$38*$D$36+(AM$5=Inputs!$C$13)*$D$38*($D$36+Inputs!$C$14))+$I$36*((AM$5=Inputs!$C$15+$K$36)*$E$38*$I$38+(AM$5=Inputs!$C$16+$K$36)*$F$38*$J$38+(AM$5=Inputs!$C$17)*$G$38*$H$36*$H$38)</f>
        <v>52.0533333333332</v>
      </c>
      <c r="AN41" s="42" t="n">
        <f aca="false">-($D$36+$J$36)*(AN$5=0)+IF(AND(AN$5-$K$36&gt;=1,AN$5-$K$36&lt;=Inputs!$C$13),INDEX($N$39:$AL$39,1,AN$5-$K$36+1)*INDEX($N$40:$AL$40,1,AN$5-$K$36+1),0)-$I$36*((AN$5=Inputs!$C$12)*$C$38*$D$36+(AN$5=Inputs!$C$13)*$D$38*($D$36+Inputs!$C$14))+$I$36*((AN$5=Inputs!$C$15+$K$36)*$E$38*$I$38+(AN$5=Inputs!$C$16+$K$36)*$F$38*$J$38+(AN$5=Inputs!$C$17)*$G$38*$H$36*$H$38)</f>
        <v>0</v>
      </c>
      <c r="AO41" s="42" t="n">
        <f aca="false">-($D$36+$J$36)*(AO$5=0)+IF(AND(AO$5-$K$36&gt;=1,AO$5-$K$36&lt;=Inputs!$C$13),INDEX($N$39:$AL$39,1,AO$5-$K$36+1)*INDEX($N$40:$AL$40,1,AO$5-$K$36+1),0)-$I$36*((AO$5=Inputs!$C$12)*$C$38*$D$36+(AO$5=Inputs!$C$13)*$D$38*($D$36+Inputs!$C$14))+$I$36*((AO$5=Inputs!$C$15+$K$36)*$E$38*$I$38+(AO$5=Inputs!$C$16+$K$36)*$F$38*$J$38+(AO$5=Inputs!$C$17)*$G$38*$H$36*$H$38)</f>
        <v>0</v>
      </c>
      <c r="AP41" s="42" t="n">
        <f aca="false">-($D$36+$J$36)*(AP$5=0)+IF(AND(AP$5-$K$36&gt;=1,AP$5-$K$36&lt;=Inputs!$C$13),INDEX($N$39:$AL$39,1,AP$5-$K$36+1)*INDEX($N$40:$AL$40,1,AP$5-$K$36+1),0)-$I$36*((AP$5=Inputs!$C$12)*$C$38*$D$36+(AP$5=Inputs!$C$13)*$D$38*($D$36+Inputs!$C$14))+$I$36*((AP$5=Inputs!$C$15+$K$36)*$E$38*$I$38+(AP$5=Inputs!$C$16+$K$36)*$F$38*$J$38+(AP$5=Inputs!$C$17)*$G$38*$H$36*$H$38)</f>
        <v>600</v>
      </c>
      <c r="AQ41" s="42" t="n">
        <f aca="false">-($D$36+$J$36)*(AQ$5=0)+IF(AND(AQ$5-$K$36&gt;=1,AQ$5-$K$36&lt;=Inputs!$C$13),INDEX($N$39:$AL$39,1,AQ$5-$K$36+1)*INDEX($N$40:$AL$40,1,AQ$5-$K$36+1),0)-$I$36*((AQ$5=Inputs!$C$12)*$C$38*$D$36+(AQ$5=Inputs!$C$13)*$D$38*($D$36+Inputs!$C$14))+$I$36*((AQ$5=Inputs!$C$15+$K$36)*$E$38*$I$38+(AQ$5=Inputs!$C$16+$K$36)*$F$38*$J$38+(AQ$5=Inputs!$C$17)*$G$38*$H$36*$H$38)</f>
        <v>0</v>
      </c>
      <c r="AR41" s="42" t="n">
        <f aca="false">-($D$36+$J$36)*(AR$5=0)+IF(AND(AR$5-$K$36&gt;=1,AR$5-$K$36&lt;=Inputs!$C$13),INDEX($N$39:$AL$39,1,AR$5-$K$36+1)*INDEX($N$40:$AL$40,1,AR$5-$K$36+1),0)-$I$36*((AR$5=Inputs!$C$12)*$C$38*$D$36+(AR$5=Inputs!$C$13)*$D$38*($D$36+Inputs!$C$14))+$I$36*((AR$5=Inputs!$C$15+$K$36)*$E$38*$I$38+(AR$5=Inputs!$C$16+$K$36)*$F$38*$J$38+(AR$5=Inputs!$C$17)*$G$38*$H$36*$H$38)</f>
        <v>0</v>
      </c>
      <c r="AS41" s="42" t="n">
        <f aca="false">-($D$36+$J$36)*(AS$5=0)+IF(AND(AS$5-$K$36&gt;=1,AS$5-$K$36&lt;=Inputs!$C$13),INDEX($N$39:$AL$39,1,AS$5-$K$36+1)*INDEX($N$40:$AL$40,1,AS$5-$K$36+1),0)-$I$36*((AS$5=Inputs!$C$12)*$C$38*$D$36+(AS$5=Inputs!$C$13)*$D$38*($D$36+Inputs!$C$14))+$I$36*((AS$5=Inputs!$C$15+$K$36)*$E$38*$I$38+(AS$5=Inputs!$C$16+$K$36)*$F$38*$J$38+(AS$5=Inputs!$C$17)*$G$38*$H$36*$H$38)</f>
        <v>461.76</v>
      </c>
      <c r="AT41" s="42" t="n">
        <f aca="false">-($D$36+$J$36)*(AT$5=0)+IF(AND(AT$5-$K$36&gt;=1,AT$5-$K$36&lt;=Inputs!$C$13),INDEX($N$39:$AL$39,1,AT$5-$K$36+1)*INDEX($N$40:$AL$40,1,AT$5-$K$36+1),0)-$I$36*((AT$5=Inputs!$C$12)*$C$38*$D$36+(AT$5=Inputs!$C$13)*$D$38*($D$36+Inputs!$C$14))+$I$36*((AT$5=Inputs!$C$15+$K$36)*$E$38*$I$38+(AT$5=Inputs!$C$16+$K$36)*$F$38*$J$38+(AT$5=Inputs!$C$17)*$G$38*$H$36*$H$38)</f>
        <v>0</v>
      </c>
      <c r="AU41" s="42" t="n">
        <f aca="false">-($D$36+$J$36)*(AU$5=0)+IF(AND(AU$5-$K$36&gt;=1,AU$5-$K$36&lt;=Inputs!$C$13),INDEX($N$39:$AL$39,1,AU$5-$K$36+1)*INDEX($N$40:$AL$40,1,AU$5-$K$36+1),0)-$I$36*((AU$5=Inputs!$C$12)*$C$38*$D$36+(AU$5=Inputs!$C$13)*$D$38*($D$36+Inputs!$C$14))+$I$36*((AU$5=Inputs!$C$15+$K$36)*$E$38*$I$38+(AU$5=Inputs!$C$16+$K$36)*$F$38*$J$38+(AU$5=Inputs!$C$17)*$G$38*$H$36*$H$38)</f>
        <v>0</v>
      </c>
      <c r="AV41" s="42" t="n">
        <f aca="false">-($D$36+$J$36)*(AV$5=0)+IF(AND(AV$5-$K$36&gt;=1,AV$5-$K$36&lt;=Inputs!$C$13),INDEX($N$39:$AL$39,1,AV$5-$K$36+1)*INDEX($N$40:$AL$40,1,AV$5-$K$36+1),0)-$I$36*((AV$5=Inputs!$C$12)*$C$38*$D$36+(AV$5=Inputs!$C$13)*$D$38*($D$36+Inputs!$C$14))+$I$36*((AV$5=Inputs!$C$15+$K$36)*$E$38*$I$38+(AV$5=Inputs!$C$16+$K$36)*$F$38*$J$38+(AV$5=Inputs!$C$17)*$G$38*$H$36*$H$38)</f>
        <v>0</v>
      </c>
      <c r="AW41" s="42" t="n">
        <f aca="false">-($D$36+$J$36)*(AW$5=0)+IF(AND(AW$5-$K$36&gt;=1,AW$5-$K$36&lt;=Inputs!$C$13),INDEX($N$39:$AL$39,1,AW$5-$K$36+1)*INDEX($N$40:$AL$40,1,AW$5-$K$36+1),0)-$I$36*((AW$5=Inputs!$C$12)*$C$38*$D$36+(AW$5=Inputs!$C$13)*$D$38*($D$36+Inputs!$C$14))+$I$36*((AW$5=Inputs!$C$15+$K$36)*$E$38*$I$38+(AW$5=Inputs!$C$16+$K$36)*$F$38*$J$38+(AW$5=Inputs!$C$17)*$G$38*$H$36*$H$38)</f>
        <v>0</v>
      </c>
      <c r="AX41" s="42" t="n">
        <f aca="false">-($D$36+$J$36)*(AX$5=0)+IF(AND(AX$5-$K$36&gt;=1,AX$5-$K$36&lt;=Inputs!$C$13),INDEX($N$39:$AL$39,1,AX$5-$K$36+1)*INDEX($N$40:$AL$40,1,AX$5-$K$36+1),0)-$I$36*((AX$5=Inputs!$C$12)*$C$38*$D$36+(AX$5=Inputs!$C$13)*$D$38*($D$36+Inputs!$C$14))+$I$36*((AX$5=Inputs!$C$15+$K$36)*$E$38*$I$38+(AX$5=Inputs!$C$16+$K$36)*$F$38*$J$38+(AX$5=Inputs!$C$17)*$G$38*$H$36*$H$38)</f>
        <v>277.2</v>
      </c>
      <c r="AY41" s="42" t="n">
        <f aca="false">-($D$36+$J$36)*(AY$5=0)+IF(AND(AY$5-$K$36&gt;=1,AY$5-$K$36&lt;=Inputs!$C$13),INDEX($N$39:$AL$39,1,AY$5-$K$36+1)*INDEX($N$40:$AL$40,1,AY$5-$K$36+1),0)-$I$36*((AY$5=Inputs!$C$12)*$C$38*$D$36+(AY$5=Inputs!$C$13)*$D$38*($D$36+Inputs!$C$14))+$I$36*((AY$5=Inputs!$C$15+$K$36)*$E$38*$I$38+(AY$5=Inputs!$C$16+$K$36)*$F$38*$J$38+(AY$5=Inputs!$C$17)*$G$38*$H$36*$H$38)</f>
        <v>0</v>
      </c>
    </row>
    <row r="43" customFormat="false" ht="15" hidden="false" customHeight="false" outlineLevel="0" collapsed="false">
      <c r="B43" s="7" t="s">
        <v>245</v>
      </c>
      <c r="C43" s="8"/>
      <c r="D43" s="8"/>
      <c r="E43" s="8"/>
      <c r="F43" s="8"/>
      <c r="G43" s="8"/>
      <c r="H43" s="8"/>
      <c r="I43" s="8"/>
      <c r="J43" s="8"/>
      <c r="K43" s="8"/>
      <c r="L43" s="8"/>
    </row>
    <row r="44" customFormat="false" ht="30" hidden="false" customHeight="true" outlineLevel="0" collapsed="false">
      <c r="B44" s="37"/>
      <c r="C44" s="38" t="s">
        <v>169</v>
      </c>
      <c r="D44" s="38" t="s">
        <v>170</v>
      </c>
      <c r="E44" s="38" t="s">
        <v>171</v>
      </c>
      <c r="F44" s="38" t="s">
        <v>43</v>
      </c>
      <c r="G44" s="38" t="s">
        <v>44</v>
      </c>
      <c r="H44" s="38" t="s">
        <v>45</v>
      </c>
      <c r="I44" s="38" t="s">
        <v>172</v>
      </c>
      <c r="J44" s="38" t="s">
        <v>90</v>
      </c>
      <c r="K44" s="38" t="s">
        <v>89</v>
      </c>
      <c r="L44" s="38" t="s">
        <v>173</v>
      </c>
    </row>
    <row r="45" customFormat="false" ht="15" hidden="false" customHeight="false" outlineLevel="0" collapsed="false">
      <c r="B45" s="39" t="s">
        <v>174</v>
      </c>
      <c r="C45" s="26" t="n">
        <f aca="false">Inputs!$F$43*Inputs!$E$55</f>
        <v>0.13</v>
      </c>
      <c r="D45" s="30" t="n">
        <f aca="false">Inputs!$E$43</f>
        <v>1600</v>
      </c>
      <c r="E45" s="26" t="n">
        <f aca="false">IF(Inputs!$G$43=1,Inputs!$F$27,MIN(1,MAX(0,INDEX(Inputs!$F$23:$F$27,MATCH(Inputs!$C$43,Inputs!$B$23:$B$27,0))+INDEX(Inputs!$C$48:$C$51,MATCH(Inputs!$D$55,Inputs!$B$48:$B$51,0)))))</f>
        <v>0.35</v>
      </c>
      <c r="F45" s="25" t="n">
        <f aca="false">IF(Inputs!$G$43=1,Inputs!$G$27,INDEX(Inputs!$G$23:$G$27,MATCH(Inputs!$C$43,Inputs!$B$23:$B$27,0)))</f>
        <v>0.1</v>
      </c>
      <c r="G45" s="25" t="n">
        <f aca="false">IF(Inputs!$G$43=1,Inputs!$H$27,INDEX(Inputs!$H$23:$H$27,MATCH(Inputs!$C$43,Inputs!$B$23:$B$27,0)))*INDEX(Inputs!$D$48:$D$51,MATCH(Inputs!$D$55,Inputs!$B$48:$B$51,0))</f>
        <v>0.05</v>
      </c>
      <c r="H45" s="25" t="n">
        <f aca="false">MAX(0,IF(Inputs!$G$43=1,Inputs!$I$27,INDEX(Inputs!$I$23:$I$27,MATCH(Inputs!$C$43,Inputs!$B$23:$B$27,0)))+INDEX(Inputs!$E$48:$E$51,MATCH(Inputs!$D$55,Inputs!$B$48:$B$51,0)))</f>
        <v>0</v>
      </c>
      <c r="I45" s="22" t="n">
        <f aca="false">IF(Inputs!$G$43=1,0,INDEX(Inputs!$J$23:$J$27,MATCH(Inputs!$C$43,Inputs!$B$23:$B$27,0)))</f>
        <v>0</v>
      </c>
      <c r="J45" s="23" t="n">
        <f aca="false">Inputs!$G$55</f>
        <v>10</v>
      </c>
      <c r="K45" s="22" t="n">
        <f aca="false">Inputs!$F$55</f>
        <v>1</v>
      </c>
      <c r="L45" s="22" t="n">
        <f aca="false">Inputs!$C$55</f>
        <v>1</v>
      </c>
    </row>
    <row r="46" customFormat="false" ht="30" hidden="false" customHeight="true" outlineLevel="0" collapsed="false">
      <c r="B46" s="37"/>
      <c r="C46" s="38" t="s">
        <v>175</v>
      </c>
      <c r="D46" s="38" t="s">
        <v>176</v>
      </c>
      <c r="E46" s="38" t="s">
        <v>177</v>
      </c>
      <c r="F46" s="38" t="s">
        <v>178</v>
      </c>
      <c r="G46" s="38" t="s">
        <v>112</v>
      </c>
      <c r="H46" s="38" t="s">
        <v>179</v>
      </c>
      <c r="I46" s="38" t="s">
        <v>180</v>
      </c>
      <c r="J46" s="38" t="s">
        <v>181</v>
      </c>
      <c r="K46" s="38" t="s">
        <v>182</v>
      </c>
      <c r="L46" s="38" t="s">
        <v>183</v>
      </c>
    </row>
    <row r="47" customFormat="false" ht="15" hidden="false" customHeight="false" outlineLevel="0" collapsed="false">
      <c r="B47" s="39" t="s">
        <v>184</v>
      </c>
      <c r="C47" s="40" t="n">
        <f aca="false">1-$E$45*CHOOSE($L$45,INDEX(Timing!$C$7:$AA$7,1,Inputs!$C$12+1),INDEX(Timing!$C$8:$AA$8,1,Inputs!$C$12+1))</f>
        <v>0.734</v>
      </c>
      <c r="D47" s="40" t="n">
        <f aca="false">1-$E$45*CHOOSE($L$45,INDEX(Timing!$C$7:$AA$7,1,Inputs!$C$13+1),INDEX(Timing!$C$8:$AA$8,1,Inputs!$C$13+1))</f>
        <v>0.65</v>
      </c>
      <c r="E47" s="40" t="n">
        <f aca="false">$I$45*$D$47*$F$45</f>
        <v>0</v>
      </c>
      <c r="F47" s="40" t="n">
        <f aca="false">$I$45*($D$47-$E$47)*$G$45</f>
        <v>0</v>
      </c>
      <c r="G47" s="40" t="n">
        <f aca="false">$I$45*($D$47-$E$47-$F$47)</f>
        <v>0</v>
      </c>
      <c r="H47" s="23" t="n">
        <f aca="false">$I$45*(3*$D$45+Inputs!$C$14)</f>
        <v>0</v>
      </c>
      <c r="I47" s="23" t="n">
        <f aca="false">$I$45*($D$45*(1+IF($C$45&lt;=0,0,MAX($C$45*Inputs!$C$15/12,Inputs!$C$8)))+$D$45*(1+Inputs!$C$11*(Inputs!$C$15-Inputs!$C$12)/12)+$D$45*(1+Inputs!$C$11*(Inputs!$C$15-Inputs!$C$13)/12)+Inputs!$C$14)</f>
        <v>0</v>
      </c>
      <c r="J47" s="23" t="n">
        <f aca="false">$I$45*($D$45*(1+IF($C$45&lt;=0,0,MAX($C$45*Inputs!$C$16/12,Inputs!$C$8)))+$D$45*(1+Inputs!$C$11*(Inputs!$C$16-Inputs!$C$12)/12)+$D$45*(1+Inputs!$C$11*(Inputs!$C$16-Inputs!$C$13)/12)+Inputs!$C$14)</f>
        <v>0</v>
      </c>
      <c r="K47" s="40" t="n">
        <f aca="false">IRR($N$50:$AY$50,-0.05)</f>
        <v>-0.0796907670056498</v>
      </c>
      <c r="L47" s="41" t="n">
        <f aca="false">(1+$K$47)^12-1</f>
        <v>-0.630847894979521</v>
      </c>
    </row>
    <row r="48" customFormat="false" ht="15" hidden="false" customHeight="false" outlineLevel="0" collapsed="false">
      <c r="B48" s="9" t="s">
        <v>185</v>
      </c>
      <c r="N48" s="40" t="n">
        <f aca="false">0</f>
        <v>0</v>
      </c>
      <c r="O48" s="40" t="n">
        <f aca="false">$E$45*(CHOOSE($L$45,Timing!D$7,Timing!D$8)-CHOOSE($L$45,Timing!C$7,Timing!C$8))</f>
        <v>0.042</v>
      </c>
      <c r="P48" s="40" t="n">
        <f aca="false">$E$45*(CHOOSE($L$45,Timing!E$7,Timing!E$8)-CHOOSE($L$45,Timing!D$7,Timing!D$8))</f>
        <v>0.035</v>
      </c>
      <c r="Q48" s="40" t="n">
        <f aca="false">$E$45*(CHOOSE($L$45,Timing!F$7,Timing!F$8)-CHOOSE($L$45,Timing!E$7,Timing!E$8))</f>
        <v>0.0315</v>
      </c>
      <c r="R48" s="40" t="n">
        <f aca="false">$E$45*(CHOOSE($L$45,Timing!G$7,Timing!G$8)-CHOOSE($L$45,Timing!F$7,Timing!F$8))</f>
        <v>0.0245</v>
      </c>
      <c r="S48" s="40" t="n">
        <f aca="false">$E$45*(CHOOSE($L$45,Timing!H$7,Timing!H$8)-CHOOSE($L$45,Timing!G$7,Timing!G$8))</f>
        <v>0.0245</v>
      </c>
      <c r="T48" s="40" t="n">
        <f aca="false">$E$45*(CHOOSE($L$45,Timing!I$7,Timing!I$8)-CHOOSE($L$45,Timing!H$7,Timing!H$8))</f>
        <v>0.0245</v>
      </c>
      <c r="U48" s="40" t="n">
        <f aca="false">$E$45*(CHOOSE($L$45,Timing!J$7,Timing!J$8)-CHOOSE($L$45,Timing!I$7,Timing!I$8))</f>
        <v>0.0151666666666667</v>
      </c>
      <c r="V48" s="40" t="n">
        <f aca="false">$E$45*(CHOOSE($L$45,Timing!K$7,Timing!K$8)-CHOOSE($L$45,Timing!J$7,Timing!J$8))</f>
        <v>0.0151666666666667</v>
      </c>
      <c r="W48" s="40" t="n">
        <f aca="false">$E$45*(CHOOSE($L$45,Timing!L$7,Timing!L$8)-CHOOSE($L$45,Timing!K$7,Timing!K$8))</f>
        <v>0.0151666666666667</v>
      </c>
      <c r="X48" s="40" t="n">
        <f aca="false">$E$45*(CHOOSE($L$45,Timing!M$7,Timing!M$8)-CHOOSE($L$45,Timing!L$7,Timing!L$8))</f>
        <v>0.0128333333333333</v>
      </c>
      <c r="Y48" s="40" t="n">
        <f aca="false">$E$45*(CHOOSE($L$45,Timing!N$7,Timing!N$8)-CHOOSE($L$45,Timing!M$7,Timing!M$8))</f>
        <v>0.0128333333333334</v>
      </c>
      <c r="Z48" s="40" t="n">
        <f aca="false">$E$45*(CHOOSE($L$45,Timing!O$7,Timing!O$8)-CHOOSE($L$45,Timing!N$7,Timing!N$8))</f>
        <v>0.0128333333333333</v>
      </c>
      <c r="AA48" s="40" t="n">
        <f aca="false">$E$45*(CHOOSE($L$45,Timing!P$7,Timing!P$8)-CHOOSE($L$45,Timing!O$7,Timing!O$8))</f>
        <v>0.00816666666666666</v>
      </c>
      <c r="AB48" s="40" t="n">
        <f aca="false">$E$45*(CHOOSE($L$45,Timing!Q$7,Timing!Q$8)-CHOOSE($L$45,Timing!P$7,Timing!P$8))</f>
        <v>0.00816666666666666</v>
      </c>
      <c r="AC48" s="40" t="n">
        <f aca="false">$E$45*(CHOOSE($L$45,Timing!R$7,Timing!R$8)-CHOOSE($L$45,Timing!Q$7,Timing!Q$8))</f>
        <v>0.0081666666666667</v>
      </c>
      <c r="AD48" s="40" t="n">
        <f aca="false">$E$45*(CHOOSE($L$45,Timing!S$7,Timing!S$8)-CHOOSE($L$45,Timing!R$7,Timing!R$8))</f>
        <v>0.00816666666666666</v>
      </c>
      <c r="AE48" s="40" t="n">
        <f aca="false">$E$45*(CHOOSE($L$45,Timing!T$7,Timing!T$8)-CHOOSE($L$45,Timing!S$7,Timing!S$8))</f>
        <v>0.00816666666666666</v>
      </c>
      <c r="AF48" s="40" t="n">
        <f aca="false">$E$45*(CHOOSE($L$45,Timing!U$7,Timing!U$8)-CHOOSE($L$45,Timing!T$7,Timing!T$8))</f>
        <v>0.00816666666666666</v>
      </c>
      <c r="AG48" s="40" t="n">
        <f aca="false">$E$45*(CHOOSE($L$45,Timing!V$7,Timing!V$8)-CHOOSE($L$45,Timing!U$7,Timing!U$8))</f>
        <v>0.00583333333333335</v>
      </c>
      <c r="AH48" s="40" t="n">
        <f aca="false">$E$45*(CHOOSE($L$45,Timing!W$7,Timing!W$8)-CHOOSE($L$45,Timing!V$7,Timing!V$8))</f>
        <v>0.00583333333333331</v>
      </c>
      <c r="AI48" s="40" t="n">
        <f aca="false">$E$45*(CHOOSE($L$45,Timing!X$7,Timing!X$8)-CHOOSE($L$45,Timing!W$7,Timing!W$8))</f>
        <v>0.00583333333333331</v>
      </c>
      <c r="AJ48" s="40" t="n">
        <f aca="false">$E$45*(CHOOSE($L$45,Timing!Y$7,Timing!Y$8)-CHOOSE($L$45,Timing!X$7,Timing!X$8))</f>
        <v>0.00583333333333335</v>
      </c>
      <c r="AK48" s="40" t="n">
        <f aca="false">$E$45*(CHOOSE($L$45,Timing!Z$7,Timing!Z$8)-CHOOSE($L$45,Timing!Y$7,Timing!Y$8))</f>
        <v>0.00583333333333335</v>
      </c>
      <c r="AL48" s="40" t="n">
        <f aca="false">$E$45*(CHOOSE($L$45,Timing!AA$7,Timing!AA$8)-CHOOSE($L$45,Timing!Z$7,Timing!Z$8))</f>
        <v>0.00583333333333331</v>
      </c>
    </row>
    <row r="49" customFormat="false" ht="15" hidden="false" customHeight="false" outlineLevel="0" collapsed="false">
      <c r="B49" s="9" t="s">
        <v>186</v>
      </c>
      <c r="N49" s="42" t="n">
        <f aca="false">0</f>
        <v>0</v>
      </c>
      <c r="O49" s="42" t="n">
        <f aca="false">$D$45*(1+IF($C$45&lt;=0,0,MAX($C$45*O$5/12,Inputs!$C$8)))+$I$45*(O$5&gt;Inputs!$C$12)*$D$45*(1+Inputs!$C$11*(O$5-Inputs!$C$12)/12)</f>
        <v>1680</v>
      </c>
      <c r="P49" s="42" t="n">
        <f aca="false">$D$45*(1+IF($C$45&lt;=0,0,MAX($C$45*P$5/12,Inputs!$C$8)))+$I$45*(P$5&gt;Inputs!$C$12)*$D$45*(1+Inputs!$C$11*(P$5-Inputs!$C$12)/12)</f>
        <v>1680</v>
      </c>
      <c r="Q49" s="42" t="n">
        <f aca="false">$D$45*(1+IF($C$45&lt;=0,0,MAX($C$45*Q$5/12,Inputs!$C$8)))+$I$45*(Q$5&gt;Inputs!$C$12)*$D$45*(1+Inputs!$C$11*(Q$5-Inputs!$C$12)/12)</f>
        <v>1680</v>
      </c>
      <c r="R49" s="42" t="n">
        <f aca="false">$D$45*(1+IF($C$45&lt;=0,0,MAX($C$45*R$5/12,Inputs!$C$8)))+$I$45*(R$5&gt;Inputs!$C$12)*$D$45*(1+Inputs!$C$11*(R$5-Inputs!$C$12)/12)</f>
        <v>1680</v>
      </c>
      <c r="S49" s="42" t="n">
        <f aca="false">$D$45*(1+IF($C$45&lt;=0,0,MAX($C$45*S$5/12,Inputs!$C$8)))+$I$45*(S$5&gt;Inputs!$C$12)*$D$45*(1+Inputs!$C$11*(S$5-Inputs!$C$12)/12)</f>
        <v>1686.66666666667</v>
      </c>
      <c r="T49" s="42" t="n">
        <f aca="false">$D$45*(1+IF($C$45&lt;=0,0,MAX($C$45*T$5/12,Inputs!$C$8)))+$I$45*(T$5&gt;Inputs!$C$12)*$D$45*(1+Inputs!$C$11*(T$5-Inputs!$C$12)/12)</f>
        <v>1704</v>
      </c>
      <c r="U49" s="42" t="n">
        <f aca="false">$D$45*(1+IF($C$45&lt;=0,0,MAX($C$45*U$5/12,Inputs!$C$8)))+$I$45*(U$5&gt;Inputs!$C$12)*$D$45*(1+Inputs!$C$11*(U$5-Inputs!$C$12)/12)</f>
        <v>1721.33333333333</v>
      </c>
      <c r="V49" s="42" t="n">
        <f aca="false">$D$45*(1+IF($C$45&lt;=0,0,MAX($C$45*V$5/12,Inputs!$C$8)))+$I$45*(V$5&gt;Inputs!$C$12)*$D$45*(1+Inputs!$C$11*(V$5-Inputs!$C$12)/12)</f>
        <v>1738.66666666667</v>
      </c>
      <c r="W49" s="42" t="n">
        <f aca="false">$D$45*(1+IF($C$45&lt;=0,0,MAX($C$45*W$5/12,Inputs!$C$8)))+$I$45*(W$5&gt;Inputs!$C$12)*$D$45*(1+Inputs!$C$11*(W$5-Inputs!$C$12)/12)</f>
        <v>1756</v>
      </c>
      <c r="X49" s="42" t="n">
        <f aca="false">$D$45*(1+IF($C$45&lt;=0,0,MAX($C$45*X$5/12,Inputs!$C$8)))+$I$45*(X$5&gt;Inputs!$C$12)*$D$45*(1+Inputs!$C$11*(X$5-Inputs!$C$12)/12)</f>
        <v>1773.33333333333</v>
      </c>
      <c r="Y49" s="42" t="n">
        <f aca="false">$D$45*(1+IF($C$45&lt;=0,0,MAX($C$45*Y$5/12,Inputs!$C$8)))+$I$45*(Y$5&gt;Inputs!$C$12)*$D$45*(1+Inputs!$C$11*(Y$5-Inputs!$C$12)/12)</f>
        <v>1790.66666666667</v>
      </c>
      <c r="Z49" s="42" t="n">
        <f aca="false">$D$45*(1+IF($C$45&lt;=0,0,MAX($C$45*Z$5/12,Inputs!$C$8)))+$I$45*(Z$5&gt;Inputs!$C$12)*$D$45*(1+Inputs!$C$11*(Z$5-Inputs!$C$12)/12)</f>
        <v>1808</v>
      </c>
      <c r="AA49" s="42" t="n">
        <f aca="false">$D$45*(1+IF($C$45&lt;=0,0,MAX($C$45*AA$5/12,Inputs!$C$8)))+$I$45*(AA$5&gt;Inputs!$C$12)*$D$45*(1+Inputs!$C$11*(AA$5-Inputs!$C$12)/12)</f>
        <v>1825.33333333333</v>
      </c>
      <c r="AB49" s="42" t="n">
        <f aca="false">$D$45*(1+IF($C$45&lt;=0,0,MAX($C$45*AB$5/12,Inputs!$C$8)))+$I$45*(AB$5&gt;Inputs!$C$12)*$D$45*(1+Inputs!$C$11*(AB$5-Inputs!$C$12)/12)</f>
        <v>1842.66666666667</v>
      </c>
      <c r="AC49" s="42" t="n">
        <f aca="false">$D$45*(1+IF($C$45&lt;=0,0,MAX($C$45*AC$5/12,Inputs!$C$8)))+$I$45*(AC$5&gt;Inputs!$C$12)*$D$45*(1+Inputs!$C$11*(AC$5-Inputs!$C$12)/12)</f>
        <v>1860</v>
      </c>
      <c r="AD49" s="42" t="n">
        <f aca="false">$D$45*(1+IF($C$45&lt;=0,0,MAX($C$45*AD$5/12,Inputs!$C$8)))+$I$45*(AD$5&gt;Inputs!$C$12)*$D$45*(1+Inputs!$C$11*(AD$5-Inputs!$C$12)/12)</f>
        <v>1877.33333333333</v>
      </c>
      <c r="AE49" s="42" t="n">
        <f aca="false">$D$45*(1+IF($C$45&lt;=0,0,MAX($C$45*AE$5/12,Inputs!$C$8)))+$I$45*(AE$5&gt;Inputs!$C$12)*$D$45*(1+Inputs!$C$11*(AE$5-Inputs!$C$12)/12)</f>
        <v>1894.66666666667</v>
      </c>
      <c r="AF49" s="42" t="n">
        <f aca="false">$D$45*(1+IF($C$45&lt;=0,0,MAX($C$45*AF$5/12,Inputs!$C$8)))+$I$45*(AF$5&gt;Inputs!$C$12)*$D$45*(1+Inputs!$C$11*(AF$5-Inputs!$C$12)/12)</f>
        <v>1912</v>
      </c>
      <c r="AG49" s="42" t="n">
        <f aca="false">$D$45*(1+IF($C$45&lt;=0,0,MAX($C$45*AG$5/12,Inputs!$C$8)))+$I$45*(AG$5&gt;Inputs!$C$12)*$D$45*(1+Inputs!$C$11*(AG$5-Inputs!$C$12)/12)</f>
        <v>1929.33333333333</v>
      </c>
      <c r="AH49" s="42" t="n">
        <f aca="false">$D$45*(1+IF($C$45&lt;=0,0,MAX($C$45*AH$5/12,Inputs!$C$8)))+$I$45*(AH$5&gt;Inputs!$C$12)*$D$45*(1+Inputs!$C$11*(AH$5-Inputs!$C$12)/12)</f>
        <v>1946.66666666667</v>
      </c>
      <c r="AI49" s="42" t="n">
        <f aca="false">$D$45*(1+IF($C$45&lt;=0,0,MAX($C$45*AI$5/12,Inputs!$C$8)))+$I$45*(AI$5&gt;Inputs!$C$12)*$D$45*(1+Inputs!$C$11*(AI$5-Inputs!$C$12)/12)</f>
        <v>1964</v>
      </c>
      <c r="AJ49" s="42" t="n">
        <f aca="false">$D$45*(1+IF($C$45&lt;=0,0,MAX($C$45*AJ$5/12,Inputs!$C$8)))+$I$45*(AJ$5&gt;Inputs!$C$12)*$D$45*(1+Inputs!$C$11*(AJ$5-Inputs!$C$12)/12)</f>
        <v>1981.33333333333</v>
      </c>
      <c r="AK49" s="42" t="n">
        <f aca="false">$D$45*(1+IF($C$45&lt;=0,0,MAX($C$45*AK$5/12,Inputs!$C$8)))+$I$45*(AK$5&gt;Inputs!$C$12)*$D$45*(1+Inputs!$C$11*(AK$5-Inputs!$C$12)/12)</f>
        <v>1998.66666666667</v>
      </c>
      <c r="AL49" s="42" t="n">
        <f aca="false">$D$45*(1+IF($C$45&lt;=0,0,MAX($C$45*AL$5/12,Inputs!$C$8)))+$I$45*(AL$5&gt;Inputs!$C$12)*$D$45*(1+Inputs!$C$11*(AL$5-Inputs!$C$12)/12)</f>
        <v>2016</v>
      </c>
    </row>
    <row r="50" customFormat="false" ht="15" hidden="false" customHeight="false" outlineLevel="0" collapsed="false">
      <c r="B50" s="31" t="s">
        <v>187</v>
      </c>
      <c r="N50" s="42" t="n">
        <f aca="false">-($D$45+$J$45)*(N$5=0)+IF(AND(N$5-$K$45&gt;=1,N$5-$K$45&lt;=Inputs!$C$13),INDEX($N$48:$AL$48,1,N$5-$K$45+1)*INDEX($N$49:$AL$49,1,N$5-$K$45+1),0)-$I$45*((N$5=Inputs!$C$12)*$C$47*$D$45+(N$5=Inputs!$C$13)*$D$47*($D$45+Inputs!$C$14))+$I$45*((N$5=Inputs!$C$15+$K$45)*$E$47*$I$47+(N$5=Inputs!$C$16+$K$45)*$F$47*$J$47+(N$5=Inputs!$C$17)*$G$47*$H$45*$H$47)</f>
        <v>-1610</v>
      </c>
      <c r="O50" s="42" t="n">
        <f aca="false">-($D$45+$J$45)*(O$5=0)+IF(AND(O$5-$K$45&gt;=1,O$5-$K$45&lt;=Inputs!$C$13),INDEX($N$48:$AL$48,1,O$5-$K$45+1)*INDEX($N$49:$AL$49,1,O$5-$K$45+1),0)-$I$45*((O$5=Inputs!$C$12)*$C$47*$D$45+(O$5=Inputs!$C$13)*$D$47*($D$45+Inputs!$C$14))+$I$45*((O$5=Inputs!$C$15+$K$45)*$E$47*$I$47+(O$5=Inputs!$C$16+$K$45)*$F$47*$J$47+(O$5=Inputs!$C$17)*$G$47*$H$45*$H$47)</f>
        <v>0</v>
      </c>
      <c r="P50" s="42" t="n">
        <f aca="false">-($D$45+$J$45)*(P$5=0)+IF(AND(P$5-$K$45&gt;=1,P$5-$K$45&lt;=Inputs!$C$13),INDEX($N$48:$AL$48,1,P$5-$K$45+1)*INDEX($N$49:$AL$49,1,P$5-$K$45+1),0)-$I$45*((P$5=Inputs!$C$12)*$C$47*$D$45+(P$5=Inputs!$C$13)*$D$47*($D$45+Inputs!$C$14))+$I$45*((P$5=Inputs!$C$15+$K$45)*$E$47*$I$47+(P$5=Inputs!$C$16+$K$45)*$F$47*$J$47+(P$5=Inputs!$C$17)*$G$47*$H$45*$H$47)</f>
        <v>70.56</v>
      </c>
      <c r="Q50" s="42" t="n">
        <f aca="false">-($D$45+$J$45)*(Q$5=0)+IF(AND(Q$5-$K$45&gt;=1,Q$5-$K$45&lt;=Inputs!$C$13),INDEX($N$48:$AL$48,1,Q$5-$K$45+1)*INDEX($N$49:$AL$49,1,Q$5-$K$45+1),0)-$I$45*((Q$5=Inputs!$C$12)*$C$47*$D$45+(Q$5=Inputs!$C$13)*$D$47*($D$45+Inputs!$C$14))+$I$45*((Q$5=Inputs!$C$15+$K$45)*$E$47*$I$47+(Q$5=Inputs!$C$16+$K$45)*$F$47*$J$47+(Q$5=Inputs!$C$17)*$G$47*$H$45*$H$47)</f>
        <v>58.8</v>
      </c>
      <c r="R50" s="42" t="n">
        <f aca="false">-($D$45+$J$45)*(R$5=0)+IF(AND(R$5-$K$45&gt;=1,R$5-$K$45&lt;=Inputs!$C$13),INDEX($N$48:$AL$48,1,R$5-$K$45+1)*INDEX($N$49:$AL$49,1,R$5-$K$45+1),0)-$I$45*((R$5=Inputs!$C$12)*$C$47*$D$45+(R$5=Inputs!$C$13)*$D$47*($D$45+Inputs!$C$14))+$I$45*((R$5=Inputs!$C$15+$K$45)*$E$47*$I$47+(R$5=Inputs!$C$16+$K$45)*$F$47*$J$47+(R$5=Inputs!$C$17)*$G$47*$H$45*$H$47)</f>
        <v>52.92</v>
      </c>
      <c r="S50" s="42" t="n">
        <f aca="false">-($D$45+$J$45)*(S$5=0)+IF(AND(S$5-$K$45&gt;=1,S$5-$K$45&lt;=Inputs!$C$13),INDEX($N$48:$AL$48,1,S$5-$K$45+1)*INDEX($N$49:$AL$49,1,S$5-$K$45+1),0)-$I$45*((S$5=Inputs!$C$12)*$C$47*$D$45+(S$5=Inputs!$C$13)*$D$47*($D$45+Inputs!$C$14))+$I$45*((S$5=Inputs!$C$15+$K$45)*$E$47*$I$47+(S$5=Inputs!$C$16+$K$45)*$F$47*$J$47+(S$5=Inputs!$C$17)*$G$47*$H$45*$H$47)</f>
        <v>41.16</v>
      </c>
      <c r="T50" s="42" t="n">
        <f aca="false">-($D$45+$J$45)*(T$5=0)+IF(AND(T$5-$K$45&gt;=1,T$5-$K$45&lt;=Inputs!$C$13),INDEX($N$48:$AL$48,1,T$5-$K$45+1)*INDEX($N$49:$AL$49,1,T$5-$K$45+1),0)-$I$45*((T$5=Inputs!$C$12)*$C$47*$D$45+(T$5=Inputs!$C$13)*$D$47*($D$45+Inputs!$C$14))+$I$45*((T$5=Inputs!$C$15+$K$45)*$E$47*$I$47+(T$5=Inputs!$C$16+$K$45)*$F$47*$J$47+(T$5=Inputs!$C$17)*$G$47*$H$45*$H$47)</f>
        <v>41.3233333333333</v>
      </c>
      <c r="U50" s="42" t="n">
        <f aca="false">-($D$45+$J$45)*(U$5=0)+IF(AND(U$5-$K$45&gt;=1,U$5-$K$45&lt;=Inputs!$C$13),INDEX($N$48:$AL$48,1,U$5-$K$45+1)*INDEX($N$49:$AL$49,1,U$5-$K$45+1),0)-$I$45*((U$5=Inputs!$C$12)*$C$47*$D$45+(U$5=Inputs!$C$13)*$D$47*($D$45+Inputs!$C$14))+$I$45*((U$5=Inputs!$C$15+$K$45)*$E$47*$I$47+(U$5=Inputs!$C$16+$K$45)*$F$47*$J$47+(U$5=Inputs!$C$17)*$G$47*$H$45*$H$47)</f>
        <v>41.748</v>
      </c>
      <c r="V50" s="42" t="n">
        <f aca="false">-($D$45+$J$45)*(V$5=0)+IF(AND(V$5-$K$45&gt;=1,V$5-$K$45&lt;=Inputs!$C$13),INDEX($N$48:$AL$48,1,V$5-$K$45+1)*INDEX($N$49:$AL$49,1,V$5-$K$45+1),0)-$I$45*((V$5=Inputs!$C$12)*$C$47*$D$45+(V$5=Inputs!$C$13)*$D$47*($D$45+Inputs!$C$14))+$I$45*((V$5=Inputs!$C$15+$K$45)*$E$47*$I$47+(V$5=Inputs!$C$16+$K$45)*$F$47*$J$47+(V$5=Inputs!$C$17)*$G$47*$H$45*$H$47)</f>
        <v>26.1068888888889</v>
      </c>
      <c r="W50" s="42" t="n">
        <f aca="false">-($D$45+$J$45)*(W$5=0)+IF(AND(W$5-$K$45&gt;=1,W$5-$K$45&lt;=Inputs!$C$13),INDEX($N$48:$AL$48,1,W$5-$K$45+1)*INDEX($N$49:$AL$49,1,W$5-$K$45+1),0)-$I$45*((W$5=Inputs!$C$12)*$C$47*$D$45+(W$5=Inputs!$C$13)*$D$47*($D$45+Inputs!$C$14))+$I$45*((W$5=Inputs!$C$15+$K$45)*$E$47*$I$47+(W$5=Inputs!$C$16+$K$45)*$F$47*$J$47+(W$5=Inputs!$C$17)*$G$47*$H$45*$H$47)</f>
        <v>26.3697777777778</v>
      </c>
      <c r="X50" s="42" t="n">
        <f aca="false">-($D$45+$J$45)*(X$5=0)+IF(AND(X$5-$K$45&gt;=1,X$5-$K$45&lt;=Inputs!$C$13),INDEX($N$48:$AL$48,1,X$5-$K$45+1)*INDEX($N$49:$AL$49,1,X$5-$K$45+1),0)-$I$45*((X$5=Inputs!$C$12)*$C$47*$D$45+(X$5=Inputs!$C$13)*$D$47*($D$45+Inputs!$C$14))+$I$45*((X$5=Inputs!$C$15+$K$45)*$E$47*$I$47+(X$5=Inputs!$C$16+$K$45)*$F$47*$J$47+(X$5=Inputs!$C$17)*$G$47*$H$45*$H$47)</f>
        <v>26.6326666666667</v>
      </c>
      <c r="Y50" s="42" t="n">
        <f aca="false">-($D$45+$J$45)*(Y$5=0)+IF(AND(Y$5-$K$45&gt;=1,Y$5-$K$45&lt;=Inputs!$C$13),INDEX($N$48:$AL$48,1,Y$5-$K$45+1)*INDEX($N$49:$AL$49,1,Y$5-$K$45+1),0)-$I$45*((Y$5=Inputs!$C$12)*$C$47*$D$45+(Y$5=Inputs!$C$13)*$D$47*($D$45+Inputs!$C$14))+$I$45*((Y$5=Inputs!$C$15+$K$45)*$E$47*$I$47+(Y$5=Inputs!$C$16+$K$45)*$F$47*$J$47+(Y$5=Inputs!$C$17)*$G$47*$H$45*$H$47)</f>
        <v>22.7577777777778</v>
      </c>
      <c r="Z50" s="42" t="n">
        <f aca="false">-($D$45+$J$45)*(Z$5=0)+IF(AND(Z$5-$K$45&gt;=1,Z$5-$K$45&lt;=Inputs!$C$13),INDEX($N$48:$AL$48,1,Z$5-$K$45+1)*INDEX($N$49:$AL$49,1,Z$5-$K$45+1),0)-$I$45*((Z$5=Inputs!$C$12)*$C$47*$D$45+(Z$5=Inputs!$C$13)*$D$47*($D$45+Inputs!$C$14))+$I$45*((Z$5=Inputs!$C$15+$K$45)*$E$47*$I$47+(Z$5=Inputs!$C$16+$K$45)*$F$47*$J$47+(Z$5=Inputs!$C$17)*$G$47*$H$45*$H$47)</f>
        <v>22.9802222222223</v>
      </c>
      <c r="AA50" s="42" t="n">
        <f aca="false">-($D$45+$J$45)*(AA$5=0)+IF(AND(AA$5-$K$45&gt;=1,AA$5-$K$45&lt;=Inputs!$C$13),INDEX($N$48:$AL$48,1,AA$5-$K$45+1)*INDEX($N$49:$AL$49,1,AA$5-$K$45+1),0)-$I$45*((AA$5=Inputs!$C$12)*$C$47*$D$45+(AA$5=Inputs!$C$13)*$D$47*($D$45+Inputs!$C$14))+$I$45*((AA$5=Inputs!$C$15+$K$45)*$E$47*$I$47+(AA$5=Inputs!$C$16+$K$45)*$F$47*$J$47+(AA$5=Inputs!$C$17)*$G$47*$H$45*$H$47)</f>
        <v>23.2026666666666</v>
      </c>
      <c r="AB50" s="42" t="n">
        <f aca="false">-($D$45+$J$45)*(AB$5=0)+IF(AND(AB$5-$K$45&gt;=1,AB$5-$K$45&lt;=Inputs!$C$13),INDEX($N$48:$AL$48,1,AB$5-$K$45+1)*INDEX($N$49:$AL$49,1,AB$5-$K$45+1),0)-$I$45*((AB$5=Inputs!$C$12)*$C$47*$D$45+(AB$5=Inputs!$C$13)*$D$47*($D$45+Inputs!$C$14))+$I$45*((AB$5=Inputs!$C$15+$K$45)*$E$47*$I$47+(AB$5=Inputs!$C$16+$K$45)*$F$47*$J$47+(AB$5=Inputs!$C$17)*$G$47*$H$45*$H$47)</f>
        <v>14.9068888888889</v>
      </c>
      <c r="AC50" s="42" t="n">
        <f aca="false">-($D$45+$J$45)*(AC$5=0)+IF(AND(AC$5-$K$45&gt;=1,AC$5-$K$45&lt;=Inputs!$C$13),INDEX($N$48:$AL$48,1,AC$5-$K$45+1)*INDEX($N$49:$AL$49,1,AC$5-$K$45+1),0)-$I$45*((AC$5=Inputs!$C$12)*$C$47*$D$45+(AC$5=Inputs!$C$13)*$D$47*($D$45+Inputs!$C$14))+$I$45*((AC$5=Inputs!$C$15+$K$45)*$E$47*$I$47+(AC$5=Inputs!$C$16+$K$45)*$F$47*$J$47+(AC$5=Inputs!$C$17)*$G$47*$H$45*$H$47)</f>
        <v>15.0484444444444</v>
      </c>
      <c r="AD50" s="42" t="n">
        <f aca="false">-($D$45+$J$45)*(AD$5=0)+IF(AND(AD$5-$K$45&gt;=1,AD$5-$K$45&lt;=Inputs!$C$13),INDEX($N$48:$AL$48,1,AD$5-$K$45+1)*INDEX($N$49:$AL$49,1,AD$5-$K$45+1),0)-$I$45*((AD$5=Inputs!$C$12)*$C$47*$D$45+(AD$5=Inputs!$C$13)*$D$47*($D$45+Inputs!$C$14))+$I$45*((AD$5=Inputs!$C$15+$K$45)*$E$47*$I$47+(AD$5=Inputs!$C$16+$K$45)*$F$47*$J$47+(AD$5=Inputs!$C$17)*$G$47*$H$45*$H$47)</f>
        <v>15.1900000000001</v>
      </c>
      <c r="AE50" s="42" t="n">
        <f aca="false">-($D$45+$J$45)*(AE$5=0)+IF(AND(AE$5-$K$45&gt;=1,AE$5-$K$45&lt;=Inputs!$C$13),INDEX($N$48:$AL$48,1,AE$5-$K$45+1)*INDEX($N$49:$AL$49,1,AE$5-$K$45+1),0)-$I$45*((AE$5=Inputs!$C$12)*$C$47*$D$45+(AE$5=Inputs!$C$13)*$D$47*($D$45+Inputs!$C$14))+$I$45*((AE$5=Inputs!$C$15+$K$45)*$E$47*$I$47+(AE$5=Inputs!$C$16+$K$45)*$F$47*$J$47+(AE$5=Inputs!$C$17)*$G$47*$H$45*$H$47)</f>
        <v>15.3315555555555</v>
      </c>
      <c r="AF50" s="42" t="n">
        <f aca="false">-($D$45+$J$45)*(AF$5=0)+IF(AND(AF$5-$K$45&gt;=1,AF$5-$K$45&lt;=Inputs!$C$13),INDEX($N$48:$AL$48,1,AF$5-$K$45+1)*INDEX($N$49:$AL$49,1,AF$5-$K$45+1),0)-$I$45*((AF$5=Inputs!$C$12)*$C$47*$D$45+(AF$5=Inputs!$C$13)*$D$47*($D$45+Inputs!$C$14))+$I$45*((AF$5=Inputs!$C$15+$K$45)*$E$47*$I$47+(AF$5=Inputs!$C$16+$K$45)*$F$47*$J$47+(AF$5=Inputs!$C$17)*$G$47*$H$45*$H$47)</f>
        <v>15.4731111111111</v>
      </c>
      <c r="AG50" s="42" t="n">
        <f aca="false">-($D$45+$J$45)*(AG$5=0)+IF(AND(AG$5-$K$45&gt;=1,AG$5-$K$45&lt;=Inputs!$C$13),INDEX($N$48:$AL$48,1,AG$5-$K$45+1)*INDEX($N$49:$AL$49,1,AG$5-$K$45+1),0)-$I$45*((AG$5=Inputs!$C$12)*$C$47*$D$45+(AG$5=Inputs!$C$13)*$D$47*($D$45+Inputs!$C$14))+$I$45*((AG$5=Inputs!$C$15+$K$45)*$E$47*$I$47+(AG$5=Inputs!$C$16+$K$45)*$F$47*$J$47+(AG$5=Inputs!$C$17)*$G$47*$H$45*$H$47)</f>
        <v>15.6146666666667</v>
      </c>
      <c r="AH50" s="42" t="n">
        <f aca="false">-($D$45+$J$45)*(AH$5=0)+IF(AND(AH$5-$K$45&gt;=1,AH$5-$K$45&lt;=Inputs!$C$13),INDEX($N$48:$AL$48,1,AH$5-$K$45+1)*INDEX($N$49:$AL$49,1,AH$5-$K$45+1),0)-$I$45*((AH$5=Inputs!$C$12)*$C$47*$D$45+(AH$5=Inputs!$C$13)*$D$47*($D$45+Inputs!$C$14))+$I$45*((AH$5=Inputs!$C$15+$K$45)*$E$47*$I$47+(AH$5=Inputs!$C$16+$K$45)*$F$47*$J$47+(AH$5=Inputs!$C$17)*$G$47*$H$45*$H$47)</f>
        <v>11.2544444444445</v>
      </c>
      <c r="AI50" s="42" t="n">
        <f aca="false">-($D$45+$J$45)*(AI$5=0)+IF(AND(AI$5-$K$45&gt;=1,AI$5-$K$45&lt;=Inputs!$C$13),INDEX($N$48:$AL$48,1,AI$5-$K$45+1)*INDEX($N$49:$AL$49,1,AI$5-$K$45+1),0)-$I$45*((AI$5=Inputs!$C$12)*$C$47*$D$45+(AI$5=Inputs!$C$13)*$D$47*($D$45+Inputs!$C$14))+$I$45*((AI$5=Inputs!$C$15+$K$45)*$E$47*$I$47+(AI$5=Inputs!$C$16+$K$45)*$F$47*$J$47+(AI$5=Inputs!$C$17)*$G$47*$H$45*$H$47)</f>
        <v>11.3555555555555</v>
      </c>
      <c r="AJ50" s="42" t="n">
        <f aca="false">-($D$45+$J$45)*(AJ$5=0)+IF(AND(AJ$5-$K$45&gt;=1,AJ$5-$K$45&lt;=Inputs!$C$13),INDEX($N$48:$AL$48,1,AJ$5-$K$45+1)*INDEX($N$49:$AL$49,1,AJ$5-$K$45+1),0)-$I$45*((AJ$5=Inputs!$C$12)*$C$47*$D$45+(AJ$5=Inputs!$C$13)*$D$47*($D$45+Inputs!$C$14))+$I$45*((AJ$5=Inputs!$C$15+$K$45)*$E$47*$I$47+(AJ$5=Inputs!$C$16+$K$45)*$F$47*$J$47+(AJ$5=Inputs!$C$17)*$G$47*$H$45*$H$47)</f>
        <v>11.4566666666666</v>
      </c>
      <c r="AK50" s="42" t="n">
        <f aca="false">-($D$45+$J$45)*(AK$5=0)+IF(AND(AK$5-$K$45&gt;=1,AK$5-$K$45&lt;=Inputs!$C$13),INDEX($N$48:$AL$48,1,AK$5-$K$45+1)*INDEX($N$49:$AL$49,1,AK$5-$K$45+1),0)-$I$45*((AK$5=Inputs!$C$12)*$C$47*$D$45+(AK$5=Inputs!$C$13)*$D$47*($D$45+Inputs!$C$14))+$I$45*((AK$5=Inputs!$C$15+$K$45)*$E$47*$I$47+(AK$5=Inputs!$C$16+$K$45)*$F$47*$J$47+(AK$5=Inputs!$C$17)*$G$47*$H$45*$H$47)</f>
        <v>11.5577777777778</v>
      </c>
      <c r="AL50" s="42" t="n">
        <f aca="false">-($D$45+$J$45)*(AL$5=0)+IF(AND(AL$5-$K$45&gt;=1,AL$5-$K$45&lt;=Inputs!$C$13),INDEX($N$48:$AL$48,1,AL$5-$K$45+1)*INDEX($N$49:$AL$49,1,AL$5-$K$45+1),0)-$I$45*((AL$5=Inputs!$C$12)*$C$47*$D$45+(AL$5=Inputs!$C$13)*$D$47*($D$45+Inputs!$C$14))+$I$45*((AL$5=Inputs!$C$15+$K$45)*$E$47*$I$47+(AL$5=Inputs!$C$16+$K$45)*$F$47*$J$47+(AL$5=Inputs!$C$17)*$G$47*$H$45*$H$47)</f>
        <v>11.6588888888889</v>
      </c>
      <c r="AM50" s="42" t="n">
        <f aca="false">-($D$45+$J$45)*(AM$5=0)+IF(AND(AM$5-$K$45&gt;=1,AM$5-$K$45&lt;=Inputs!$C$13),INDEX($N$48:$AL$48,1,AM$5-$K$45+1)*INDEX($N$49:$AL$49,1,AM$5-$K$45+1),0)-$I$45*((AM$5=Inputs!$C$12)*$C$47*$D$45+(AM$5=Inputs!$C$13)*$D$47*($D$45+Inputs!$C$14))+$I$45*((AM$5=Inputs!$C$15+$K$45)*$E$47*$I$47+(AM$5=Inputs!$C$16+$K$45)*$F$47*$J$47+(AM$5=Inputs!$C$17)*$G$47*$H$45*$H$47)</f>
        <v>11.76</v>
      </c>
      <c r="AN50" s="42" t="n">
        <f aca="false">-($D$45+$J$45)*(AN$5=0)+IF(AND(AN$5-$K$45&gt;=1,AN$5-$K$45&lt;=Inputs!$C$13),INDEX($N$48:$AL$48,1,AN$5-$K$45+1)*INDEX($N$49:$AL$49,1,AN$5-$K$45+1),0)-$I$45*((AN$5=Inputs!$C$12)*$C$47*$D$45+(AN$5=Inputs!$C$13)*$D$47*($D$45+Inputs!$C$14))+$I$45*((AN$5=Inputs!$C$15+$K$45)*$E$47*$I$47+(AN$5=Inputs!$C$16+$K$45)*$F$47*$J$47+(AN$5=Inputs!$C$17)*$G$47*$H$45*$H$47)</f>
        <v>0</v>
      </c>
      <c r="AO50" s="42" t="n">
        <f aca="false">-($D$45+$J$45)*(AO$5=0)+IF(AND(AO$5-$K$45&gt;=1,AO$5-$K$45&lt;=Inputs!$C$13),INDEX($N$48:$AL$48,1,AO$5-$K$45+1)*INDEX($N$49:$AL$49,1,AO$5-$K$45+1),0)-$I$45*((AO$5=Inputs!$C$12)*$C$47*$D$45+(AO$5=Inputs!$C$13)*$D$47*($D$45+Inputs!$C$14))+$I$45*((AO$5=Inputs!$C$15+$K$45)*$E$47*$I$47+(AO$5=Inputs!$C$16+$K$45)*$F$47*$J$47+(AO$5=Inputs!$C$17)*$G$47*$H$45*$H$47)</f>
        <v>0</v>
      </c>
      <c r="AP50" s="42" t="n">
        <f aca="false">-($D$45+$J$45)*(AP$5=0)+IF(AND(AP$5-$K$45&gt;=1,AP$5-$K$45&lt;=Inputs!$C$13),INDEX($N$48:$AL$48,1,AP$5-$K$45+1)*INDEX($N$49:$AL$49,1,AP$5-$K$45+1),0)-$I$45*((AP$5=Inputs!$C$12)*$C$47*$D$45+(AP$5=Inputs!$C$13)*$D$47*($D$45+Inputs!$C$14))+$I$45*((AP$5=Inputs!$C$15+$K$45)*$E$47*$I$47+(AP$5=Inputs!$C$16+$K$45)*$F$47*$J$47+(AP$5=Inputs!$C$17)*$G$47*$H$45*$H$47)</f>
        <v>0</v>
      </c>
      <c r="AQ50" s="42" t="n">
        <f aca="false">-($D$45+$J$45)*(AQ$5=0)+IF(AND(AQ$5-$K$45&gt;=1,AQ$5-$K$45&lt;=Inputs!$C$13),INDEX($N$48:$AL$48,1,AQ$5-$K$45+1)*INDEX($N$49:$AL$49,1,AQ$5-$K$45+1),0)-$I$45*((AQ$5=Inputs!$C$12)*$C$47*$D$45+(AQ$5=Inputs!$C$13)*$D$47*($D$45+Inputs!$C$14))+$I$45*((AQ$5=Inputs!$C$15+$K$45)*$E$47*$I$47+(AQ$5=Inputs!$C$16+$K$45)*$F$47*$J$47+(AQ$5=Inputs!$C$17)*$G$47*$H$45*$H$47)</f>
        <v>0</v>
      </c>
      <c r="AR50" s="42" t="n">
        <f aca="false">-($D$45+$J$45)*(AR$5=0)+IF(AND(AR$5-$K$45&gt;=1,AR$5-$K$45&lt;=Inputs!$C$13),INDEX($N$48:$AL$48,1,AR$5-$K$45+1)*INDEX($N$49:$AL$49,1,AR$5-$K$45+1),0)-$I$45*((AR$5=Inputs!$C$12)*$C$47*$D$45+(AR$5=Inputs!$C$13)*$D$47*($D$45+Inputs!$C$14))+$I$45*((AR$5=Inputs!$C$15+$K$45)*$E$47*$I$47+(AR$5=Inputs!$C$16+$K$45)*$F$47*$J$47+(AR$5=Inputs!$C$17)*$G$47*$H$45*$H$47)</f>
        <v>0</v>
      </c>
      <c r="AS50" s="42" t="n">
        <f aca="false">-($D$45+$J$45)*(AS$5=0)+IF(AND(AS$5-$K$45&gt;=1,AS$5-$K$45&lt;=Inputs!$C$13),INDEX($N$48:$AL$48,1,AS$5-$K$45+1)*INDEX($N$49:$AL$49,1,AS$5-$K$45+1),0)-$I$45*((AS$5=Inputs!$C$12)*$C$47*$D$45+(AS$5=Inputs!$C$13)*$D$47*($D$45+Inputs!$C$14))+$I$45*((AS$5=Inputs!$C$15+$K$45)*$E$47*$I$47+(AS$5=Inputs!$C$16+$K$45)*$F$47*$J$47+(AS$5=Inputs!$C$17)*$G$47*$H$45*$H$47)</f>
        <v>0</v>
      </c>
      <c r="AT50" s="42" t="n">
        <f aca="false">-($D$45+$J$45)*(AT$5=0)+IF(AND(AT$5-$K$45&gt;=1,AT$5-$K$45&lt;=Inputs!$C$13),INDEX($N$48:$AL$48,1,AT$5-$K$45+1)*INDEX($N$49:$AL$49,1,AT$5-$K$45+1),0)-$I$45*((AT$5=Inputs!$C$12)*$C$47*$D$45+(AT$5=Inputs!$C$13)*$D$47*($D$45+Inputs!$C$14))+$I$45*((AT$5=Inputs!$C$15+$K$45)*$E$47*$I$47+(AT$5=Inputs!$C$16+$K$45)*$F$47*$J$47+(AT$5=Inputs!$C$17)*$G$47*$H$45*$H$47)</f>
        <v>0</v>
      </c>
      <c r="AU50" s="42" t="n">
        <f aca="false">-($D$45+$J$45)*(AU$5=0)+IF(AND(AU$5-$K$45&gt;=1,AU$5-$K$45&lt;=Inputs!$C$13),INDEX($N$48:$AL$48,1,AU$5-$K$45+1)*INDEX($N$49:$AL$49,1,AU$5-$K$45+1),0)-$I$45*((AU$5=Inputs!$C$12)*$C$47*$D$45+(AU$5=Inputs!$C$13)*$D$47*($D$45+Inputs!$C$14))+$I$45*((AU$5=Inputs!$C$15+$K$45)*$E$47*$I$47+(AU$5=Inputs!$C$16+$K$45)*$F$47*$J$47+(AU$5=Inputs!$C$17)*$G$47*$H$45*$H$47)</f>
        <v>0</v>
      </c>
      <c r="AV50" s="42" t="n">
        <f aca="false">-($D$45+$J$45)*(AV$5=0)+IF(AND(AV$5-$K$45&gt;=1,AV$5-$K$45&lt;=Inputs!$C$13),INDEX($N$48:$AL$48,1,AV$5-$K$45+1)*INDEX($N$49:$AL$49,1,AV$5-$K$45+1),0)-$I$45*((AV$5=Inputs!$C$12)*$C$47*$D$45+(AV$5=Inputs!$C$13)*$D$47*($D$45+Inputs!$C$14))+$I$45*((AV$5=Inputs!$C$15+$K$45)*$E$47*$I$47+(AV$5=Inputs!$C$16+$K$45)*$F$47*$J$47+(AV$5=Inputs!$C$17)*$G$47*$H$45*$H$47)</f>
        <v>0</v>
      </c>
      <c r="AW50" s="42" t="n">
        <f aca="false">-($D$45+$J$45)*(AW$5=0)+IF(AND(AW$5-$K$45&gt;=1,AW$5-$K$45&lt;=Inputs!$C$13),INDEX($N$48:$AL$48,1,AW$5-$K$45+1)*INDEX($N$49:$AL$49,1,AW$5-$K$45+1),0)-$I$45*((AW$5=Inputs!$C$12)*$C$47*$D$45+(AW$5=Inputs!$C$13)*$D$47*($D$45+Inputs!$C$14))+$I$45*((AW$5=Inputs!$C$15+$K$45)*$E$47*$I$47+(AW$5=Inputs!$C$16+$K$45)*$F$47*$J$47+(AW$5=Inputs!$C$17)*$G$47*$H$45*$H$47)</f>
        <v>0</v>
      </c>
      <c r="AX50" s="42" t="n">
        <f aca="false">-($D$45+$J$45)*(AX$5=0)+IF(AND(AX$5-$K$45&gt;=1,AX$5-$K$45&lt;=Inputs!$C$13),INDEX($N$48:$AL$48,1,AX$5-$K$45+1)*INDEX($N$49:$AL$49,1,AX$5-$K$45+1),0)-$I$45*((AX$5=Inputs!$C$12)*$C$47*$D$45+(AX$5=Inputs!$C$13)*$D$47*($D$45+Inputs!$C$14))+$I$45*((AX$5=Inputs!$C$15+$K$45)*$E$47*$I$47+(AX$5=Inputs!$C$16+$K$45)*$F$47*$J$47+(AX$5=Inputs!$C$17)*$G$47*$H$45*$H$47)</f>
        <v>0</v>
      </c>
      <c r="AY50" s="42" t="n">
        <f aca="false">-($D$45+$J$45)*(AY$5=0)+IF(AND(AY$5-$K$45&gt;=1,AY$5-$K$45&lt;=Inputs!$C$13),INDEX($N$48:$AL$48,1,AY$5-$K$45+1)*INDEX($N$49:$AL$49,1,AY$5-$K$45+1),0)-$I$45*((AY$5=Inputs!$C$12)*$C$47*$D$45+(AY$5=Inputs!$C$13)*$D$47*($D$45+Inputs!$C$14))+$I$45*((AY$5=Inputs!$C$15+$K$45)*$E$47*$I$47+(AY$5=Inputs!$C$16+$K$45)*$F$47*$J$47+(AY$5=Inputs!$C$17)*$G$47*$H$45*$H$47)</f>
        <v>0</v>
      </c>
    </row>
    <row r="52" customFormat="false" ht="15" hidden="false" customHeight="false" outlineLevel="0" collapsed="false">
      <c r="B52" s="7" t="s">
        <v>246</v>
      </c>
      <c r="C52" s="8"/>
      <c r="D52" s="8"/>
      <c r="E52" s="8"/>
      <c r="F52" s="8"/>
      <c r="G52" s="8"/>
      <c r="H52" s="8"/>
      <c r="I52" s="8"/>
      <c r="J52" s="8"/>
      <c r="K52" s="8"/>
      <c r="L52" s="8"/>
    </row>
    <row r="53" customFormat="false" ht="30" hidden="false" customHeight="true" outlineLevel="0" collapsed="false">
      <c r="B53" s="37"/>
      <c r="C53" s="38" t="s">
        <v>169</v>
      </c>
      <c r="D53" s="38" t="s">
        <v>170</v>
      </c>
      <c r="E53" s="38" t="s">
        <v>171</v>
      </c>
      <c r="F53" s="38" t="s">
        <v>43</v>
      </c>
      <c r="G53" s="38" t="s">
        <v>44</v>
      </c>
      <c r="H53" s="38" t="s">
        <v>45</v>
      </c>
      <c r="I53" s="38" t="s">
        <v>172</v>
      </c>
      <c r="J53" s="38" t="s">
        <v>90</v>
      </c>
      <c r="K53" s="38" t="s">
        <v>89</v>
      </c>
      <c r="L53" s="38" t="s">
        <v>173</v>
      </c>
    </row>
    <row r="54" customFormat="false" ht="15" hidden="false" customHeight="false" outlineLevel="0" collapsed="false">
      <c r="B54" s="39" t="s">
        <v>174</v>
      </c>
      <c r="C54" s="26" t="n">
        <f aca="false">Inputs!$F$39*Inputs!$E$56</f>
        <v>0.005</v>
      </c>
      <c r="D54" s="30" t="n">
        <f aca="false">Inputs!$E$39</f>
        <v>4200</v>
      </c>
      <c r="E54" s="26" t="n">
        <f aca="false">IF(Inputs!$G$39=1,Inputs!$F$27,MIN(1,MAX(0,INDEX(Inputs!$F$23:$F$27,MATCH(Inputs!$C$39,Inputs!$B$23:$B$27,0))+INDEX(Inputs!$C$48:$C$51,MATCH(Inputs!$D$56,Inputs!$B$48:$B$51,0)))))</f>
        <v>0.985</v>
      </c>
      <c r="F54" s="25" t="n">
        <f aca="false">IF(Inputs!$G$39=1,Inputs!$G$27,INDEX(Inputs!$G$23:$G$27,MATCH(Inputs!$C$39,Inputs!$B$23:$B$27,0)))</f>
        <v>0.8</v>
      </c>
      <c r="G54" s="25" t="n">
        <f aca="false">IF(Inputs!$G$39=1,Inputs!$H$27,INDEX(Inputs!$H$23:$H$27,MATCH(Inputs!$C$39,Inputs!$B$23:$B$27,0)))*INDEX(Inputs!$D$48:$D$51,MATCH(Inputs!$D$56,Inputs!$B$48:$B$51,0))</f>
        <v>0.95</v>
      </c>
      <c r="H54" s="25" t="n">
        <f aca="false">MAX(0,IF(Inputs!$G$39=1,Inputs!$I$27,INDEX(Inputs!$I$23:$I$27,MATCH(Inputs!$C$39,Inputs!$B$23:$B$27,0)))+INDEX(Inputs!$E$48:$E$51,MATCH(Inputs!$D$56,Inputs!$B$48:$B$51,0)))</f>
        <v>0.9</v>
      </c>
      <c r="I54" s="22" t="n">
        <f aca="false">IF(Inputs!$G$39=1,0,INDEX(Inputs!$J$23:$J$27,MATCH(Inputs!$C$39,Inputs!$B$23:$B$27,0)))</f>
        <v>1</v>
      </c>
      <c r="J54" s="23" t="n">
        <f aca="false">Inputs!$G$56</f>
        <v>10</v>
      </c>
      <c r="K54" s="22" t="n">
        <f aca="false">Inputs!$F$56</f>
        <v>1</v>
      </c>
      <c r="L54" s="22" t="n">
        <f aca="false">Inputs!$C$56</f>
        <v>2</v>
      </c>
    </row>
    <row r="55" customFormat="false" ht="30" hidden="false" customHeight="true" outlineLevel="0" collapsed="false">
      <c r="B55" s="37"/>
      <c r="C55" s="38" t="s">
        <v>175</v>
      </c>
      <c r="D55" s="38" t="s">
        <v>176</v>
      </c>
      <c r="E55" s="38" t="s">
        <v>177</v>
      </c>
      <c r="F55" s="38" t="s">
        <v>178</v>
      </c>
      <c r="G55" s="38" t="s">
        <v>112</v>
      </c>
      <c r="H55" s="38" t="s">
        <v>179</v>
      </c>
      <c r="I55" s="38" t="s">
        <v>180</v>
      </c>
      <c r="J55" s="38" t="s">
        <v>181</v>
      </c>
      <c r="K55" s="38" t="s">
        <v>182</v>
      </c>
      <c r="L55" s="38" t="s">
        <v>183</v>
      </c>
    </row>
    <row r="56" customFormat="false" ht="15" hidden="false" customHeight="false" outlineLevel="0" collapsed="false">
      <c r="B56" s="39" t="s">
        <v>184</v>
      </c>
      <c r="C56" s="40" t="n">
        <f aca="false">1-$E$54*CHOOSE($L$54,INDEX(Timing!$C$7:$AA$7,1,Inputs!$C$12+1),INDEX(Timing!$C$8:$AA$8,1,Inputs!$C$12+1))</f>
        <v>0.3893</v>
      </c>
      <c r="D56" s="40" t="n">
        <f aca="false">1-$E$54*CHOOSE($L$54,INDEX(Timing!$C$7:$AA$7,1,Inputs!$C$13+1),INDEX(Timing!$C$8:$AA$8,1,Inputs!$C$13+1))</f>
        <v>0.015</v>
      </c>
      <c r="E56" s="40" t="n">
        <f aca="false">$I$54*$D$56*$F$54</f>
        <v>0.012</v>
      </c>
      <c r="F56" s="40" t="n">
        <f aca="false">$I$54*($D$56-$E$56)*$G$54</f>
        <v>0.00285</v>
      </c>
      <c r="G56" s="40" t="n">
        <f aca="false">$I$54*($D$56-$E$56-$F$56)</f>
        <v>0.00015</v>
      </c>
      <c r="H56" s="23" t="n">
        <f aca="false">$I$54*(3*$D$54+Inputs!$C$14)</f>
        <v>14400</v>
      </c>
      <c r="I56" s="23" t="n">
        <f aca="false">$I$54*($D$54*(1+IF($C$54&lt;=0,0,MAX($C$54*Inputs!$C$15/12,Inputs!$C$8)))+$D$54*(1+Inputs!$C$11*(Inputs!$C$15-Inputs!$C$12)/12)+$D$54*(1+Inputs!$C$11*(Inputs!$C$15-Inputs!$C$13)/12)+Inputs!$C$14)</f>
        <v>15744</v>
      </c>
      <c r="J56" s="23" t="n">
        <f aca="false">$I$54*($D$54*(1+IF($C$54&lt;=0,0,MAX($C$54*Inputs!$C$16/12,Inputs!$C$8)))+$D$54*(1+Inputs!$C$11*(Inputs!$C$16-Inputs!$C$12)/12)+$D$54*(1+Inputs!$C$11*(Inputs!$C$16-Inputs!$C$13)/12)+Inputs!$C$14)</f>
        <v>16122</v>
      </c>
      <c r="K56" s="40" t="n">
        <f aca="false">IRR($N$59:$AY$59,0.005)</f>
        <v>0.00561700582833412</v>
      </c>
      <c r="L56" s="41" t="n">
        <f aca="false">(1+$K$56)^12-1</f>
        <v>0.0695259055105764</v>
      </c>
    </row>
    <row r="57" customFormat="false" ht="15" hidden="false" customHeight="false" outlineLevel="0" collapsed="false">
      <c r="B57" s="9" t="s">
        <v>185</v>
      </c>
      <c r="N57" s="40" t="n">
        <f aca="false">0</f>
        <v>0</v>
      </c>
      <c r="O57" s="40" t="n">
        <f aca="false">$E$54*(CHOOSE($L$54,Timing!D$7,Timing!D$8)-CHOOSE($L$54,Timing!C$7,Timing!C$8))</f>
        <v>0.0591</v>
      </c>
      <c r="P57" s="40" t="n">
        <f aca="false">$E$54*(CHOOSE($L$54,Timing!E$7,Timing!E$8)-CHOOSE($L$54,Timing!D$7,Timing!D$8))</f>
        <v>0.0591</v>
      </c>
      <c r="Q57" s="40" t="n">
        <f aca="false">$E$54*(CHOOSE($L$54,Timing!F$7,Timing!F$8)-CHOOSE($L$54,Timing!E$7,Timing!E$8))</f>
        <v>0.0591</v>
      </c>
      <c r="R57" s="40" t="n">
        <f aca="false">$E$54*(CHOOSE($L$54,Timing!G$7,Timing!G$8)-CHOOSE($L$54,Timing!F$7,Timing!F$8))</f>
        <v>0.0591</v>
      </c>
      <c r="S57" s="40" t="n">
        <f aca="false">$E$54*(CHOOSE($L$54,Timing!H$7,Timing!H$8)-CHOOSE($L$54,Timing!G$7,Timing!G$8))</f>
        <v>0.0591</v>
      </c>
      <c r="T57" s="40" t="n">
        <f aca="false">$E$54*(CHOOSE($L$54,Timing!I$7,Timing!I$8)-CHOOSE($L$54,Timing!H$7,Timing!H$8))</f>
        <v>0.0591</v>
      </c>
      <c r="U57" s="40" t="n">
        <f aca="false">$E$54*(CHOOSE($L$54,Timing!J$7,Timing!J$8)-CHOOSE($L$54,Timing!I$7,Timing!I$8))</f>
        <v>0.0459666666666667</v>
      </c>
      <c r="V57" s="40" t="n">
        <f aca="false">$E$54*(CHOOSE($L$54,Timing!K$7,Timing!K$8)-CHOOSE($L$54,Timing!J$7,Timing!J$8))</f>
        <v>0.0459666666666666</v>
      </c>
      <c r="W57" s="40" t="n">
        <f aca="false">$E$54*(CHOOSE($L$54,Timing!L$7,Timing!L$8)-CHOOSE($L$54,Timing!K$7,Timing!K$8))</f>
        <v>0.0459666666666667</v>
      </c>
      <c r="X57" s="40" t="n">
        <f aca="false">$E$54*(CHOOSE($L$54,Timing!M$7,Timing!M$8)-CHOOSE($L$54,Timing!L$7,Timing!L$8))</f>
        <v>0.0394</v>
      </c>
      <c r="Y57" s="40" t="n">
        <f aca="false">$E$54*(CHOOSE($L$54,Timing!N$7,Timing!N$8)-CHOOSE($L$54,Timing!M$7,Timing!M$8))</f>
        <v>0.0393999999999999</v>
      </c>
      <c r="Z57" s="40" t="n">
        <f aca="false">$E$54*(CHOOSE($L$54,Timing!O$7,Timing!O$8)-CHOOSE($L$54,Timing!N$7,Timing!N$8))</f>
        <v>0.0394</v>
      </c>
      <c r="AA57" s="40" t="n">
        <f aca="false">$E$54*(CHOOSE($L$54,Timing!P$7,Timing!P$8)-CHOOSE($L$54,Timing!O$7,Timing!O$8))</f>
        <v>0.0328333333333333</v>
      </c>
      <c r="AB57" s="40" t="n">
        <f aca="false">$E$54*(CHOOSE($L$54,Timing!Q$7,Timing!Q$8)-CHOOSE($L$54,Timing!P$7,Timing!P$8))</f>
        <v>0.0328333333333333</v>
      </c>
      <c r="AC57" s="40" t="n">
        <f aca="false">$E$54*(CHOOSE($L$54,Timing!R$7,Timing!R$8)-CHOOSE($L$54,Timing!Q$7,Timing!Q$8))</f>
        <v>0.0328333333333333</v>
      </c>
      <c r="AD57" s="40" t="n">
        <f aca="false">$E$54*(CHOOSE($L$54,Timing!S$7,Timing!S$8)-CHOOSE($L$54,Timing!R$7,Timing!R$8))</f>
        <v>0.0328333333333333</v>
      </c>
      <c r="AE57" s="40" t="n">
        <f aca="false">$E$54*(CHOOSE($L$54,Timing!T$7,Timing!T$8)-CHOOSE($L$54,Timing!S$7,Timing!S$8))</f>
        <v>0.0328333333333333</v>
      </c>
      <c r="AF57" s="40" t="n">
        <f aca="false">$E$54*(CHOOSE($L$54,Timing!U$7,Timing!U$8)-CHOOSE($L$54,Timing!T$7,Timing!T$8))</f>
        <v>0.0328333333333333</v>
      </c>
      <c r="AG57" s="40" t="n">
        <f aca="false">$E$54*(CHOOSE($L$54,Timing!V$7,Timing!V$8)-CHOOSE($L$54,Timing!U$7,Timing!U$8))</f>
        <v>0.02955</v>
      </c>
      <c r="AH57" s="40" t="n">
        <f aca="false">$E$54*(CHOOSE($L$54,Timing!W$7,Timing!W$8)-CHOOSE($L$54,Timing!V$7,Timing!V$8))</f>
        <v>0.02955</v>
      </c>
      <c r="AI57" s="40" t="n">
        <f aca="false">$E$54*(CHOOSE($L$54,Timing!X$7,Timing!X$8)-CHOOSE($L$54,Timing!W$7,Timing!W$8))</f>
        <v>0.0295499999999999</v>
      </c>
      <c r="AJ57" s="40" t="n">
        <f aca="false">$E$54*(CHOOSE($L$54,Timing!Y$7,Timing!Y$8)-CHOOSE($L$54,Timing!X$7,Timing!X$8))</f>
        <v>0.02955</v>
      </c>
      <c r="AK57" s="40" t="n">
        <f aca="false">$E$54*(CHOOSE($L$54,Timing!Z$7,Timing!Z$8)-CHOOSE($L$54,Timing!Y$7,Timing!Y$8))</f>
        <v>0.02955</v>
      </c>
      <c r="AL57" s="40" t="n">
        <f aca="false">$E$54*(CHOOSE($L$54,Timing!AA$7,Timing!AA$8)-CHOOSE($L$54,Timing!Z$7,Timing!Z$8))</f>
        <v>0.02955</v>
      </c>
    </row>
    <row r="58" customFormat="false" ht="15" hidden="false" customHeight="false" outlineLevel="0" collapsed="false">
      <c r="B58" s="9" t="s">
        <v>186</v>
      </c>
      <c r="N58" s="42" t="n">
        <f aca="false">0</f>
        <v>0</v>
      </c>
      <c r="O58" s="42" t="n">
        <f aca="false">$D$54*(1+IF($C$54&lt;=0,0,MAX($C$54*O$5/12,Inputs!$C$8)))+$I$54*(O$5&gt;Inputs!$C$12)*$D$54*(1+Inputs!$C$11*(O$5-Inputs!$C$12)/12)</f>
        <v>4410</v>
      </c>
      <c r="P58" s="42" t="n">
        <f aca="false">$D$54*(1+IF($C$54&lt;=0,0,MAX($C$54*P$5/12,Inputs!$C$8)))+$I$54*(P$5&gt;Inputs!$C$12)*$D$54*(1+Inputs!$C$11*(P$5-Inputs!$C$12)/12)</f>
        <v>4410</v>
      </c>
      <c r="Q58" s="42" t="n">
        <f aca="false">$D$54*(1+IF($C$54&lt;=0,0,MAX($C$54*Q$5/12,Inputs!$C$8)))+$I$54*(Q$5&gt;Inputs!$C$12)*$D$54*(1+Inputs!$C$11*(Q$5-Inputs!$C$12)/12)</f>
        <v>4410</v>
      </c>
      <c r="R58" s="42" t="n">
        <f aca="false">$D$54*(1+IF($C$54&lt;=0,0,MAX($C$54*R$5/12,Inputs!$C$8)))+$I$54*(R$5&gt;Inputs!$C$12)*$D$54*(1+Inputs!$C$11*(R$5-Inputs!$C$12)/12)</f>
        <v>4410</v>
      </c>
      <c r="S58" s="42" t="n">
        <f aca="false">$D$54*(1+IF($C$54&lt;=0,0,MAX($C$54*S$5/12,Inputs!$C$8)))+$I$54*(S$5&gt;Inputs!$C$12)*$D$54*(1+Inputs!$C$11*(S$5-Inputs!$C$12)/12)</f>
        <v>4410</v>
      </c>
      <c r="T58" s="42" t="n">
        <f aca="false">$D$54*(1+IF($C$54&lt;=0,0,MAX($C$54*T$5/12,Inputs!$C$8)))+$I$54*(T$5&gt;Inputs!$C$12)*$D$54*(1+Inputs!$C$11*(T$5-Inputs!$C$12)/12)</f>
        <v>4410</v>
      </c>
      <c r="U58" s="42" t="n">
        <f aca="false">$D$54*(1+IF($C$54&lt;=0,0,MAX($C$54*U$5/12,Inputs!$C$8)))+$I$54*(U$5&gt;Inputs!$C$12)*$D$54*(1+Inputs!$C$11*(U$5-Inputs!$C$12)/12)</f>
        <v>4410</v>
      </c>
      <c r="V58" s="42" t="n">
        <f aca="false">$D$54*(1+IF($C$54&lt;=0,0,MAX($C$54*V$5/12,Inputs!$C$8)))+$I$54*(V$5&gt;Inputs!$C$12)*$D$54*(1+Inputs!$C$11*(V$5-Inputs!$C$12)/12)</f>
        <v>4410</v>
      </c>
      <c r="W58" s="42" t="n">
        <f aca="false">$D$54*(1+IF($C$54&lt;=0,0,MAX($C$54*W$5/12,Inputs!$C$8)))+$I$54*(W$5&gt;Inputs!$C$12)*$D$54*(1+Inputs!$C$11*(W$5-Inputs!$C$12)/12)</f>
        <v>4410</v>
      </c>
      <c r="X58" s="42" t="n">
        <f aca="false">$D$54*(1+IF($C$54&lt;=0,0,MAX($C$54*X$5/12,Inputs!$C$8)))+$I$54*(X$5&gt;Inputs!$C$12)*$D$54*(1+Inputs!$C$11*(X$5-Inputs!$C$12)/12)</f>
        <v>4410</v>
      </c>
      <c r="Y58" s="42" t="n">
        <f aca="false">$D$54*(1+IF($C$54&lt;=0,0,MAX($C$54*Y$5/12,Inputs!$C$8)))+$I$54*(Y$5&gt;Inputs!$C$12)*$D$54*(1+Inputs!$C$11*(Y$5-Inputs!$C$12)/12)</f>
        <v>4410</v>
      </c>
      <c r="Z58" s="42" t="n">
        <f aca="false">$D$54*(1+IF($C$54&lt;=0,0,MAX($C$54*Z$5/12,Inputs!$C$8)))+$I$54*(Z$5&gt;Inputs!$C$12)*$D$54*(1+Inputs!$C$11*(Z$5-Inputs!$C$12)/12)</f>
        <v>4410</v>
      </c>
      <c r="AA58" s="42" t="n">
        <f aca="false">$D$54*(1+IF($C$54&lt;=0,0,MAX($C$54*AA$5/12,Inputs!$C$8)))+$I$54*(AA$5&gt;Inputs!$C$12)*$D$54*(1+Inputs!$C$11*(AA$5-Inputs!$C$12)/12)</f>
        <v>8673</v>
      </c>
      <c r="AB58" s="42" t="n">
        <f aca="false">$D$54*(1+IF($C$54&lt;=0,0,MAX($C$54*AB$5/12,Inputs!$C$8)))+$I$54*(AB$5&gt;Inputs!$C$12)*$D$54*(1+Inputs!$C$11*(AB$5-Inputs!$C$12)/12)</f>
        <v>8736</v>
      </c>
      <c r="AC58" s="42" t="n">
        <f aca="false">$D$54*(1+IF($C$54&lt;=0,0,MAX($C$54*AC$5/12,Inputs!$C$8)))+$I$54*(AC$5&gt;Inputs!$C$12)*$D$54*(1+Inputs!$C$11*(AC$5-Inputs!$C$12)/12)</f>
        <v>8799</v>
      </c>
      <c r="AD58" s="42" t="n">
        <f aca="false">$D$54*(1+IF($C$54&lt;=0,0,MAX($C$54*AD$5/12,Inputs!$C$8)))+$I$54*(AD$5&gt;Inputs!$C$12)*$D$54*(1+Inputs!$C$11*(AD$5-Inputs!$C$12)/12)</f>
        <v>8862</v>
      </c>
      <c r="AE58" s="42" t="n">
        <f aca="false">$D$54*(1+IF($C$54&lt;=0,0,MAX($C$54*AE$5/12,Inputs!$C$8)))+$I$54*(AE$5&gt;Inputs!$C$12)*$D$54*(1+Inputs!$C$11*(AE$5-Inputs!$C$12)/12)</f>
        <v>8925</v>
      </c>
      <c r="AF58" s="42" t="n">
        <f aca="false">$D$54*(1+IF($C$54&lt;=0,0,MAX($C$54*AF$5/12,Inputs!$C$8)))+$I$54*(AF$5&gt;Inputs!$C$12)*$D$54*(1+Inputs!$C$11*(AF$5-Inputs!$C$12)/12)</f>
        <v>8988</v>
      </c>
      <c r="AG58" s="42" t="n">
        <f aca="false">$D$54*(1+IF($C$54&lt;=0,0,MAX($C$54*AG$5/12,Inputs!$C$8)))+$I$54*(AG$5&gt;Inputs!$C$12)*$D$54*(1+Inputs!$C$11*(AG$5-Inputs!$C$12)/12)</f>
        <v>9051</v>
      </c>
      <c r="AH58" s="42" t="n">
        <f aca="false">$D$54*(1+IF($C$54&lt;=0,0,MAX($C$54*AH$5/12,Inputs!$C$8)))+$I$54*(AH$5&gt;Inputs!$C$12)*$D$54*(1+Inputs!$C$11*(AH$5-Inputs!$C$12)/12)</f>
        <v>9114</v>
      </c>
      <c r="AI58" s="42" t="n">
        <f aca="false">$D$54*(1+IF($C$54&lt;=0,0,MAX($C$54*AI$5/12,Inputs!$C$8)))+$I$54*(AI$5&gt;Inputs!$C$12)*$D$54*(1+Inputs!$C$11*(AI$5-Inputs!$C$12)/12)</f>
        <v>9177</v>
      </c>
      <c r="AJ58" s="42" t="n">
        <f aca="false">$D$54*(1+IF($C$54&lt;=0,0,MAX($C$54*AJ$5/12,Inputs!$C$8)))+$I$54*(AJ$5&gt;Inputs!$C$12)*$D$54*(1+Inputs!$C$11*(AJ$5-Inputs!$C$12)/12)</f>
        <v>9240</v>
      </c>
      <c r="AK58" s="42" t="n">
        <f aca="false">$D$54*(1+IF($C$54&lt;=0,0,MAX($C$54*AK$5/12,Inputs!$C$8)))+$I$54*(AK$5&gt;Inputs!$C$12)*$D$54*(1+Inputs!$C$11*(AK$5-Inputs!$C$12)/12)</f>
        <v>9303</v>
      </c>
      <c r="AL58" s="42" t="n">
        <f aca="false">$D$54*(1+IF($C$54&lt;=0,0,MAX($C$54*AL$5/12,Inputs!$C$8)))+$I$54*(AL$5&gt;Inputs!$C$12)*$D$54*(1+Inputs!$C$11*(AL$5-Inputs!$C$12)/12)</f>
        <v>9366</v>
      </c>
    </row>
    <row r="59" customFormat="false" ht="15" hidden="false" customHeight="false" outlineLevel="0" collapsed="false">
      <c r="B59" s="31" t="s">
        <v>187</v>
      </c>
      <c r="N59" s="42" t="n">
        <f aca="false">-($D$54+$J$54)*(N$5=0)+IF(AND(N$5-$K$54&gt;=1,N$5-$K$54&lt;=Inputs!$C$13),INDEX($N$57:$AL$57,1,N$5-$K$54+1)*INDEX($N$58:$AL$58,1,N$5-$K$54+1),0)-$I$54*((N$5=Inputs!$C$12)*$C$56*$D$54+(N$5=Inputs!$C$13)*$D$56*($D$54+Inputs!$C$14))+$I$54*((N$5=Inputs!$C$15+$K$54)*$E$56*$I$56+(N$5=Inputs!$C$16+$K$54)*$F$56*$J$56+(N$5=Inputs!$C$17)*$G$56*$H$54*$H$56)</f>
        <v>-4210</v>
      </c>
      <c r="O59" s="42" t="n">
        <f aca="false">-($D$54+$J$54)*(O$5=0)+IF(AND(O$5-$K$54&gt;=1,O$5-$K$54&lt;=Inputs!$C$13),INDEX($N$57:$AL$57,1,O$5-$K$54+1)*INDEX($N$58:$AL$58,1,O$5-$K$54+1),0)-$I$54*((O$5=Inputs!$C$12)*$C$56*$D$54+(O$5=Inputs!$C$13)*$D$56*($D$54+Inputs!$C$14))+$I$54*((O$5=Inputs!$C$15+$K$54)*$E$56*$I$56+(O$5=Inputs!$C$16+$K$54)*$F$56*$J$56+(O$5=Inputs!$C$17)*$G$56*$H$54*$H$56)</f>
        <v>0</v>
      </c>
      <c r="P59" s="42" t="n">
        <f aca="false">-($D$54+$J$54)*(P$5=0)+IF(AND(P$5-$K$54&gt;=1,P$5-$K$54&lt;=Inputs!$C$13),INDEX($N$57:$AL$57,1,P$5-$K$54+1)*INDEX($N$58:$AL$58,1,P$5-$K$54+1),0)-$I$54*((P$5=Inputs!$C$12)*$C$56*$D$54+(P$5=Inputs!$C$13)*$D$56*($D$54+Inputs!$C$14))+$I$54*((P$5=Inputs!$C$15+$K$54)*$E$56*$I$56+(P$5=Inputs!$C$16+$K$54)*$F$56*$J$56+(P$5=Inputs!$C$17)*$G$56*$H$54*$H$56)</f>
        <v>260.631</v>
      </c>
      <c r="Q59" s="42" t="n">
        <f aca="false">-($D$54+$J$54)*(Q$5=0)+IF(AND(Q$5-$K$54&gt;=1,Q$5-$K$54&lt;=Inputs!$C$13),INDEX($N$57:$AL$57,1,Q$5-$K$54+1)*INDEX($N$58:$AL$58,1,Q$5-$K$54+1),0)-$I$54*((Q$5=Inputs!$C$12)*$C$56*$D$54+(Q$5=Inputs!$C$13)*$D$56*($D$54+Inputs!$C$14))+$I$54*((Q$5=Inputs!$C$15+$K$54)*$E$56*$I$56+(Q$5=Inputs!$C$16+$K$54)*$F$56*$J$56+(Q$5=Inputs!$C$17)*$G$56*$H$54*$H$56)</f>
        <v>260.631</v>
      </c>
      <c r="R59" s="42" t="n">
        <f aca="false">-($D$54+$J$54)*(R$5=0)+IF(AND(R$5-$K$54&gt;=1,R$5-$K$54&lt;=Inputs!$C$13),INDEX($N$57:$AL$57,1,R$5-$K$54+1)*INDEX($N$58:$AL$58,1,R$5-$K$54+1),0)-$I$54*((R$5=Inputs!$C$12)*$C$56*$D$54+(R$5=Inputs!$C$13)*$D$56*($D$54+Inputs!$C$14))+$I$54*((R$5=Inputs!$C$15+$K$54)*$E$56*$I$56+(R$5=Inputs!$C$16+$K$54)*$F$56*$J$56+(R$5=Inputs!$C$17)*$G$56*$H$54*$H$56)</f>
        <v>260.631</v>
      </c>
      <c r="S59" s="42" t="n">
        <f aca="false">-($D$54+$J$54)*(S$5=0)+IF(AND(S$5-$K$54&gt;=1,S$5-$K$54&lt;=Inputs!$C$13),INDEX($N$57:$AL$57,1,S$5-$K$54+1)*INDEX($N$58:$AL$58,1,S$5-$K$54+1),0)-$I$54*((S$5=Inputs!$C$12)*$C$56*$D$54+(S$5=Inputs!$C$13)*$D$56*($D$54+Inputs!$C$14))+$I$54*((S$5=Inputs!$C$15+$K$54)*$E$56*$I$56+(S$5=Inputs!$C$16+$K$54)*$F$56*$J$56+(S$5=Inputs!$C$17)*$G$56*$H$54*$H$56)</f>
        <v>260.631</v>
      </c>
      <c r="T59" s="42" t="n">
        <f aca="false">-($D$54+$J$54)*(T$5=0)+IF(AND(T$5-$K$54&gt;=1,T$5-$K$54&lt;=Inputs!$C$13),INDEX($N$57:$AL$57,1,T$5-$K$54+1)*INDEX($N$58:$AL$58,1,T$5-$K$54+1),0)-$I$54*((T$5=Inputs!$C$12)*$C$56*$D$54+(T$5=Inputs!$C$13)*$D$56*($D$54+Inputs!$C$14))+$I$54*((T$5=Inputs!$C$15+$K$54)*$E$56*$I$56+(T$5=Inputs!$C$16+$K$54)*$F$56*$J$56+(T$5=Inputs!$C$17)*$G$56*$H$54*$H$56)</f>
        <v>260.631</v>
      </c>
      <c r="U59" s="42" t="n">
        <f aca="false">-($D$54+$J$54)*(U$5=0)+IF(AND(U$5-$K$54&gt;=1,U$5-$K$54&lt;=Inputs!$C$13),INDEX($N$57:$AL$57,1,U$5-$K$54+1)*INDEX($N$58:$AL$58,1,U$5-$K$54+1),0)-$I$54*((U$5=Inputs!$C$12)*$C$56*$D$54+(U$5=Inputs!$C$13)*$D$56*($D$54+Inputs!$C$14))+$I$54*((U$5=Inputs!$C$15+$K$54)*$E$56*$I$56+(U$5=Inputs!$C$16+$K$54)*$F$56*$J$56+(U$5=Inputs!$C$17)*$G$56*$H$54*$H$56)</f>
        <v>260.631</v>
      </c>
      <c r="V59" s="42" t="n">
        <f aca="false">-($D$54+$J$54)*(V$5=0)+IF(AND(V$5-$K$54&gt;=1,V$5-$K$54&lt;=Inputs!$C$13),INDEX($N$57:$AL$57,1,V$5-$K$54+1)*INDEX($N$58:$AL$58,1,V$5-$K$54+1),0)-$I$54*((V$5=Inputs!$C$12)*$C$56*$D$54+(V$5=Inputs!$C$13)*$D$56*($D$54+Inputs!$C$14))+$I$54*((V$5=Inputs!$C$15+$K$54)*$E$56*$I$56+(V$5=Inputs!$C$16+$K$54)*$F$56*$J$56+(V$5=Inputs!$C$17)*$G$56*$H$54*$H$56)</f>
        <v>202.713</v>
      </c>
      <c r="W59" s="42" t="n">
        <f aca="false">-($D$54+$J$54)*(W$5=0)+IF(AND(W$5-$K$54&gt;=1,W$5-$K$54&lt;=Inputs!$C$13),INDEX($N$57:$AL$57,1,W$5-$K$54+1)*INDEX($N$58:$AL$58,1,W$5-$K$54+1),0)-$I$54*((W$5=Inputs!$C$12)*$C$56*$D$54+(W$5=Inputs!$C$13)*$D$56*($D$54+Inputs!$C$14))+$I$54*((W$5=Inputs!$C$15+$K$54)*$E$56*$I$56+(W$5=Inputs!$C$16+$K$54)*$F$56*$J$56+(W$5=Inputs!$C$17)*$G$56*$H$54*$H$56)</f>
        <v>202.713</v>
      </c>
      <c r="X59" s="42" t="n">
        <f aca="false">-($D$54+$J$54)*(X$5=0)+IF(AND(X$5-$K$54&gt;=1,X$5-$K$54&lt;=Inputs!$C$13),INDEX($N$57:$AL$57,1,X$5-$K$54+1)*INDEX($N$58:$AL$58,1,X$5-$K$54+1),0)-$I$54*((X$5=Inputs!$C$12)*$C$56*$D$54+(X$5=Inputs!$C$13)*$D$56*($D$54+Inputs!$C$14))+$I$54*((X$5=Inputs!$C$15+$K$54)*$E$56*$I$56+(X$5=Inputs!$C$16+$K$54)*$F$56*$J$56+(X$5=Inputs!$C$17)*$G$56*$H$54*$H$56)</f>
        <v>202.713</v>
      </c>
      <c r="Y59" s="42" t="n">
        <f aca="false">-($D$54+$J$54)*(Y$5=0)+IF(AND(Y$5-$K$54&gt;=1,Y$5-$K$54&lt;=Inputs!$C$13),INDEX($N$57:$AL$57,1,Y$5-$K$54+1)*INDEX($N$58:$AL$58,1,Y$5-$K$54+1),0)-$I$54*((Y$5=Inputs!$C$12)*$C$56*$D$54+(Y$5=Inputs!$C$13)*$D$56*($D$54+Inputs!$C$14))+$I$54*((Y$5=Inputs!$C$15+$K$54)*$E$56*$I$56+(Y$5=Inputs!$C$16+$K$54)*$F$56*$J$56+(Y$5=Inputs!$C$17)*$G$56*$H$54*$H$56)</f>
        <v>173.754</v>
      </c>
      <c r="Z59" s="42" t="n">
        <f aca="false">-($D$54+$J$54)*(Z$5=0)+IF(AND(Z$5-$K$54&gt;=1,Z$5-$K$54&lt;=Inputs!$C$13),INDEX($N$57:$AL$57,1,Z$5-$K$54+1)*INDEX($N$58:$AL$58,1,Z$5-$K$54+1),0)-$I$54*((Z$5=Inputs!$C$12)*$C$56*$D$54+(Z$5=Inputs!$C$13)*$D$56*($D$54+Inputs!$C$14))+$I$54*((Z$5=Inputs!$C$15+$K$54)*$E$56*$I$56+(Z$5=Inputs!$C$16+$K$54)*$F$56*$J$56+(Z$5=Inputs!$C$17)*$G$56*$H$54*$H$56)</f>
        <v>-1461.306</v>
      </c>
      <c r="AA59" s="42" t="n">
        <f aca="false">-($D$54+$J$54)*(AA$5=0)+IF(AND(AA$5-$K$54&gt;=1,AA$5-$K$54&lt;=Inputs!$C$13),INDEX($N$57:$AL$57,1,AA$5-$K$54+1)*INDEX($N$58:$AL$58,1,AA$5-$K$54+1),0)-$I$54*((AA$5=Inputs!$C$12)*$C$56*$D$54+(AA$5=Inputs!$C$13)*$D$56*($D$54+Inputs!$C$14))+$I$54*((AA$5=Inputs!$C$15+$K$54)*$E$56*$I$56+(AA$5=Inputs!$C$16+$K$54)*$F$56*$J$56+(AA$5=Inputs!$C$17)*$G$56*$H$54*$H$56)</f>
        <v>173.754</v>
      </c>
      <c r="AB59" s="42" t="n">
        <f aca="false">-($D$54+$J$54)*(AB$5=0)+IF(AND(AB$5-$K$54&gt;=1,AB$5-$K$54&lt;=Inputs!$C$13),INDEX($N$57:$AL$57,1,AB$5-$K$54+1)*INDEX($N$58:$AL$58,1,AB$5-$K$54+1),0)-$I$54*((AB$5=Inputs!$C$12)*$C$56*$D$54+(AB$5=Inputs!$C$13)*$D$56*($D$54+Inputs!$C$14))+$I$54*((AB$5=Inputs!$C$15+$K$54)*$E$56*$I$56+(AB$5=Inputs!$C$16+$K$54)*$F$56*$J$56+(AB$5=Inputs!$C$17)*$G$56*$H$54*$H$56)</f>
        <v>284.7635</v>
      </c>
      <c r="AC59" s="42" t="n">
        <f aca="false">-($D$54+$J$54)*(AC$5=0)+IF(AND(AC$5-$K$54&gt;=1,AC$5-$K$54&lt;=Inputs!$C$13),INDEX($N$57:$AL$57,1,AC$5-$K$54+1)*INDEX($N$58:$AL$58,1,AC$5-$K$54+1),0)-$I$54*((AC$5=Inputs!$C$12)*$C$56*$D$54+(AC$5=Inputs!$C$13)*$D$56*($D$54+Inputs!$C$14))+$I$54*((AC$5=Inputs!$C$15+$K$54)*$E$56*$I$56+(AC$5=Inputs!$C$16+$K$54)*$F$56*$J$56+(AC$5=Inputs!$C$17)*$G$56*$H$54*$H$56)</f>
        <v>286.832</v>
      </c>
      <c r="AD59" s="42" t="n">
        <f aca="false">-($D$54+$J$54)*(AD$5=0)+IF(AND(AD$5-$K$54&gt;=1,AD$5-$K$54&lt;=Inputs!$C$13),INDEX($N$57:$AL$57,1,AD$5-$K$54+1)*INDEX($N$58:$AL$58,1,AD$5-$K$54+1),0)-$I$54*((AD$5=Inputs!$C$12)*$C$56*$D$54+(AD$5=Inputs!$C$13)*$D$56*($D$54+Inputs!$C$14))+$I$54*((AD$5=Inputs!$C$15+$K$54)*$E$56*$I$56+(AD$5=Inputs!$C$16+$K$54)*$F$56*$J$56+(AD$5=Inputs!$C$17)*$G$56*$H$54*$H$56)</f>
        <v>288.9005</v>
      </c>
      <c r="AE59" s="42" t="n">
        <f aca="false">-($D$54+$J$54)*(AE$5=0)+IF(AND(AE$5-$K$54&gt;=1,AE$5-$K$54&lt;=Inputs!$C$13),INDEX($N$57:$AL$57,1,AE$5-$K$54+1)*INDEX($N$58:$AL$58,1,AE$5-$K$54+1),0)-$I$54*((AE$5=Inputs!$C$12)*$C$56*$D$54+(AE$5=Inputs!$C$13)*$D$56*($D$54+Inputs!$C$14))+$I$54*((AE$5=Inputs!$C$15+$K$54)*$E$56*$I$56+(AE$5=Inputs!$C$16+$K$54)*$F$56*$J$56+(AE$5=Inputs!$C$17)*$G$56*$H$54*$H$56)</f>
        <v>290.969</v>
      </c>
      <c r="AF59" s="42" t="n">
        <f aca="false">-($D$54+$J$54)*(AF$5=0)+IF(AND(AF$5-$K$54&gt;=1,AF$5-$K$54&lt;=Inputs!$C$13),INDEX($N$57:$AL$57,1,AF$5-$K$54+1)*INDEX($N$58:$AL$58,1,AF$5-$K$54+1),0)-$I$54*((AF$5=Inputs!$C$12)*$C$56*$D$54+(AF$5=Inputs!$C$13)*$D$56*($D$54+Inputs!$C$14))+$I$54*((AF$5=Inputs!$C$15+$K$54)*$E$56*$I$56+(AF$5=Inputs!$C$16+$K$54)*$F$56*$J$56+(AF$5=Inputs!$C$17)*$G$56*$H$54*$H$56)</f>
        <v>293.0375</v>
      </c>
      <c r="AG59" s="42" t="n">
        <f aca="false">-($D$54+$J$54)*(AG$5=0)+IF(AND(AG$5-$K$54&gt;=1,AG$5-$K$54&lt;=Inputs!$C$13),INDEX($N$57:$AL$57,1,AG$5-$K$54+1)*INDEX($N$58:$AL$58,1,AG$5-$K$54+1),0)-$I$54*((AG$5=Inputs!$C$12)*$C$56*$D$54+(AG$5=Inputs!$C$13)*$D$56*($D$54+Inputs!$C$14))+$I$54*((AG$5=Inputs!$C$15+$K$54)*$E$56*$I$56+(AG$5=Inputs!$C$16+$K$54)*$F$56*$J$56+(AG$5=Inputs!$C$17)*$G$56*$H$54*$H$56)</f>
        <v>295.106</v>
      </c>
      <c r="AH59" s="42" t="n">
        <f aca="false">-($D$54+$J$54)*(AH$5=0)+IF(AND(AH$5-$K$54&gt;=1,AH$5-$K$54&lt;=Inputs!$C$13),INDEX($N$57:$AL$57,1,AH$5-$K$54+1)*INDEX($N$58:$AL$58,1,AH$5-$K$54+1),0)-$I$54*((AH$5=Inputs!$C$12)*$C$56*$D$54+(AH$5=Inputs!$C$13)*$D$56*($D$54+Inputs!$C$14))+$I$54*((AH$5=Inputs!$C$15+$K$54)*$E$56*$I$56+(AH$5=Inputs!$C$16+$K$54)*$F$56*$J$56+(AH$5=Inputs!$C$17)*$G$56*$H$54*$H$56)</f>
        <v>267.45705</v>
      </c>
      <c r="AI59" s="42" t="n">
        <f aca="false">-($D$54+$J$54)*(AI$5=0)+IF(AND(AI$5-$K$54&gt;=1,AI$5-$K$54&lt;=Inputs!$C$13),INDEX($N$57:$AL$57,1,AI$5-$K$54+1)*INDEX($N$58:$AL$58,1,AI$5-$K$54+1),0)-$I$54*((AI$5=Inputs!$C$12)*$C$56*$D$54+(AI$5=Inputs!$C$13)*$D$56*($D$54+Inputs!$C$14))+$I$54*((AI$5=Inputs!$C$15+$K$54)*$E$56*$I$56+(AI$5=Inputs!$C$16+$K$54)*$F$56*$J$56+(AI$5=Inputs!$C$17)*$G$56*$H$54*$H$56)</f>
        <v>269.3187</v>
      </c>
      <c r="AJ59" s="42" t="n">
        <f aca="false">-($D$54+$J$54)*(AJ$5=0)+IF(AND(AJ$5-$K$54&gt;=1,AJ$5-$K$54&lt;=Inputs!$C$13),INDEX($N$57:$AL$57,1,AJ$5-$K$54+1)*INDEX($N$58:$AL$58,1,AJ$5-$K$54+1),0)-$I$54*((AJ$5=Inputs!$C$12)*$C$56*$D$54+(AJ$5=Inputs!$C$13)*$D$56*($D$54+Inputs!$C$14))+$I$54*((AJ$5=Inputs!$C$15+$K$54)*$E$56*$I$56+(AJ$5=Inputs!$C$16+$K$54)*$F$56*$J$56+(AJ$5=Inputs!$C$17)*$G$56*$H$54*$H$56)</f>
        <v>271.180349999999</v>
      </c>
      <c r="AK59" s="42" t="n">
        <f aca="false">-($D$54+$J$54)*(AK$5=0)+IF(AND(AK$5-$K$54&gt;=1,AK$5-$K$54&lt;=Inputs!$C$13),INDEX($N$57:$AL$57,1,AK$5-$K$54+1)*INDEX($N$58:$AL$58,1,AK$5-$K$54+1),0)-$I$54*((AK$5=Inputs!$C$12)*$C$56*$D$54+(AK$5=Inputs!$C$13)*$D$56*($D$54+Inputs!$C$14))+$I$54*((AK$5=Inputs!$C$15+$K$54)*$E$56*$I$56+(AK$5=Inputs!$C$16+$K$54)*$F$56*$J$56+(AK$5=Inputs!$C$17)*$G$56*$H$54*$H$56)</f>
        <v>273.042</v>
      </c>
      <c r="AL59" s="42" t="n">
        <f aca="false">-($D$54+$J$54)*(AL$5=0)+IF(AND(AL$5-$K$54&gt;=1,AL$5-$K$54&lt;=Inputs!$C$13),INDEX($N$57:$AL$57,1,AL$5-$K$54+1)*INDEX($N$58:$AL$58,1,AL$5-$K$54+1),0)-$I$54*((AL$5=Inputs!$C$12)*$C$56*$D$54+(AL$5=Inputs!$C$13)*$D$56*($D$54+Inputs!$C$14))+$I$54*((AL$5=Inputs!$C$15+$K$54)*$E$56*$I$56+(AL$5=Inputs!$C$16+$K$54)*$F$56*$J$56+(AL$5=Inputs!$C$17)*$G$56*$H$54*$H$56)</f>
        <v>184.90365</v>
      </c>
      <c r="AM59" s="42" t="n">
        <f aca="false">-($D$54+$J$54)*(AM$5=0)+IF(AND(AM$5-$K$54&gt;=1,AM$5-$K$54&lt;=Inputs!$C$13),INDEX($N$57:$AL$57,1,AM$5-$K$54+1)*INDEX($N$58:$AL$58,1,AM$5-$K$54+1),0)-$I$54*((AM$5=Inputs!$C$12)*$C$56*$D$54+(AM$5=Inputs!$C$13)*$D$56*($D$54+Inputs!$C$14))+$I$54*((AM$5=Inputs!$C$15+$K$54)*$E$56*$I$56+(AM$5=Inputs!$C$16+$K$54)*$F$56*$J$56+(AM$5=Inputs!$C$17)*$G$56*$H$54*$H$56)</f>
        <v>276.7653</v>
      </c>
      <c r="AN59" s="42" t="n">
        <f aca="false">-($D$54+$J$54)*(AN$5=0)+IF(AND(AN$5-$K$54&gt;=1,AN$5-$K$54&lt;=Inputs!$C$13),INDEX($N$57:$AL$57,1,AN$5-$K$54+1)*INDEX($N$58:$AL$58,1,AN$5-$K$54+1),0)-$I$54*((AN$5=Inputs!$C$12)*$C$56*$D$54+(AN$5=Inputs!$C$13)*$D$56*($D$54+Inputs!$C$14))+$I$54*((AN$5=Inputs!$C$15+$K$54)*$E$56*$I$56+(AN$5=Inputs!$C$16+$K$54)*$F$56*$J$56+(AN$5=Inputs!$C$17)*$G$56*$H$54*$H$56)</f>
        <v>0</v>
      </c>
      <c r="AO59" s="42" t="n">
        <f aca="false">-($D$54+$J$54)*(AO$5=0)+IF(AND(AO$5-$K$54&gt;=1,AO$5-$K$54&lt;=Inputs!$C$13),INDEX($N$57:$AL$57,1,AO$5-$K$54+1)*INDEX($N$58:$AL$58,1,AO$5-$K$54+1),0)-$I$54*((AO$5=Inputs!$C$12)*$C$56*$D$54+(AO$5=Inputs!$C$13)*$D$56*($D$54+Inputs!$C$14))+$I$54*((AO$5=Inputs!$C$15+$K$54)*$E$56*$I$56+(AO$5=Inputs!$C$16+$K$54)*$F$56*$J$56+(AO$5=Inputs!$C$17)*$G$56*$H$54*$H$56)</f>
        <v>0</v>
      </c>
      <c r="AP59" s="42" t="n">
        <f aca="false">-($D$54+$J$54)*(AP$5=0)+IF(AND(AP$5-$K$54&gt;=1,AP$5-$K$54&lt;=Inputs!$C$13),INDEX($N$57:$AL$57,1,AP$5-$K$54+1)*INDEX($N$58:$AL$58,1,AP$5-$K$54+1),0)-$I$54*((AP$5=Inputs!$C$12)*$C$56*$D$54+(AP$5=Inputs!$C$13)*$D$56*($D$54+Inputs!$C$14))+$I$54*((AP$5=Inputs!$C$15+$K$54)*$E$56*$I$56+(AP$5=Inputs!$C$16+$K$54)*$F$56*$J$56+(AP$5=Inputs!$C$17)*$G$56*$H$54*$H$56)</f>
        <v>188.928</v>
      </c>
      <c r="AQ59" s="42" t="n">
        <f aca="false">-($D$54+$J$54)*(AQ$5=0)+IF(AND(AQ$5-$K$54&gt;=1,AQ$5-$K$54&lt;=Inputs!$C$13),INDEX($N$57:$AL$57,1,AQ$5-$K$54+1)*INDEX($N$58:$AL$58,1,AQ$5-$K$54+1),0)-$I$54*((AQ$5=Inputs!$C$12)*$C$56*$D$54+(AQ$5=Inputs!$C$13)*$D$56*($D$54+Inputs!$C$14))+$I$54*((AQ$5=Inputs!$C$15+$K$54)*$E$56*$I$56+(AQ$5=Inputs!$C$16+$K$54)*$F$56*$J$56+(AQ$5=Inputs!$C$17)*$G$56*$H$54*$H$56)</f>
        <v>0</v>
      </c>
      <c r="AR59" s="42" t="n">
        <f aca="false">-($D$54+$J$54)*(AR$5=0)+IF(AND(AR$5-$K$54&gt;=1,AR$5-$K$54&lt;=Inputs!$C$13),INDEX($N$57:$AL$57,1,AR$5-$K$54+1)*INDEX($N$58:$AL$58,1,AR$5-$K$54+1),0)-$I$54*((AR$5=Inputs!$C$12)*$C$56*$D$54+(AR$5=Inputs!$C$13)*$D$56*($D$54+Inputs!$C$14))+$I$54*((AR$5=Inputs!$C$15+$K$54)*$E$56*$I$56+(AR$5=Inputs!$C$16+$K$54)*$F$56*$J$56+(AR$5=Inputs!$C$17)*$G$56*$H$54*$H$56)</f>
        <v>0</v>
      </c>
      <c r="AS59" s="42" t="n">
        <f aca="false">-($D$54+$J$54)*(AS$5=0)+IF(AND(AS$5-$K$54&gt;=1,AS$5-$K$54&lt;=Inputs!$C$13),INDEX($N$57:$AL$57,1,AS$5-$K$54+1)*INDEX($N$58:$AL$58,1,AS$5-$K$54+1),0)-$I$54*((AS$5=Inputs!$C$12)*$C$56*$D$54+(AS$5=Inputs!$C$13)*$D$56*($D$54+Inputs!$C$14))+$I$54*((AS$5=Inputs!$C$15+$K$54)*$E$56*$I$56+(AS$5=Inputs!$C$16+$K$54)*$F$56*$J$56+(AS$5=Inputs!$C$17)*$G$56*$H$54*$H$56)</f>
        <v>45.9477</v>
      </c>
      <c r="AT59" s="42" t="n">
        <f aca="false">-($D$54+$J$54)*(AT$5=0)+IF(AND(AT$5-$K$54&gt;=1,AT$5-$K$54&lt;=Inputs!$C$13),INDEX($N$57:$AL$57,1,AT$5-$K$54+1)*INDEX($N$58:$AL$58,1,AT$5-$K$54+1),0)-$I$54*((AT$5=Inputs!$C$12)*$C$56*$D$54+(AT$5=Inputs!$C$13)*$D$56*($D$54+Inputs!$C$14))+$I$54*((AT$5=Inputs!$C$15+$K$54)*$E$56*$I$56+(AT$5=Inputs!$C$16+$K$54)*$F$56*$J$56+(AT$5=Inputs!$C$17)*$G$56*$H$54*$H$56)</f>
        <v>0</v>
      </c>
      <c r="AU59" s="42" t="n">
        <f aca="false">-($D$54+$J$54)*(AU$5=0)+IF(AND(AU$5-$K$54&gt;=1,AU$5-$K$54&lt;=Inputs!$C$13),INDEX($N$57:$AL$57,1,AU$5-$K$54+1)*INDEX($N$58:$AL$58,1,AU$5-$K$54+1),0)-$I$54*((AU$5=Inputs!$C$12)*$C$56*$D$54+(AU$5=Inputs!$C$13)*$D$56*($D$54+Inputs!$C$14))+$I$54*((AU$5=Inputs!$C$15+$K$54)*$E$56*$I$56+(AU$5=Inputs!$C$16+$K$54)*$F$56*$J$56+(AU$5=Inputs!$C$17)*$G$56*$H$54*$H$56)</f>
        <v>0</v>
      </c>
      <c r="AV59" s="42" t="n">
        <f aca="false">-($D$54+$J$54)*(AV$5=0)+IF(AND(AV$5-$K$54&gt;=1,AV$5-$K$54&lt;=Inputs!$C$13),INDEX($N$57:$AL$57,1,AV$5-$K$54+1)*INDEX($N$58:$AL$58,1,AV$5-$K$54+1),0)-$I$54*((AV$5=Inputs!$C$12)*$C$56*$D$54+(AV$5=Inputs!$C$13)*$D$56*($D$54+Inputs!$C$14))+$I$54*((AV$5=Inputs!$C$15+$K$54)*$E$56*$I$56+(AV$5=Inputs!$C$16+$K$54)*$F$56*$J$56+(AV$5=Inputs!$C$17)*$G$56*$H$54*$H$56)</f>
        <v>0</v>
      </c>
      <c r="AW59" s="42" t="n">
        <f aca="false">-($D$54+$J$54)*(AW$5=0)+IF(AND(AW$5-$K$54&gt;=1,AW$5-$K$54&lt;=Inputs!$C$13),INDEX($N$57:$AL$57,1,AW$5-$K$54+1)*INDEX($N$58:$AL$58,1,AW$5-$K$54+1),0)-$I$54*((AW$5=Inputs!$C$12)*$C$56*$D$54+(AW$5=Inputs!$C$13)*$D$56*($D$54+Inputs!$C$14))+$I$54*((AW$5=Inputs!$C$15+$K$54)*$E$56*$I$56+(AW$5=Inputs!$C$16+$K$54)*$F$56*$J$56+(AW$5=Inputs!$C$17)*$G$56*$H$54*$H$56)</f>
        <v>0</v>
      </c>
      <c r="AX59" s="42" t="n">
        <f aca="false">-($D$54+$J$54)*(AX$5=0)+IF(AND(AX$5-$K$54&gt;=1,AX$5-$K$54&lt;=Inputs!$C$13),INDEX($N$57:$AL$57,1,AX$5-$K$54+1)*INDEX($N$58:$AL$58,1,AX$5-$K$54+1),0)-$I$54*((AX$5=Inputs!$C$12)*$C$56*$D$54+(AX$5=Inputs!$C$13)*$D$56*($D$54+Inputs!$C$14))+$I$54*((AX$5=Inputs!$C$15+$K$54)*$E$56*$I$56+(AX$5=Inputs!$C$16+$K$54)*$F$56*$J$56+(AX$5=Inputs!$C$17)*$G$56*$H$54*$H$56)</f>
        <v>1.94400000000001</v>
      </c>
      <c r="AY59" s="42" t="n">
        <f aca="false">-($D$54+$J$54)*(AY$5=0)+IF(AND(AY$5-$K$54&gt;=1,AY$5-$K$54&lt;=Inputs!$C$13),INDEX($N$57:$AL$57,1,AY$5-$K$54+1)*INDEX($N$58:$AL$58,1,AY$5-$K$54+1),0)-$I$54*((AY$5=Inputs!$C$12)*$C$56*$D$54+(AY$5=Inputs!$C$13)*$D$56*($D$54+Inputs!$C$14))+$I$54*((AY$5=Inputs!$C$15+$K$54)*$E$56*$I$56+(AY$5=Inputs!$C$16+$K$54)*$F$56*$J$56+(AY$5=Inputs!$C$17)*$G$56*$H$54*$H$56)</f>
        <v>0</v>
      </c>
    </row>
    <row r="61" customFormat="false" ht="15" hidden="false" customHeight="false" outlineLevel="0" collapsed="false">
      <c r="B61" s="7" t="s">
        <v>247</v>
      </c>
      <c r="C61" s="8"/>
      <c r="D61" s="8"/>
      <c r="E61" s="8"/>
      <c r="F61" s="8"/>
      <c r="G61" s="8"/>
      <c r="H61" s="8"/>
      <c r="I61" s="8"/>
      <c r="J61" s="8"/>
      <c r="K61" s="8"/>
      <c r="L61" s="8"/>
    </row>
    <row r="62" customFormat="false" ht="30" hidden="false" customHeight="true" outlineLevel="0" collapsed="false">
      <c r="B62" s="37"/>
      <c r="C62" s="38" t="s">
        <v>169</v>
      </c>
      <c r="D62" s="38" t="s">
        <v>170</v>
      </c>
      <c r="E62" s="38" t="s">
        <v>171</v>
      </c>
      <c r="F62" s="38" t="s">
        <v>43</v>
      </c>
      <c r="G62" s="38" t="s">
        <v>44</v>
      </c>
      <c r="H62" s="38" t="s">
        <v>45</v>
      </c>
      <c r="I62" s="38" t="s">
        <v>172</v>
      </c>
      <c r="J62" s="38" t="s">
        <v>90</v>
      </c>
      <c r="K62" s="38" t="s">
        <v>89</v>
      </c>
      <c r="L62" s="38" t="s">
        <v>173</v>
      </c>
    </row>
    <row r="63" customFormat="false" ht="15" hidden="false" customHeight="false" outlineLevel="0" collapsed="false">
      <c r="B63" s="39" t="s">
        <v>174</v>
      </c>
      <c r="C63" s="26" t="n">
        <f aca="false">Inputs!$F$40*Inputs!$E$56</f>
        <v>0.07</v>
      </c>
      <c r="D63" s="30" t="n">
        <f aca="false">Inputs!$E$40</f>
        <v>3600</v>
      </c>
      <c r="E63" s="26" t="n">
        <f aca="false">IF(Inputs!$G$40=1,Inputs!$F$27,MIN(1,MAX(0,INDEX(Inputs!$F$23:$F$27,MATCH(Inputs!$C$40,Inputs!$B$23:$B$27,0))+INDEX(Inputs!$C$48:$C$51,MATCH(Inputs!$D$56,Inputs!$B$48:$B$51,0)))))</f>
        <v>0.93</v>
      </c>
      <c r="F63" s="25" t="n">
        <f aca="false">IF(Inputs!$G$40=1,Inputs!$G$27,INDEX(Inputs!$G$23:$G$27,MATCH(Inputs!$C$40,Inputs!$B$23:$B$27,0)))</f>
        <v>0.6</v>
      </c>
      <c r="G63" s="25" t="n">
        <f aca="false">IF(Inputs!$G$40=1,Inputs!$H$27,INDEX(Inputs!$H$23:$H$27,MATCH(Inputs!$C$40,Inputs!$B$23:$B$27,0)))*INDEX(Inputs!$D$48:$D$51,MATCH(Inputs!$D$56,Inputs!$B$48:$B$51,0))</f>
        <v>0.85</v>
      </c>
      <c r="H63" s="25" t="n">
        <f aca="false">MAX(0,IF(Inputs!$G$40=1,Inputs!$I$27,INDEX(Inputs!$I$23:$I$27,MATCH(Inputs!$C$40,Inputs!$B$23:$B$27,0)))+INDEX(Inputs!$E$48:$E$51,MATCH(Inputs!$D$56,Inputs!$B$48:$B$51,0)))</f>
        <v>0.9</v>
      </c>
      <c r="I63" s="22" t="n">
        <f aca="false">IF(Inputs!$G$40=1,0,INDEX(Inputs!$J$23:$J$27,MATCH(Inputs!$C$40,Inputs!$B$23:$B$27,0)))</f>
        <v>1</v>
      </c>
      <c r="J63" s="23" t="n">
        <f aca="false">Inputs!$G$56</f>
        <v>10</v>
      </c>
      <c r="K63" s="22" t="n">
        <f aca="false">Inputs!$F$56</f>
        <v>1</v>
      </c>
      <c r="L63" s="22" t="n">
        <f aca="false">Inputs!$C$56</f>
        <v>2</v>
      </c>
    </row>
    <row r="64" customFormat="false" ht="30" hidden="false" customHeight="true" outlineLevel="0" collapsed="false">
      <c r="B64" s="37"/>
      <c r="C64" s="38" t="s">
        <v>175</v>
      </c>
      <c r="D64" s="38" t="s">
        <v>176</v>
      </c>
      <c r="E64" s="38" t="s">
        <v>177</v>
      </c>
      <c r="F64" s="38" t="s">
        <v>178</v>
      </c>
      <c r="G64" s="38" t="s">
        <v>112</v>
      </c>
      <c r="H64" s="38" t="s">
        <v>179</v>
      </c>
      <c r="I64" s="38" t="s">
        <v>180</v>
      </c>
      <c r="J64" s="38" t="s">
        <v>181</v>
      </c>
      <c r="K64" s="38" t="s">
        <v>182</v>
      </c>
      <c r="L64" s="38" t="s">
        <v>183</v>
      </c>
    </row>
    <row r="65" customFormat="false" ht="15" hidden="false" customHeight="false" outlineLevel="0" collapsed="false">
      <c r="B65" s="39" t="s">
        <v>184</v>
      </c>
      <c r="C65" s="40" t="n">
        <f aca="false">1-$E$63*CHOOSE($L$63,INDEX(Timing!$C$7:$AA$7,1,Inputs!$C$12+1),INDEX(Timing!$C$8:$AA$8,1,Inputs!$C$12+1))</f>
        <v>0.4234</v>
      </c>
      <c r="D65" s="40" t="n">
        <f aca="false">1-$E$63*CHOOSE($L$63,INDEX(Timing!$C$7:$AA$7,1,Inputs!$C$13+1),INDEX(Timing!$C$8:$AA$8,1,Inputs!$C$13+1))</f>
        <v>0.07</v>
      </c>
      <c r="E65" s="40" t="n">
        <f aca="false">$I$63*$D$65*$F$63</f>
        <v>0.042</v>
      </c>
      <c r="F65" s="40" t="n">
        <f aca="false">$I$63*($D$65-$E$65)*$G$63</f>
        <v>0.0238</v>
      </c>
      <c r="G65" s="40" t="n">
        <f aca="false">$I$63*($D$65-$E$65-$F$65)</f>
        <v>0.0042</v>
      </c>
      <c r="H65" s="23" t="n">
        <f aca="false">$I$63*(3*$D$63+Inputs!$C$14)</f>
        <v>12600</v>
      </c>
      <c r="I65" s="23" t="n">
        <f aca="false">$I$63*($D$63*(1+IF($C$63&lt;=0,0,MAX($C$63*Inputs!$C$15/12,Inputs!$C$8)))+$D$63*(1+Inputs!$C$11*(Inputs!$C$15-Inputs!$C$12)/12)+$D$63*(1+Inputs!$C$11*(Inputs!$C$15-Inputs!$C$13)/12)+Inputs!$C$14)</f>
        <v>14139</v>
      </c>
      <c r="J65" s="23" t="n">
        <f aca="false">$I$63*($D$63*(1+IF($C$63&lt;=0,0,MAX($C$63*Inputs!$C$16/12,Inputs!$C$8)))+$D$63*(1+Inputs!$C$11*(Inputs!$C$16-Inputs!$C$12)/12)+$D$63*(1+Inputs!$C$11*(Inputs!$C$16-Inputs!$C$13)/12)+Inputs!$C$14)</f>
        <v>14526</v>
      </c>
      <c r="K65" s="40" t="n">
        <f aca="false">IRR($N$68:$AY$68,0.005)</f>
        <v>0.00702575040997338</v>
      </c>
      <c r="L65" s="41" t="n">
        <f aca="false">(1+$K$65)^12-1</f>
        <v>0.0876443576469312</v>
      </c>
    </row>
    <row r="66" customFormat="false" ht="15" hidden="false" customHeight="false" outlineLevel="0" collapsed="false">
      <c r="B66" s="9" t="s">
        <v>185</v>
      </c>
      <c r="N66" s="40" t="n">
        <f aca="false">0</f>
        <v>0</v>
      </c>
      <c r="O66" s="40" t="n">
        <f aca="false">$E$63*(CHOOSE($L$63,Timing!D$7,Timing!D$8)-CHOOSE($L$63,Timing!C$7,Timing!C$8))</f>
        <v>0.0558</v>
      </c>
      <c r="P66" s="40" t="n">
        <f aca="false">$E$63*(CHOOSE($L$63,Timing!E$7,Timing!E$8)-CHOOSE($L$63,Timing!D$7,Timing!D$8))</f>
        <v>0.0558</v>
      </c>
      <c r="Q66" s="40" t="n">
        <f aca="false">$E$63*(CHOOSE($L$63,Timing!F$7,Timing!F$8)-CHOOSE($L$63,Timing!E$7,Timing!E$8))</f>
        <v>0.0558</v>
      </c>
      <c r="R66" s="40" t="n">
        <f aca="false">$E$63*(CHOOSE($L$63,Timing!G$7,Timing!G$8)-CHOOSE($L$63,Timing!F$7,Timing!F$8))</f>
        <v>0.0558</v>
      </c>
      <c r="S66" s="40" t="n">
        <f aca="false">$E$63*(CHOOSE($L$63,Timing!H$7,Timing!H$8)-CHOOSE($L$63,Timing!G$7,Timing!G$8))</f>
        <v>0.0558</v>
      </c>
      <c r="T66" s="40" t="n">
        <f aca="false">$E$63*(CHOOSE($L$63,Timing!I$7,Timing!I$8)-CHOOSE($L$63,Timing!H$7,Timing!H$8))</f>
        <v>0.0558</v>
      </c>
      <c r="U66" s="40" t="n">
        <f aca="false">$E$63*(CHOOSE($L$63,Timing!J$7,Timing!J$8)-CHOOSE($L$63,Timing!I$7,Timing!I$8))</f>
        <v>0.0434</v>
      </c>
      <c r="V66" s="40" t="n">
        <f aca="false">$E$63*(CHOOSE($L$63,Timing!K$7,Timing!K$8)-CHOOSE($L$63,Timing!J$7,Timing!J$8))</f>
        <v>0.0434</v>
      </c>
      <c r="W66" s="40" t="n">
        <f aca="false">$E$63*(CHOOSE($L$63,Timing!L$7,Timing!L$8)-CHOOSE($L$63,Timing!K$7,Timing!K$8))</f>
        <v>0.0434</v>
      </c>
      <c r="X66" s="40" t="n">
        <f aca="false">$E$63*(CHOOSE($L$63,Timing!M$7,Timing!M$8)-CHOOSE($L$63,Timing!L$7,Timing!L$8))</f>
        <v>0.0372</v>
      </c>
      <c r="Y66" s="40" t="n">
        <f aca="false">$E$63*(CHOOSE($L$63,Timing!N$7,Timing!N$8)-CHOOSE($L$63,Timing!M$7,Timing!M$8))</f>
        <v>0.0371999999999999</v>
      </c>
      <c r="Z66" s="40" t="n">
        <f aca="false">$E$63*(CHOOSE($L$63,Timing!O$7,Timing!O$8)-CHOOSE($L$63,Timing!N$7,Timing!N$8))</f>
        <v>0.0372</v>
      </c>
      <c r="AA66" s="40" t="n">
        <f aca="false">$E$63*(CHOOSE($L$63,Timing!P$7,Timing!P$8)-CHOOSE($L$63,Timing!O$7,Timing!O$8))</f>
        <v>0.031</v>
      </c>
      <c r="AB66" s="40" t="n">
        <f aca="false">$E$63*(CHOOSE($L$63,Timing!Q$7,Timing!Q$8)-CHOOSE($L$63,Timing!P$7,Timing!P$8))</f>
        <v>0.031</v>
      </c>
      <c r="AC66" s="40" t="n">
        <f aca="false">$E$63*(CHOOSE($L$63,Timing!R$7,Timing!R$8)-CHOOSE($L$63,Timing!Q$7,Timing!Q$8))</f>
        <v>0.031</v>
      </c>
      <c r="AD66" s="40" t="n">
        <f aca="false">$E$63*(CHOOSE($L$63,Timing!S$7,Timing!S$8)-CHOOSE($L$63,Timing!R$7,Timing!R$8))</f>
        <v>0.031</v>
      </c>
      <c r="AE66" s="40" t="n">
        <f aca="false">$E$63*(CHOOSE($L$63,Timing!T$7,Timing!T$8)-CHOOSE($L$63,Timing!S$7,Timing!S$8))</f>
        <v>0.031</v>
      </c>
      <c r="AF66" s="40" t="n">
        <f aca="false">$E$63*(CHOOSE($L$63,Timing!U$7,Timing!U$8)-CHOOSE($L$63,Timing!T$7,Timing!T$8))</f>
        <v>0.031</v>
      </c>
      <c r="AG66" s="40" t="n">
        <f aca="false">$E$63*(CHOOSE($L$63,Timing!V$7,Timing!V$8)-CHOOSE($L$63,Timing!U$7,Timing!U$8))</f>
        <v>0.0279</v>
      </c>
      <c r="AH66" s="40" t="n">
        <f aca="false">$E$63*(CHOOSE($L$63,Timing!W$7,Timing!W$8)-CHOOSE($L$63,Timing!V$7,Timing!V$8))</f>
        <v>0.0279</v>
      </c>
      <c r="AI66" s="40" t="n">
        <f aca="false">$E$63*(CHOOSE($L$63,Timing!X$7,Timing!X$8)-CHOOSE($L$63,Timing!W$7,Timing!W$8))</f>
        <v>0.0278999999999999</v>
      </c>
      <c r="AJ66" s="40" t="n">
        <f aca="false">$E$63*(CHOOSE($L$63,Timing!Y$7,Timing!Y$8)-CHOOSE($L$63,Timing!X$7,Timing!X$8))</f>
        <v>0.0279</v>
      </c>
      <c r="AK66" s="40" t="n">
        <f aca="false">$E$63*(CHOOSE($L$63,Timing!Z$7,Timing!Z$8)-CHOOSE($L$63,Timing!Y$7,Timing!Y$8))</f>
        <v>0.0279</v>
      </c>
      <c r="AL66" s="40" t="n">
        <f aca="false">$E$63*(CHOOSE($L$63,Timing!AA$7,Timing!AA$8)-CHOOSE($L$63,Timing!Z$7,Timing!Z$8))</f>
        <v>0.0279</v>
      </c>
    </row>
    <row r="67" customFormat="false" ht="15" hidden="false" customHeight="false" outlineLevel="0" collapsed="false">
      <c r="B67" s="9" t="s">
        <v>186</v>
      </c>
      <c r="N67" s="42" t="n">
        <f aca="false">0</f>
        <v>0</v>
      </c>
      <c r="O67" s="42" t="n">
        <f aca="false">$D$63*(1+IF($C$63&lt;=0,0,MAX($C$63*O$5/12,Inputs!$C$8)))+$I$63*(O$5&gt;Inputs!$C$12)*$D$63*(1+Inputs!$C$11*(O$5-Inputs!$C$12)/12)</f>
        <v>3780</v>
      </c>
      <c r="P67" s="42" t="n">
        <f aca="false">$D$63*(1+IF($C$63&lt;=0,0,MAX($C$63*P$5/12,Inputs!$C$8)))+$I$63*(P$5&gt;Inputs!$C$12)*$D$63*(1+Inputs!$C$11*(P$5-Inputs!$C$12)/12)</f>
        <v>3780</v>
      </c>
      <c r="Q67" s="42" t="n">
        <f aca="false">$D$63*(1+IF($C$63&lt;=0,0,MAX($C$63*Q$5/12,Inputs!$C$8)))+$I$63*(Q$5&gt;Inputs!$C$12)*$D$63*(1+Inputs!$C$11*(Q$5-Inputs!$C$12)/12)</f>
        <v>3780</v>
      </c>
      <c r="R67" s="42" t="n">
        <f aca="false">$D$63*(1+IF($C$63&lt;=0,0,MAX($C$63*R$5/12,Inputs!$C$8)))+$I$63*(R$5&gt;Inputs!$C$12)*$D$63*(1+Inputs!$C$11*(R$5-Inputs!$C$12)/12)</f>
        <v>3780</v>
      </c>
      <c r="S67" s="42" t="n">
        <f aca="false">$D$63*(1+IF($C$63&lt;=0,0,MAX($C$63*S$5/12,Inputs!$C$8)))+$I$63*(S$5&gt;Inputs!$C$12)*$D$63*(1+Inputs!$C$11*(S$5-Inputs!$C$12)/12)</f>
        <v>3780</v>
      </c>
      <c r="T67" s="42" t="n">
        <f aca="false">$D$63*(1+IF($C$63&lt;=0,0,MAX($C$63*T$5/12,Inputs!$C$8)))+$I$63*(T$5&gt;Inputs!$C$12)*$D$63*(1+Inputs!$C$11*(T$5-Inputs!$C$12)/12)</f>
        <v>3780</v>
      </c>
      <c r="U67" s="42" t="n">
        <f aca="false">$D$63*(1+IF($C$63&lt;=0,0,MAX($C$63*U$5/12,Inputs!$C$8)))+$I$63*(U$5&gt;Inputs!$C$12)*$D$63*(1+Inputs!$C$11*(U$5-Inputs!$C$12)/12)</f>
        <v>3780</v>
      </c>
      <c r="V67" s="42" t="n">
        <f aca="false">$D$63*(1+IF($C$63&lt;=0,0,MAX($C$63*V$5/12,Inputs!$C$8)))+$I$63*(V$5&gt;Inputs!$C$12)*$D$63*(1+Inputs!$C$11*(V$5-Inputs!$C$12)/12)</f>
        <v>3780</v>
      </c>
      <c r="W67" s="42" t="n">
        <f aca="false">$D$63*(1+IF($C$63&lt;=0,0,MAX($C$63*W$5/12,Inputs!$C$8)))+$I$63*(W$5&gt;Inputs!$C$12)*$D$63*(1+Inputs!$C$11*(W$5-Inputs!$C$12)/12)</f>
        <v>3789</v>
      </c>
      <c r="X67" s="42" t="n">
        <f aca="false">$D$63*(1+IF($C$63&lt;=0,0,MAX($C$63*X$5/12,Inputs!$C$8)))+$I$63*(X$5&gt;Inputs!$C$12)*$D$63*(1+Inputs!$C$11*(X$5-Inputs!$C$12)/12)</f>
        <v>3810</v>
      </c>
      <c r="Y67" s="42" t="n">
        <f aca="false">$D$63*(1+IF($C$63&lt;=0,0,MAX($C$63*Y$5/12,Inputs!$C$8)))+$I$63*(Y$5&gt;Inputs!$C$12)*$D$63*(1+Inputs!$C$11*(Y$5-Inputs!$C$12)/12)</f>
        <v>3831</v>
      </c>
      <c r="Z67" s="42" t="n">
        <f aca="false">$D$63*(1+IF($C$63&lt;=0,0,MAX($C$63*Z$5/12,Inputs!$C$8)))+$I$63*(Z$5&gt;Inputs!$C$12)*$D$63*(1+Inputs!$C$11*(Z$5-Inputs!$C$12)/12)</f>
        <v>3852</v>
      </c>
      <c r="AA67" s="42" t="n">
        <f aca="false">$D$63*(1+IF($C$63&lt;=0,0,MAX($C$63*AA$5/12,Inputs!$C$8)))+$I$63*(AA$5&gt;Inputs!$C$12)*$D$63*(1+Inputs!$C$11*(AA$5-Inputs!$C$12)/12)</f>
        <v>7527</v>
      </c>
      <c r="AB67" s="42" t="n">
        <f aca="false">$D$63*(1+IF($C$63&lt;=0,0,MAX($C$63*AB$5/12,Inputs!$C$8)))+$I$63*(AB$5&gt;Inputs!$C$12)*$D$63*(1+Inputs!$C$11*(AB$5-Inputs!$C$12)/12)</f>
        <v>7602</v>
      </c>
      <c r="AC67" s="42" t="n">
        <f aca="false">$D$63*(1+IF($C$63&lt;=0,0,MAX($C$63*AC$5/12,Inputs!$C$8)))+$I$63*(AC$5&gt;Inputs!$C$12)*$D$63*(1+Inputs!$C$11*(AC$5-Inputs!$C$12)/12)</f>
        <v>7677</v>
      </c>
      <c r="AD67" s="42" t="n">
        <f aca="false">$D$63*(1+IF($C$63&lt;=0,0,MAX($C$63*AD$5/12,Inputs!$C$8)))+$I$63*(AD$5&gt;Inputs!$C$12)*$D$63*(1+Inputs!$C$11*(AD$5-Inputs!$C$12)/12)</f>
        <v>7752</v>
      </c>
      <c r="AE67" s="42" t="n">
        <f aca="false">$D$63*(1+IF($C$63&lt;=0,0,MAX($C$63*AE$5/12,Inputs!$C$8)))+$I$63*(AE$5&gt;Inputs!$C$12)*$D$63*(1+Inputs!$C$11*(AE$5-Inputs!$C$12)/12)</f>
        <v>7827</v>
      </c>
      <c r="AF67" s="42" t="n">
        <f aca="false">$D$63*(1+IF($C$63&lt;=0,0,MAX($C$63*AF$5/12,Inputs!$C$8)))+$I$63*(AF$5&gt;Inputs!$C$12)*$D$63*(1+Inputs!$C$11*(AF$5-Inputs!$C$12)/12)</f>
        <v>7902</v>
      </c>
      <c r="AG67" s="42" t="n">
        <f aca="false">$D$63*(1+IF($C$63&lt;=0,0,MAX($C$63*AG$5/12,Inputs!$C$8)))+$I$63*(AG$5&gt;Inputs!$C$12)*$D$63*(1+Inputs!$C$11*(AG$5-Inputs!$C$12)/12)</f>
        <v>7977</v>
      </c>
      <c r="AH67" s="42" t="n">
        <f aca="false">$D$63*(1+IF($C$63&lt;=0,0,MAX($C$63*AH$5/12,Inputs!$C$8)))+$I$63*(AH$5&gt;Inputs!$C$12)*$D$63*(1+Inputs!$C$11*(AH$5-Inputs!$C$12)/12)</f>
        <v>8052</v>
      </c>
      <c r="AI67" s="42" t="n">
        <f aca="false">$D$63*(1+IF($C$63&lt;=0,0,MAX($C$63*AI$5/12,Inputs!$C$8)))+$I$63*(AI$5&gt;Inputs!$C$12)*$D$63*(1+Inputs!$C$11*(AI$5-Inputs!$C$12)/12)</f>
        <v>8127</v>
      </c>
      <c r="AJ67" s="42" t="n">
        <f aca="false">$D$63*(1+IF($C$63&lt;=0,0,MAX($C$63*AJ$5/12,Inputs!$C$8)))+$I$63*(AJ$5&gt;Inputs!$C$12)*$D$63*(1+Inputs!$C$11*(AJ$5-Inputs!$C$12)/12)</f>
        <v>8202</v>
      </c>
      <c r="AK67" s="42" t="n">
        <f aca="false">$D$63*(1+IF($C$63&lt;=0,0,MAX($C$63*AK$5/12,Inputs!$C$8)))+$I$63*(AK$5&gt;Inputs!$C$12)*$D$63*(1+Inputs!$C$11*(AK$5-Inputs!$C$12)/12)</f>
        <v>8277</v>
      </c>
      <c r="AL67" s="42" t="n">
        <f aca="false">$D$63*(1+IF($C$63&lt;=0,0,MAX($C$63*AL$5/12,Inputs!$C$8)))+$I$63*(AL$5&gt;Inputs!$C$12)*$D$63*(1+Inputs!$C$11*(AL$5-Inputs!$C$12)/12)</f>
        <v>8352</v>
      </c>
    </row>
    <row r="68" customFormat="false" ht="15" hidden="false" customHeight="false" outlineLevel="0" collapsed="false">
      <c r="B68" s="31" t="s">
        <v>187</v>
      </c>
      <c r="N68" s="42" t="n">
        <f aca="false">-($D$63+$J$63)*(N$5=0)+IF(AND(N$5-$K$63&gt;=1,N$5-$K$63&lt;=Inputs!$C$13),INDEX($N$66:$AL$66,1,N$5-$K$63+1)*INDEX($N$67:$AL$67,1,N$5-$K$63+1),0)-$I$63*((N$5=Inputs!$C$12)*$C$65*$D$63+(N$5=Inputs!$C$13)*$D$65*($D$63+Inputs!$C$14))+$I$63*((N$5=Inputs!$C$15+$K$63)*$E$65*$I$65+(N$5=Inputs!$C$16+$K$63)*$F$65*$J$65+(N$5=Inputs!$C$17)*$G$65*$H$63*$H$65)</f>
        <v>-3610</v>
      </c>
      <c r="O68" s="42" t="n">
        <f aca="false">-($D$63+$J$63)*(O$5=0)+IF(AND(O$5-$K$63&gt;=1,O$5-$K$63&lt;=Inputs!$C$13),INDEX($N$66:$AL$66,1,O$5-$K$63+1)*INDEX($N$67:$AL$67,1,O$5-$K$63+1),0)-$I$63*((O$5=Inputs!$C$12)*$C$65*$D$63+(O$5=Inputs!$C$13)*$D$65*($D$63+Inputs!$C$14))+$I$63*((O$5=Inputs!$C$15+$K$63)*$E$65*$I$65+(O$5=Inputs!$C$16+$K$63)*$F$65*$J$65+(O$5=Inputs!$C$17)*$G$65*$H$63*$H$65)</f>
        <v>0</v>
      </c>
      <c r="P68" s="42" t="n">
        <f aca="false">-($D$63+$J$63)*(P$5=0)+IF(AND(P$5-$K$63&gt;=1,P$5-$K$63&lt;=Inputs!$C$13),INDEX($N$66:$AL$66,1,P$5-$K$63+1)*INDEX($N$67:$AL$67,1,P$5-$K$63+1),0)-$I$63*((P$5=Inputs!$C$12)*$C$65*$D$63+(P$5=Inputs!$C$13)*$D$65*($D$63+Inputs!$C$14))+$I$63*((P$5=Inputs!$C$15+$K$63)*$E$65*$I$65+(P$5=Inputs!$C$16+$K$63)*$F$65*$J$65+(P$5=Inputs!$C$17)*$G$65*$H$63*$H$65)</f>
        <v>210.924</v>
      </c>
      <c r="Q68" s="42" t="n">
        <f aca="false">-($D$63+$J$63)*(Q$5=0)+IF(AND(Q$5-$K$63&gt;=1,Q$5-$K$63&lt;=Inputs!$C$13),INDEX($N$66:$AL$66,1,Q$5-$K$63+1)*INDEX($N$67:$AL$67,1,Q$5-$K$63+1),0)-$I$63*((Q$5=Inputs!$C$12)*$C$65*$D$63+(Q$5=Inputs!$C$13)*$D$65*($D$63+Inputs!$C$14))+$I$63*((Q$5=Inputs!$C$15+$K$63)*$E$65*$I$65+(Q$5=Inputs!$C$16+$K$63)*$F$65*$J$65+(Q$5=Inputs!$C$17)*$G$65*$H$63*$H$65)</f>
        <v>210.924</v>
      </c>
      <c r="R68" s="42" t="n">
        <f aca="false">-($D$63+$J$63)*(R$5=0)+IF(AND(R$5-$K$63&gt;=1,R$5-$K$63&lt;=Inputs!$C$13),INDEX($N$66:$AL$66,1,R$5-$K$63+1)*INDEX($N$67:$AL$67,1,R$5-$K$63+1),0)-$I$63*((R$5=Inputs!$C$12)*$C$65*$D$63+(R$5=Inputs!$C$13)*$D$65*($D$63+Inputs!$C$14))+$I$63*((R$5=Inputs!$C$15+$K$63)*$E$65*$I$65+(R$5=Inputs!$C$16+$K$63)*$F$65*$J$65+(R$5=Inputs!$C$17)*$G$65*$H$63*$H$65)</f>
        <v>210.924</v>
      </c>
      <c r="S68" s="42" t="n">
        <f aca="false">-($D$63+$J$63)*(S$5=0)+IF(AND(S$5-$K$63&gt;=1,S$5-$K$63&lt;=Inputs!$C$13),INDEX($N$66:$AL$66,1,S$5-$K$63+1)*INDEX($N$67:$AL$67,1,S$5-$K$63+1),0)-$I$63*((S$5=Inputs!$C$12)*$C$65*$D$63+(S$5=Inputs!$C$13)*$D$65*($D$63+Inputs!$C$14))+$I$63*((S$5=Inputs!$C$15+$K$63)*$E$65*$I$65+(S$5=Inputs!$C$16+$K$63)*$F$65*$J$65+(S$5=Inputs!$C$17)*$G$65*$H$63*$H$65)</f>
        <v>210.924</v>
      </c>
      <c r="T68" s="42" t="n">
        <f aca="false">-($D$63+$J$63)*(T$5=0)+IF(AND(T$5-$K$63&gt;=1,T$5-$K$63&lt;=Inputs!$C$13),INDEX($N$66:$AL$66,1,T$5-$K$63+1)*INDEX($N$67:$AL$67,1,T$5-$K$63+1),0)-$I$63*((T$5=Inputs!$C$12)*$C$65*$D$63+(T$5=Inputs!$C$13)*$D$65*($D$63+Inputs!$C$14))+$I$63*((T$5=Inputs!$C$15+$K$63)*$E$65*$I$65+(T$5=Inputs!$C$16+$K$63)*$F$65*$J$65+(T$5=Inputs!$C$17)*$G$65*$H$63*$H$65)</f>
        <v>210.924</v>
      </c>
      <c r="U68" s="42" t="n">
        <f aca="false">-($D$63+$J$63)*(U$5=0)+IF(AND(U$5-$K$63&gt;=1,U$5-$K$63&lt;=Inputs!$C$13),INDEX($N$66:$AL$66,1,U$5-$K$63+1)*INDEX($N$67:$AL$67,1,U$5-$K$63+1),0)-$I$63*((U$5=Inputs!$C$12)*$C$65*$D$63+(U$5=Inputs!$C$13)*$D$65*($D$63+Inputs!$C$14))+$I$63*((U$5=Inputs!$C$15+$K$63)*$E$65*$I$65+(U$5=Inputs!$C$16+$K$63)*$F$65*$J$65+(U$5=Inputs!$C$17)*$G$65*$H$63*$H$65)</f>
        <v>210.924</v>
      </c>
      <c r="V68" s="42" t="n">
        <f aca="false">-($D$63+$J$63)*(V$5=0)+IF(AND(V$5-$K$63&gt;=1,V$5-$K$63&lt;=Inputs!$C$13),INDEX($N$66:$AL$66,1,V$5-$K$63+1)*INDEX($N$67:$AL$67,1,V$5-$K$63+1),0)-$I$63*((V$5=Inputs!$C$12)*$C$65*$D$63+(V$5=Inputs!$C$13)*$D$65*($D$63+Inputs!$C$14))+$I$63*((V$5=Inputs!$C$15+$K$63)*$E$65*$I$65+(V$5=Inputs!$C$16+$K$63)*$F$65*$J$65+(V$5=Inputs!$C$17)*$G$65*$H$63*$H$65)</f>
        <v>164.052</v>
      </c>
      <c r="W68" s="42" t="n">
        <f aca="false">-($D$63+$J$63)*(W$5=0)+IF(AND(W$5-$K$63&gt;=1,W$5-$K$63&lt;=Inputs!$C$13),INDEX($N$66:$AL$66,1,W$5-$K$63+1)*INDEX($N$67:$AL$67,1,W$5-$K$63+1),0)-$I$63*((W$5=Inputs!$C$12)*$C$65*$D$63+(W$5=Inputs!$C$13)*$D$65*($D$63+Inputs!$C$14))+$I$63*((W$5=Inputs!$C$15+$K$63)*$E$65*$I$65+(W$5=Inputs!$C$16+$K$63)*$F$65*$J$65+(W$5=Inputs!$C$17)*$G$65*$H$63*$H$65)</f>
        <v>164.052</v>
      </c>
      <c r="X68" s="42" t="n">
        <f aca="false">-($D$63+$J$63)*(X$5=0)+IF(AND(X$5-$K$63&gt;=1,X$5-$K$63&lt;=Inputs!$C$13),INDEX($N$66:$AL$66,1,X$5-$K$63+1)*INDEX($N$67:$AL$67,1,X$5-$K$63+1),0)-$I$63*((X$5=Inputs!$C$12)*$C$65*$D$63+(X$5=Inputs!$C$13)*$D$65*($D$63+Inputs!$C$14))+$I$63*((X$5=Inputs!$C$15+$K$63)*$E$65*$I$65+(X$5=Inputs!$C$16+$K$63)*$F$65*$J$65+(X$5=Inputs!$C$17)*$G$65*$H$63*$H$65)</f>
        <v>164.4426</v>
      </c>
      <c r="Y68" s="42" t="n">
        <f aca="false">-($D$63+$J$63)*(Y$5=0)+IF(AND(Y$5-$K$63&gt;=1,Y$5-$K$63&lt;=Inputs!$C$13),INDEX($N$66:$AL$66,1,Y$5-$K$63+1)*INDEX($N$67:$AL$67,1,Y$5-$K$63+1),0)-$I$63*((Y$5=Inputs!$C$12)*$C$65*$D$63+(Y$5=Inputs!$C$13)*$D$65*($D$63+Inputs!$C$14))+$I$63*((Y$5=Inputs!$C$15+$K$63)*$E$65*$I$65+(Y$5=Inputs!$C$16+$K$63)*$F$65*$J$65+(Y$5=Inputs!$C$17)*$G$65*$H$63*$H$65)</f>
        <v>141.732</v>
      </c>
      <c r="Z68" s="42" t="n">
        <f aca="false">-($D$63+$J$63)*(Z$5=0)+IF(AND(Z$5-$K$63&gt;=1,Z$5-$K$63&lt;=Inputs!$C$13),INDEX($N$66:$AL$66,1,Z$5-$K$63+1)*INDEX($N$67:$AL$67,1,Z$5-$K$63+1),0)-$I$63*((Z$5=Inputs!$C$12)*$C$65*$D$63+(Z$5=Inputs!$C$13)*$D$65*($D$63+Inputs!$C$14))+$I$63*((Z$5=Inputs!$C$15+$K$63)*$E$65*$I$65+(Z$5=Inputs!$C$16+$K$63)*$F$65*$J$65+(Z$5=Inputs!$C$17)*$G$65*$H$63*$H$65)</f>
        <v>-1381.7268</v>
      </c>
      <c r="AA68" s="42" t="n">
        <f aca="false">-($D$63+$J$63)*(AA$5=0)+IF(AND(AA$5-$K$63&gt;=1,AA$5-$K$63&lt;=Inputs!$C$13),INDEX($N$66:$AL$66,1,AA$5-$K$63+1)*INDEX($N$67:$AL$67,1,AA$5-$K$63+1),0)-$I$63*((AA$5=Inputs!$C$12)*$C$65*$D$63+(AA$5=Inputs!$C$13)*$D$65*($D$63+Inputs!$C$14))+$I$63*((AA$5=Inputs!$C$15+$K$63)*$E$65*$I$65+(AA$5=Inputs!$C$16+$K$63)*$F$65*$J$65+(AA$5=Inputs!$C$17)*$G$65*$H$63*$H$65)</f>
        <v>143.2944</v>
      </c>
      <c r="AB68" s="42" t="n">
        <f aca="false">-($D$63+$J$63)*(AB$5=0)+IF(AND(AB$5-$K$63&gt;=1,AB$5-$K$63&lt;=Inputs!$C$13),INDEX($N$66:$AL$66,1,AB$5-$K$63+1)*INDEX($N$67:$AL$67,1,AB$5-$K$63+1),0)-$I$63*((AB$5=Inputs!$C$12)*$C$65*$D$63+(AB$5=Inputs!$C$13)*$D$65*($D$63+Inputs!$C$14))+$I$63*((AB$5=Inputs!$C$15+$K$63)*$E$65*$I$65+(AB$5=Inputs!$C$16+$K$63)*$F$65*$J$65+(AB$5=Inputs!$C$17)*$G$65*$H$63*$H$65)</f>
        <v>233.337</v>
      </c>
      <c r="AC68" s="42" t="n">
        <f aca="false">-($D$63+$J$63)*(AC$5=0)+IF(AND(AC$5-$K$63&gt;=1,AC$5-$K$63&lt;=Inputs!$C$13),INDEX($N$66:$AL$66,1,AC$5-$K$63+1)*INDEX($N$67:$AL$67,1,AC$5-$K$63+1),0)-$I$63*((AC$5=Inputs!$C$12)*$C$65*$D$63+(AC$5=Inputs!$C$13)*$D$65*($D$63+Inputs!$C$14))+$I$63*((AC$5=Inputs!$C$15+$K$63)*$E$65*$I$65+(AC$5=Inputs!$C$16+$K$63)*$F$65*$J$65+(AC$5=Inputs!$C$17)*$G$65*$H$63*$H$65)</f>
        <v>235.662</v>
      </c>
      <c r="AD68" s="42" t="n">
        <f aca="false">-($D$63+$J$63)*(AD$5=0)+IF(AND(AD$5-$K$63&gt;=1,AD$5-$K$63&lt;=Inputs!$C$13),INDEX($N$66:$AL$66,1,AD$5-$K$63+1)*INDEX($N$67:$AL$67,1,AD$5-$K$63+1),0)-$I$63*((AD$5=Inputs!$C$12)*$C$65*$D$63+(AD$5=Inputs!$C$13)*$D$65*($D$63+Inputs!$C$14))+$I$63*((AD$5=Inputs!$C$15+$K$63)*$E$65*$I$65+(AD$5=Inputs!$C$16+$K$63)*$F$65*$J$65+(AD$5=Inputs!$C$17)*$G$65*$H$63*$H$65)</f>
        <v>237.987</v>
      </c>
      <c r="AE68" s="42" t="n">
        <f aca="false">-($D$63+$J$63)*(AE$5=0)+IF(AND(AE$5-$K$63&gt;=1,AE$5-$K$63&lt;=Inputs!$C$13),INDEX($N$66:$AL$66,1,AE$5-$K$63+1)*INDEX($N$67:$AL$67,1,AE$5-$K$63+1),0)-$I$63*((AE$5=Inputs!$C$12)*$C$65*$D$63+(AE$5=Inputs!$C$13)*$D$65*($D$63+Inputs!$C$14))+$I$63*((AE$5=Inputs!$C$15+$K$63)*$E$65*$I$65+(AE$5=Inputs!$C$16+$K$63)*$F$65*$J$65+(AE$5=Inputs!$C$17)*$G$65*$H$63*$H$65)</f>
        <v>240.312</v>
      </c>
      <c r="AF68" s="42" t="n">
        <f aca="false">-($D$63+$J$63)*(AF$5=0)+IF(AND(AF$5-$K$63&gt;=1,AF$5-$K$63&lt;=Inputs!$C$13),INDEX($N$66:$AL$66,1,AF$5-$K$63+1)*INDEX($N$67:$AL$67,1,AF$5-$K$63+1),0)-$I$63*((AF$5=Inputs!$C$12)*$C$65*$D$63+(AF$5=Inputs!$C$13)*$D$65*($D$63+Inputs!$C$14))+$I$63*((AF$5=Inputs!$C$15+$K$63)*$E$65*$I$65+(AF$5=Inputs!$C$16+$K$63)*$F$65*$J$65+(AF$5=Inputs!$C$17)*$G$65*$H$63*$H$65)</f>
        <v>242.637</v>
      </c>
      <c r="AG68" s="42" t="n">
        <f aca="false">-($D$63+$J$63)*(AG$5=0)+IF(AND(AG$5-$K$63&gt;=1,AG$5-$K$63&lt;=Inputs!$C$13),INDEX($N$66:$AL$66,1,AG$5-$K$63+1)*INDEX($N$67:$AL$67,1,AG$5-$K$63+1),0)-$I$63*((AG$5=Inputs!$C$12)*$C$65*$D$63+(AG$5=Inputs!$C$13)*$D$65*($D$63+Inputs!$C$14))+$I$63*((AG$5=Inputs!$C$15+$K$63)*$E$65*$I$65+(AG$5=Inputs!$C$16+$K$63)*$F$65*$J$65+(AG$5=Inputs!$C$17)*$G$65*$H$63*$H$65)</f>
        <v>244.962</v>
      </c>
      <c r="AH68" s="42" t="n">
        <f aca="false">-($D$63+$J$63)*(AH$5=0)+IF(AND(AH$5-$K$63&gt;=1,AH$5-$K$63&lt;=Inputs!$C$13),INDEX($N$66:$AL$66,1,AH$5-$K$63+1)*INDEX($N$67:$AL$67,1,AH$5-$K$63+1),0)-$I$63*((AH$5=Inputs!$C$12)*$C$65*$D$63+(AH$5=Inputs!$C$13)*$D$65*($D$63+Inputs!$C$14))+$I$63*((AH$5=Inputs!$C$15+$K$63)*$E$65*$I$65+(AH$5=Inputs!$C$16+$K$63)*$F$65*$J$65+(AH$5=Inputs!$C$17)*$G$65*$H$63*$H$65)</f>
        <v>222.5583</v>
      </c>
      <c r="AI68" s="42" t="n">
        <f aca="false">-($D$63+$J$63)*(AI$5=0)+IF(AND(AI$5-$K$63&gt;=1,AI$5-$K$63&lt;=Inputs!$C$13),INDEX($N$66:$AL$66,1,AI$5-$K$63+1)*INDEX($N$67:$AL$67,1,AI$5-$K$63+1),0)-$I$63*((AI$5=Inputs!$C$12)*$C$65*$D$63+(AI$5=Inputs!$C$13)*$D$65*($D$63+Inputs!$C$14))+$I$63*((AI$5=Inputs!$C$15+$K$63)*$E$65*$I$65+(AI$5=Inputs!$C$16+$K$63)*$F$65*$J$65+(AI$5=Inputs!$C$17)*$G$65*$H$63*$H$65)</f>
        <v>224.6508</v>
      </c>
      <c r="AJ68" s="42" t="n">
        <f aca="false">-($D$63+$J$63)*(AJ$5=0)+IF(AND(AJ$5-$K$63&gt;=1,AJ$5-$K$63&lt;=Inputs!$C$13),INDEX($N$66:$AL$66,1,AJ$5-$K$63+1)*INDEX($N$67:$AL$67,1,AJ$5-$K$63+1),0)-$I$63*((AJ$5=Inputs!$C$12)*$C$65*$D$63+(AJ$5=Inputs!$C$13)*$D$65*($D$63+Inputs!$C$14))+$I$63*((AJ$5=Inputs!$C$15+$K$63)*$E$65*$I$65+(AJ$5=Inputs!$C$16+$K$63)*$F$65*$J$65+(AJ$5=Inputs!$C$17)*$G$65*$H$63*$H$65)</f>
        <v>226.743299999999</v>
      </c>
      <c r="AK68" s="42" t="n">
        <f aca="false">-($D$63+$J$63)*(AK$5=0)+IF(AND(AK$5-$K$63&gt;=1,AK$5-$K$63&lt;=Inputs!$C$13),INDEX($N$66:$AL$66,1,AK$5-$K$63+1)*INDEX($N$67:$AL$67,1,AK$5-$K$63+1),0)-$I$63*((AK$5=Inputs!$C$12)*$C$65*$D$63+(AK$5=Inputs!$C$13)*$D$65*($D$63+Inputs!$C$14))+$I$63*((AK$5=Inputs!$C$15+$K$63)*$E$65*$I$65+(AK$5=Inputs!$C$16+$K$63)*$F$65*$J$65+(AK$5=Inputs!$C$17)*$G$65*$H$63*$H$65)</f>
        <v>228.8358</v>
      </c>
      <c r="AL68" s="42" t="n">
        <f aca="false">-($D$63+$J$63)*(AL$5=0)+IF(AND(AL$5-$K$63&gt;=1,AL$5-$K$63&lt;=Inputs!$C$13),INDEX($N$66:$AL$66,1,AL$5-$K$63+1)*INDEX($N$67:$AL$67,1,AL$5-$K$63+1),0)-$I$63*((AL$5=Inputs!$C$12)*$C$65*$D$63+(AL$5=Inputs!$C$13)*$D$65*($D$63+Inputs!$C$14))+$I$63*((AL$5=Inputs!$C$15+$K$63)*$E$65*$I$65+(AL$5=Inputs!$C$16+$K$63)*$F$65*$J$65+(AL$5=Inputs!$C$17)*$G$65*$H$63*$H$65)</f>
        <v>-147.0717</v>
      </c>
      <c r="AM68" s="42" t="n">
        <f aca="false">-($D$63+$J$63)*(AM$5=0)+IF(AND(AM$5-$K$63&gt;=1,AM$5-$K$63&lt;=Inputs!$C$13),INDEX($N$66:$AL$66,1,AM$5-$K$63+1)*INDEX($N$67:$AL$67,1,AM$5-$K$63+1),0)-$I$63*((AM$5=Inputs!$C$12)*$C$65*$D$63+(AM$5=Inputs!$C$13)*$D$65*($D$63+Inputs!$C$14))+$I$63*((AM$5=Inputs!$C$15+$K$63)*$E$65*$I$65+(AM$5=Inputs!$C$16+$K$63)*$F$65*$J$65+(AM$5=Inputs!$C$17)*$G$65*$H$63*$H$65)</f>
        <v>233.0208</v>
      </c>
      <c r="AN68" s="42" t="n">
        <f aca="false">-($D$63+$J$63)*(AN$5=0)+IF(AND(AN$5-$K$63&gt;=1,AN$5-$K$63&lt;=Inputs!$C$13),INDEX($N$66:$AL$66,1,AN$5-$K$63+1)*INDEX($N$67:$AL$67,1,AN$5-$K$63+1),0)-$I$63*((AN$5=Inputs!$C$12)*$C$65*$D$63+(AN$5=Inputs!$C$13)*$D$65*($D$63+Inputs!$C$14))+$I$63*((AN$5=Inputs!$C$15+$K$63)*$E$65*$I$65+(AN$5=Inputs!$C$16+$K$63)*$F$65*$J$65+(AN$5=Inputs!$C$17)*$G$65*$H$63*$H$65)</f>
        <v>0</v>
      </c>
      <c r="AO68" s="42" t="n">
        <f aca="false">-($D$63+$J$63)*(AO$5=0)+IF(AND(AO$5-$K$63&gt;=1,AO$5-$K$63&lt;=Inputs!$C$13),INDEX($N$66:$AL$66,1,AO$5-$K$63+1)*INDEX($N$67:$AL$67,1,AO$5-$K$63+1),0)-$I$63*((AO$5=Inputs!$C$12)*$C$65*$D$63+(AO$5=Inputs!$C$13)*$D$65*($D$63+Inputs!$C$14))+$I$63*((AO$5=Inputs!$C$15+$K$63)*$E$65*$I$65+(AO$5=Inputs!$C$16+$K$63)*$F$65*$J$65+(AO$5=Inputs!$C$17)*$G$65*$H$63*$H$65)</f>
        <v>0</v>
      </c>
      <c r="AP68" s="42" t="n">
        <f aca="false">-($D$63+$J$63)*(AP$5=0)+IF(AND(AP$5-$K$63&gt;=1,AP$5-$K$63&lt;=Inputs!$C$13),INDEX($N$66:$AL$66,1,AP$5-$K$63+1)*INDEX($N$67:$AL$67,1,AP$5-$K$63+1),0)-$I$63*((AP$5=Inputs!$C$12)*$C$65*$D$63+(AP$5=Inputs!$C$13)*$D$65*($D$63+Inputs!$C$14))+$I$63*((AP$5=Inputs!$C$15+$K$63)*$E$65*$I$65+(AP$5=Inputs!$C$16+$K$63)*$F$65*$J$65+(AP$5=Inputs!$C$17)*$G$65*$H$63*$H$65)</f>
        <v>593.838</v>
      </c>
      <c r="AQ68" s="42" t="n">
        <f aca="false">-($D$63+$J$63)*(AQ$5=0)+IF(AND(AQ$5-$K$63&gt;=1,AQ$5-$K$63&lt;=Inputs!$C$13),INDEX($N$66:$AL$66,1,AQ$5-$K$63+1)*INDEX($N$67:$AL$67,1,AQ$5-$K$63+1),0)-$I$63*((AQ$5=Inputs!$C$12)*$C$65*$D$63+(AQ$5=Inputs!$C$13)*$D$65*($D$63+Inputs!$C$14))+$I$63*((AQ$5=Inputs!$C$15+$K$63)*$E$65*$I$65+(AQ$5=Inputs!$C$16+$K$63)*$F$65*$J$65+(AQ$5=Inputs!$C$17)*$G$65*$H$63*$H$65)</f>
        <v>0</v>
      </c>
      <c r="AR68" s="42" t="n">
        <f aca="false">-($D$63+$J$63)*(AR$5=0)+IF(AND(AR$5-$K$63&gt;=1,AR$5-$K$63&lt;=Inputs!$C$13),INDEX($N$66:$AL$66,1,AR$5-$K$63+1)*INDEX($N$67:$AL$67,1,AR$5-$K$63+1),0)-$I$63*((AR$5=Inputs!$C$12)*$C$65*$D$63+(AR$5=Inputs!$C$13)*$D$65*($D$63+Inputs!$C$14))+$I$63*((AR$5=Inputs!$C$15+$K$63)*$E$65*$I$65+(AR$5=Inputs!$C$16+$K$63)*$F$65*$J$65+(AR$5=Inputs!$C$17)*$G$65*$H$63*$H$65)</f>
        <v>0</v>
      </c>
      <c r="AS68" s="42" t="n">
        <f aca="false">-($D$63+$J$63)*(AS$5=0)+IF(AND(AS$5-$K$63&gt;=1,AS$5-$K$63&lt;=Inputs!$C$13),INDEX($N$66:$AL$66,1,AS$5-$K$63+1)*INDEX($N$67:$AL$67,1,AS$5-$K$63+1),0)-$I$63*((AS$5=Inputs!$C$12)*$C$65*$D$63+(AS$5=Inputs!$C$13)*$D$65*($D$63+Inputs!$C$14))+$I$63*((AS$5=Inputs!$C$15+$K$63)*$E$65*$I$65+(AS$5=Inputs!$C$16+$K$63)*$F$65*$J$65+(AS$5=Inputs!$C$17)*$G$65*$H$63*$H$65)</f>
        <v>345.7188</v>
      </c>
      <c r="AT68" s="42" t="n">
        <f aca="false">-($D$63+$J$63)*(AT$5=0)+IF(AND(AT$5-$K$63&gt;=1,AT$5-$K$63&lt;=Inputs!$C$13),INDEX($N$66:$AL$66,1,AT$5-$K$63+1)*INDEX($N$67:$AL$67,1,AT$5-$K$63+1),0)-$I$63*((AT$5=Inputs!$C$12)*$C$65*$D$63+(AT$5=Inputs!$C$13)*$D$65*($D$63+Inputs!$C$14))+$I$63*((AT$5=Inputs!$C$15+$K$63)*$E$65*$I$65+(AT$5=Inputs!$C$16+$K$63)*$F$65*$J$65+(AT$5=Inputs!$C$17)*$G$65*$H$63*$H$65)</f>
        <v>0</v>
      </c>
      <c r="AU68" s="42" t="n">
        <f aca="false">-($D$63+$J$63)*(AU$5=0)+IF(AND(AU$5-$K$63&gt;=1,AU$5-$K$63&lt;=Inputs!$C$13),INDEX($N$66:$AL$66,1,AU$5-$K$63+1)*INDEX($N$67:$AL$67,1,AU$5-$K$63+1),0)-$I$63*((AU$5=Inputs!$C$12)*$C$65*$D$63+(AU$5=Inputs!$C$13)*$D$65*($D$63+Inputs!$C$14))+$I$63*((AU$5=Inputs!$C$15+$K$63)*$E$65*$I$65+(AU$5=Inputs!$C$16+$K$63)*$F$65*$J$65+(AU$5=Inputs!$C$17)*$G$65*$H$63*$H$65)</f>
        <v>0</v>
      </c>
      <c r="AV68" s="42" t="n">
        <f aca="false">-($D$63+$J$63)*(AV$5=0)+IF(AND(AV$5-$K$63&gt;=1,AV$5-$K$63&lt;=Inputs!$C$13),INDEX($N$66:$AL$66,1,AV$5-$K$63+1)*INDEX($N$67:$AL$67,1,AV$5-$K$63+1),0)-$I$63*((AV$5=Inputs!$C$12)*$C$65*$D$63+(AV$5=Inputs!$C$13)*$D$65*($D$63+Inputs!$C$14))+$I$63*((AV$5=Inputs!$C$15+$K$63)*$E$65*$I$65+(AV$5=Inputs!$C$16+$K$63)*$F$65*$J$65+(AV$5=Inputs!$C$17)*$G$65*$H$63*$H$65)</f>
        <v>0</v>
      </c>
      <c r="AW68" s="42" t="n">
        <f aca="false">-($D$63+$J$63)*(AW$5=0)+IF(AND(AW$5-$K$63&gt;=1,AW$5-$K$63&lt;=Inputs!$C$13),INDEX($N$66:$AL$66,1,AW$5-$K$63+1)*INDEX($N$67:$AL$67,1,AW$5-$K$63+1),0)-$I$63*((AW$5=Inputs!$C$12)*$C$65*$D$63+(AW$5=Inputs!$C$13)*$D$65*($D$63+Inputs!$C$14))+$I$63*((AW$5=Inputs!$C$15+$K$63)*$E$65*$I$65+(AW$5=Inputs!$C$16+$K$63)*$F$65*$J$65+(AW$5=Inputs!$C$17)*$G$65*$H$63*$H$65)</f>
        <v>0</v>
      </c>
      <c r="AX68" s="42" t="n">
        <f aca="false">-($D$63+$J$63)*(AX$5=0)+IF(AND(AX$5-$K$63&gt;=1,AX$5-$K$63&lt;=Inputs!$C$13),INDEX($N$66:$AL$66,1,AX$5-$K$63+1)*INDEX($N$67:$AL$67,1,AX$5-$K$63+1),0)-$I$63*((AX$5=Inputs!$C$12)*$C$65*$D$63+(AX$5=Inputs!$C$13)*$D$65*($D$63+Inputs!$C$14))+$I$63*((AX$5=Inputs!$C$15+$K$63)*$E$65*$I$65+(AX$5=Inputs!$C$16+$K$63)*$F$65*$J$65+(AX$5=Inputs!$C$17)*$G$65*$H$63*$H$65)</f>
        <v>47.628</v>
      </c>
      <c r="AY68" s="42" t="n">
        <f aca="false">-($D$63+$J$63)*(AY$5=0)+IF(AND(AY$5-$K$63&gt;=1,AY$5-$K$63&lt;=Inputs!$C$13),INDEX($N$66:$AL$66,1,AY$5-$K$63+1)*INDEX($N$67:$AL$67,1,AY$5-$K$63+1),0)-$I$63*((AY$5=Inputs!$C$12)*$C$65*$D$63+(AY$5=Inputs!$C$13)*$D$65*($D$63+Inputs!$C$14))+$I$63*((AY$5=Inputs!$C$15+$K$63)*$E$65*$I$65+(AY$5=Inputs!$C$16+$K$63)*$F$65*$J$65+(AY$5=Inputs!$C$17)*$G$65*$H$63*$H$65)</f>
        <v>0</v>
      </c>
    </row>
    <row r="70" customFormat="false" ht="15" hidden="false" customHeight="false" outlineLevel="0" collapsed="false">
      <c r="B70" s="7" t="s">
        <v>248</v>
      </c>
      <c r="C70" s="8"/>
      <c r="D70" s="8"/>
      <c r="E70" s="8"/>
      <c r="F70" s="8"/>
      <c r="G70" s="8"/>
      <c r="H70" s="8"/>
      <c r="I70" s="8"/>
      <c r="J70" s="8"/>
      <c r="K70" s="8"/>
      <c r="L70" s="8"/>
    </row>
    <row r="71" customFormat="false" ht="30" hidden="false" customHeight="true" outlineLevel="0" collapsed="false">
      <c r="B71" s="37"/>
      <c r="C71" s="38" t="s">
        <v>169</v>
      </c>
      <c r="D71" s="38" t="s">
        <v>170</v>
      </c>
      <c r="E71" s="38" t="s">
        <v>171</v>
      </c>
      <c r="F71" s="38" t="s">
        <v>43</v>
      </c>
      <c r="G71" s="38" t="s">
        <v>44</v>
      </c>
      <c r="H71" s="38" t="s">
        <v>45</v>
      </c>
      <c r="I71" s="38" t="s">
        <v>172</v>
      </c>
      <c r="J71" s="38" t="s">
        <v>90</v>
      </c>
      <c r="K71" s="38" t="s">
        <v>89</v>
      </c>
      <c r="L71" s="38" t="s">
        <v>173</v>
      </c>
    </row>
    <row r="72" customFormat="false" ht="15" hidden="false" customHeight="false" outlineLevel="0" collapsed="false">
      <c r="B72" s="39" t="s">
        <v>174</v>
      </c>
      <c r="C72" s="26" t="n">
        <f aca="false">Inputs!$F$41*Inputs!$E$56</f>
        <v>0.09</v>
      </c>
      <c r="D72" s="30" t="n">
        <f aca="false">Inputs!$E$41</f>
        <v>9500</v>
      </c>
      <c r="E72" s="26" t="n">
        <f aca="false">IF(Inputs!$G$41=1,Inputs!$F$27,MIN(1,MAX(0,INDEX(Inputs!$F$23:$F$27,MATCH(Inputs!$C$41,Inputs!$B$23:$B$27,0))+INDEX(Inputs!$C$48:$C$51,MATCH(Inputs!$D$56,Inputs!$B$48:$B$51,0)))))</f>
        <v>0.9</v>
      </c>
      <c r="F72" s="25" t="n">
        <f aca="false">IF(Inputs!$G$41=1,Inputs!$G$27,INDEX(Inputs!$G$23:$G$27,MATCH(Inputs!$C$41,Inputs!$B$23:$B$27,0)))</f>
        <v>0.6</v>
      </c>
      <c r="G72" s="25" t="n">
        <f aca="false">IF(Inputs!$G$41=1,Inputs!$H$27,INDEX(Inputs!$H$23:$H$27,MATCH(Inputs!$C$41,Inputs!$B$23:$B$27,0)))*INDEX(Inputs!$D$48:$D$51,MATCH(Inputs!$D$56,Inputs!$B$48:$B$51,0))</f>
        <v>0.8</v>
      </c>
      <c r="H72" s="25" t="n">
        <f aca="false">MAX(0,IF(Inputs!$G$41=1,Inputs!$I$27,INDEX(Inputs!$I$23:$I$27,MATCH(Inputs!$C$41,Inputs!$B$23:$B$27,0)))+INDEX(Inputs!$E$48:$E$51,MATCH(Inputs!$D$56,Inputs!$B$48:$B$51,0)))</f>
        <v>0.9</v>
      </c>
      <c r="I72" s="22" t="n">
        <f aca="false">IF(Inputs!$G$41=1,0,INDEX(Inputs!$J$23:$J$27,MATCH(Inputs!$C$41,Inputs!$B$23:$B$27,0)))</f>
        <v>1</v>
      </c>
      <c r="J72" s="23" t="n">
        <f aca="false">Inputs!$G$56</f>
        <v>10</v>
      </c>
      <c r="K72" s="22" t="n">
        <f aca="false">Inputs!$F$56</f>
        <v>1</v>
      </c>
      <c r="L72" s="22" t="n">
        <f aca="false">Inputs!$C$56</f>
        <v>2</v>
      </c>
    </row>
    <row r="73" customFormat="false" ht="30" hidden="false" customHeight="true" outlineLevel="0" collapsed="false">
      <c r="B73" s="37"/>
      <c r="C73" s="38" t="s">
        <v>175</v>
      </c>
      <c r="D73" s="38" t="s">
        <v>176</v>
      </c>
      <c r="E73" s="38" t="s">
        <v>177</v>
      </c>
      <c r="F73" s="38" t="s">
        <v>178</v>
      </c>
      <c r="G73" s="38" t="s">
        <v>112</v>
      </c>
      <c r="H73" s="38" t="s">
        <v>179</v>
      </c>
      <c r="I73" s="38" t="s">
        <v>180</v>
      </c>
      <c r="J73" s="38" t="s">
        <v>181</v>
      </c>
      <c r="K73" s="38" t="s">
        <v>182</v>
      </c>
      <c r="L73" s="38" t="s">
        <v>183</v>
      </c>
    </row>
    <row r="74" customFormat="false" ht="15" hidden="false" customHeight="false" outlineLevel="0" collapsed="false">
      <c r="B74" s="39" t="s">
        <v>184</v>
      </c>
      <c r="C74" s="40" t="n">
        <f aca="false">1-$E$72*CHOOSE($L$72,INDEX(Timing!$C$7:$AA$7,1,Inputs!$C$12+1),INDEX(Timing!$C$8:$AA$8,1,Inputs!$C$12+1))</f>
        <v>0.442</v>
      </c>
      <c r="D74" s="40" t="n">
        <f aca="false">1-$E$72*CHOOSE($L$72,INDEX(Timing!$C$7:$AA$7,1,Inputs!$C$13+1),INDEX(Timing!$C$8:$AA$8,1,Inputs!$C$13+1))</f>
        <v>0.1</v>
      </c>
      <c r="E74" s="40" t="n">
        <f aca="false">$I$72*$D$74*$F$72</f>
        <v>0.06</v>
      </c>
      <c r="F74" s="40" t="n">
        <f aca="false">$I$72*($D$74-$E$74)*$G$72</f>
        <v>0.032</v>
      </c>
      <c r="G74" s="40" t="n">
        <f aca="false">$I$72*($D$74-$E$74-$F$74)</f>
        <v>0.008</v>
      </c>
      <c r="H74" s="23" t="n">
        <f aca="false">$I$72*(3*$D$72+Inputs!$C$14)</f>
        <v>30300</v>
      </c>
      <c r="I74" s="23" t="n">
        <f aca="false">$I$72*($D$72*(1+IF($C$72&lt;=0,0,MAX($C$72*Inputs!$C$15/12,Inputs!$C$8)))+$D$72*(1+Inputs!$C$11*(Inputs!$C$15-Inputs!$C$12)/12)+$D$72*(1+Inputs!$C$11*(Inputs!$C$15-Inputs!$C$13)/12)+Inputs!$C$14)</f>
        <v>34788.75</v>
      </c>
      <c r="J74" s="23" t="n">
        <f aca="false">$I$72*($D$72*(1+IF($C$72&lt;=0,0,MAX($C$72*Inputs!$C$16/12,Inputs!$C$8)))+$D$72*(1+Inputs!$C$11*(Inputs!$C$16-Inputs!$C$12)/12)+$D$72*(1+Inputs!$C$11*(Inputs!$C$16-Inputs!$C$13)/12)+Inputs!$C$14)</f>
        <v>35857.5</v>
      </c>
      <c r="K74" s="40" t="n">
        <f aca="false">IRR($N$77:$AY$77,0.005)</f>
        <v>0.00796196192433009</v>
      </c>
      <c r="L74" s="41" t="n">
        <f aca="false">(1+$K$74)^12-1</f>
        <v>0.0998405260891131</v>
      </c>
    </row>
    <row r="75" customFormat="false" ht="15" hidden="false" customHeight="false" outlineLevel="0" collapsed="false">
      <c r="B75" s="9" t="s">
        <v>185</v>
      </c>
      <c r="N75" s="40" t="n">
        <f aca="false">0</f>
        <v>0</v>
      </c>
      <c r="O75" s="40" t="n">
        <f aca="false">$E$72*(CHOOSE($L$72,Timing!D$7,Timing!D$8)-CHOOSE($L$72,Timing!C$7,Timing!C$8))</f>
        <v>0.054</v>
      </c>
      <c r="P75" s="40" t="n">
        <f aca="false">$E$72*(CHOOSE($L$72,Timing!E$7,Timing!E$8)-CHOOSE($L$72,Timing!D$7,Timing!D$8))</f>
        <v>0.054</v>
      </c>
      <c r="Q75" s="40" t="n">
        <f aca="false">$E$72*(CHOOSE($L$72,Timing!F$7,Timing!F$8)-CHOOSE($L$72,Timing!E$7,Timing!E$8))</f>
        <v>0.054</v>
      </c>
      <c r="R75" s="40" t="n">
        <f aca="false">$E$72*(CHOOSE($L$72,Timing!G$7,Timing!G$8)-CHOOSE($L$72,Timing!F$7,Timing!F$8))</f>
        <v>0.054</v>
      </c>
      <c r="S75" s="40" t="n">
        <f aca="false">$E$72*(CHOOSE($L$72,Timing!H$7,Timing!H$8)-CHOOSE($L$72,Timing!G$7,Timing!G$8))</f>
        <v>0.054</v>
      </c>
      <c r="T75" s="40" t="n">
        <f aca="false">$E$72*(CHOOSE($L$72,Timing!I$7,Timing!I$8)-CHOOSE($L$72,Timing!H$7,Timing!H$8))</f>
        <v>0.054</v>
      </c>
      <c r="U75" s="40" t="n">
        <f aca="false">$E$72*(CHOOSE($L$72,Timing!J$7,Timing!J$8)-CHOOSE($L$72,Timing!I$7,Timing!I$8))</f>
        <v>0.042</v>
      </c>
      <c r="V75" s="40" t="n">
        <f aca="false">$E$72*(CHOOSE($L$72,Timing!K$7,Timing!K$8)-CHOOSE($L$72,Timing!J$7,Timing!J$8))</f>
        <v>0.042</v>
      </c>
      <c r="W75" s="40" t="n">
        <f aca="false">$E$72*(CHOOSE($L$72,Timing!L$7,Timing!L$8)-CHOOSE($L$72,Timing!K$7,Timing!K$8))</f>
        <v>0.042</v>
      </c>
      <c r="X75" s="40" t="n">
        <f aca="false">$E$72*(CHOOSE($L$72,Timing!M$7,Timing!M$8)-CHOOSE($L$72,Timing!L$7,Timing!L$8))</f>
        <v>0.036</v>
      </c>
      <c r="Y75" s="40" t="n">
        <f aca="false">$E$72*(CHOOSE($L$72,Timing!N$7,Timing!N$8)-CHOOSE($L$72,Timing!M$7,Timing!M$8))</f>
        <v>0.0359999999999999</v>
      </c>
      <c r="Z75" s="40" t="n">
        <f aca="false">$E$72*(CHOOSE($L$72,Timing!O$7,Timing!O$8)-CHOOSE($L$72,Timing!N$7,Timing!N$8))</f>
        <v>0.036</v>
      </c>
      <c r="AA75" s="40" t="n">
        <f aca="false">$E$72*(CHOOSE($L$72,Timing!P$7,Timing!P$8)-CHOOSE($L$72,Timing!O$7,Timing!O$8))</f>
        <v>0.03</v>
      </c>
      <c r="AB75" s="40" t="n">
        <f aca="false">$E$72*(CHOOSE($L$72,Timing!Q$7,Timing!Q$8)-CHOOSE($L$72,Timing!P$7,Timing!P$8))</f>
        <v>0.03</v>
      </c>
      <c r="AC75" s="40" t="n">
        <f aca="false">$E$72*(CHOOSE($L$72,Timing!R$7,Timing!R$8)-CHOOSE($L$72,Timing!Q$7,Timing!Q$8))</f>
        <v>0.03</v>
      </c>
      <c r="AD75" s="40" t="n">
        <f aca="false">$E$72*(CHOOSE($L$72,Timing!S$7,Timing!S$8)-CHOOSE($L$72,Timing!R$7,Timing!R$8))</f>
        <v>0.03</v>
      </c>
      <c r="AE75" s="40" t="n">
        <f aca="false">$E$72*(CHOOSE($L$72,Timing!T$7,Timing!T$8)-CHOOSE($L$72,Timing!S$7,Timing!S$8))</f>
        <v>0.03</v>
      </c>
      <c r="AF75" s="40" t="n">
        <f aca="false">$E$72*(CHOOSE($L$72,Timing!U$7,Timing!U$8)-CHOOSE($L$72,Timing!T$7,Timing!T$8))</f>
        <v>0.03</v>
      </c>
      <c r="AG75" s="40" t="n">
        <f aca="false">$E$72*(CHOOSE($L$72,Timing!V$7,Timing!V$8)-CHOOSE($L$72,Timing!U$7,Timing!U$8))</f>
        <v>0.027</v>
      </c>
      <c r="AH75" s="40" t="n">
        <f aca="false">$E$72*(CHOOSE($L$72,Timing!W$7,Timing!W$8)-CHOOSE($L$72,Timing!V$7,Timing!V$8))</f>
        <v>0.027</v>
      </c>
      <c r="AI75" s="40" t="n">
        <f aca="false">$E$72*(CHOOSE($L$72,Timing!X$7,Timing!X$8)-CHOOSE($L$72,Timing!W$7,Timing!W$8))</f>
        <v>0.0269999999999999</v>
      </c>
      <c r="AJ75" s="40" t="n">
        <f aca="false">$E$72*(CHOOSE($L$72,Timing!Y$7,Timing!Y$8)-CHOOSE($L$72,Timing!X$7,Timing!X$8))</f>
        <v>0.027</v>
      </c>
      <c r="AK75" s="40" t="n">
        <f aca="false">$E$72*(CHOOSE($L$72,Timing!Z$7,Timing!Z$8)-CHOOSE($L$72,Timing!Y$7,Timing!Y$8))</f>
        <v>0.027</v>
      </c>
      <c r="AL75" s="40" t="n">
        <f aca="false">$E$72*(CHOOSE($L$72,Timing!AA$7,Timing!AA$8)-CHOOSE($L$72,Timing!Z$7,Timing!Z$8))</f>
        <v>0.027</v>
      </c>
    </row>
    <row r="76" customFormat="false" ht="15" hidden="false" customHeight="false" outlineLevel="0" collapsed="false">
      <c r="B76" s="9" t="s">
        <v>186</v>
      </c>
      <c r="N76" s="42" t="n">
        <f aca="false">0</f>
        <v>0</v>
      </c>
      <c r="O76" s="42" t="n">
        <f aca="false">$D$72*(1+IF($C$72&lt;=0,0,MAX($C$72*O$5/12,Inputs!$C$8)))+$I$72*(O$5&gt;Inputs!$C$12)*$D$72*(1+Inputs!$C$11*(O$5-Inputs!$C$12)/12)</f>
        <v>9975</v>
      </c>
      <c r="P76" s="42" t="n">
        <f aca="false">$D$72*(1+IF($C$72&lt;=0,0,MAX($C$72*P$5/12,Inputs!$C$8)))+$I$72*(P$5&gt;Inputs!$C$12)*$D$72*(1+Inputs!$C$11*(P$5-Inputs!$C$12)/12)</f>
        <v>9975</v>
      </c>
      <c r="Q76" s="42" t="n">
        <f aca="false">$D$72*(1+IF($C$72&lt;=0,0,MAX($C$72*Q$5/12,Inputs!$C$8)))+$I$72*(Q$5&gt;Inputs!$C$12)*$D$72*(1+Inputs!$C$11*(Q$5-Inputs!$C$12)/12)</f>
        <v>9975</v>
      </c>
      <c r="R76" s="42" t="n">
        <f aca="false">$D$72*(1+IF($C$72&lt;=0,0,MAX($C$72*R$5/12,Inputs!$C$8)))+$I$72*(R$5&gt;Inputs!$C$12)*$D$72*(1+Inputs!$C$11*(R$5-Inputs!$C$12)/12)</f>
        <v>9975</v>
      </c>
      <c r="S76" s="42" t="n">
        <f aca="false">$D$72*(1+IF($C$72&lt;=0,0,MAX($C$72*S$5/12,Inputs!$C$8)))+$I$72*(S$5&gt;Inputs!$C$12)*$D$72*(1+Inputs!$C$11*(S$5-Inputs!$C$12)/12)</f>
        <v>9975</v>
      </c>
      <c r="T76" s="42" t="n">
        <f aca="false">$D$72*(1+IF($C$72&lt;=0,0,MAX($C$72*T$5/12,Inputs!$C$8)))+$I$72*(T$5&gt;Inputs!$C$12)*$D$72*(1+Inputs!$C$11*(T$5-Inputs!$C$12)/12)</f>
        <v>9975</v>
      </c>
      <c r="U76" s="42" t="n">
        <f aca="false">$D$72*(1+IF($C$72&lt;=0,0,MAX($C$72*U$5/12,Inputs!$C$8)))+$I$72*(U$5&gt;Inputs!$C$12)*$D$72*(1+Inputs!$C$11*(U$5-Inputs!$C$12)/12)</f>
        <v>9998.75</v>
      </c>
      <c r="V76" s="42" t="n">
        <f aca="false">$D$72*(1+IF($C$72&lt;=0,0,MAX($C$72*V$5/12,Inputs!$C$8)))+$I$72*(V$5&gt;Inputs!$C$12)*$D$72*(1+Inputs!$C$11*(V$5-Inputs!$C$12)/12)</f>
        <v>10070</v>
      </c>
      <c r="W76" s="42" t="n">
        <f aca="false">$D$72*(1+IF($C$72&lt;=0,0,MAX($C$72*W$5/12,Inputs!$C$8)))+$I$72*(W$5&gt;Inputs!$C$12)*$D$72*(1+Inputs!$C$11*(W$5-Inputs!$C$12)/12)</f>
        <v>10141.25</v>
      </c>
      <c r="X76" s="42" t="n">
        <f aca="false">$D$72*(1+IF($C$72&lt;=0,0,MAX($C$72*X$5/12,Inputs!$C$8)))+$I$72*(X$5&gt;Inputs!$C$12)*$D$72*(1+Inputs!$C$11*(X$5-Inputs!$C$12)/12)</f>
        <v>10212.5</v>
      </c>
      <c r="Y76" s="42" t="n">
        <f aca="false">$D$72*(1+IF($C$72&lt;=0,0,MAX($C$72*Y$5/12,Inputs!$C$8)))+$I$72*(Y$5&gt;Inputs!$C$12)*$D$72*(1+Inputs!$C$11*(Y$5-Inputs!$C$12)/12)</f>
        <v>10283.75</v>
      </c>
      <c r="Z76" s="42" t="n">
        <f aca="false">$D$72*(1+IF($C$72&lt;=0,0,MAX($C$72*Z$5/12,Inputs!$C$8)))+$I$72*(Z$5&gt;Inputs!$C$12)*$D$72*(1+Inputs!$C$11*(Z$5-Inputs!$C$12)/12)</f>
        <v>10355</v>
      </c>
      <c r="AA76" s="42" t="n">
        <f aca="false">$D$72*(1+IF($C$72&lt;=0,0,MAX($C$72*AA$5/12,Inputs!$C$8)))+$I$72*(AA$5&gt;Inputs!$C$12)*$D$72*(1+Inputs!$C$11*(AA$5-Inputs!$C$12)/12)</f>
        <v>20068.75</v>
      </c>
      <c r="AB76" s="42" t="n">
        <f aca="false">$D$72*(1+IF($C$72&lt;=0,0,MAX($C$72*AB$5/12,Inputs!$C$8)))+$I$72*(AB$5&gt;Inputs!$C$12)*$D$72*(1+Inputs!$C$11*(AB$5-Inputs!$C$12)/12)</f>
        <v>20282.5</v>
      </c>
      <c r="AC76" s="42" t="n">
        <f aca="false">$D$72*(1+IF($C$72&lt;=0,0,MAX($C$72*AC$5/12,Inputs!$C$8)))+$I$72*(AC$5&gt;Inputs!$C$12)*$D$72*(1+Inputs!$C$11*(AC$5-Inputs!$C$12)/12)</f>
        <v>20496.25</v>
      </c>
      <c r="AD76" s="42" t="n">
        <f aca="false">$D$72*(1+IF($C$72&lt;=0,0,MAX($C$72*AD$5/12,Inputs!$C$8)))+$I$72*(AD$5&gt;Inputs!$C$12)*$D$72*(1+Inputs!$C$11*(AD$5-Inputs!$C$12)/12)</f>
        <v>20710</v>
      </c>
      <c r="AE76" s="42" t="n">
        <f aca="false">$D$72*(1+IF($C$72&lt;=0,0,MAX($C$72*AE$5/12,Inputs!$C$8)))+$I$72*(AE$5&gt;Inputs!$C$12)*$D$72*(1+Inputs!$C$11*(AE$5-Inputs!$C$12)/12)</f>
        <v>20923.75</v>
      </c>
      <c r="AF76" s="42" t="n">
        <f aca="false">$D$72*(1+IF($C$72&lt;=0,0,MAX($C$72*AF$5/12,Inputs!$C$8)))+$I$72*(AF$5&gt;Inputs!$C$12)*$D$72*(1+Inputs!$C$11*(AF$5-Inputs!$C$12)/12)</f>
        <v>21137.5</v>
      </c>
      <c r="AG76" s="42" t="n">
        <f aca="false">$D$72*(1+IF($C$72&lt;=0,0,MAX($C$72*AG$5/12,Inputs!$C$8)))+$I$72*(AG$5&gt;Inputs!$C$12)*$D$72*(1+Inputs!$C$11*(AG$5-Inputs!$C$12)/12)</f>
        <v>21351.25</v>
      </c>
      <c r="AH76" s="42" t="n">
        <f aca="false">$D$72*(1+IF($C$72&lt;=0,0,MAX($C$72*AH$5/12,Inputs!$C$8)))+$I$72*(AH$5&gt;Inputs!$C$12)*$D$72*(1+Inputs!$C$11*(AH$5-Inputs!$C$12)/12)</f>
        <v>21565</v>
      </c>
      <c r="AI76" s="42" t="n">
        <f aca="false">$D$72*(1+IF($C$72&lt;=0,0,MAX($C$72*AI$5/12,Inputs!$C$8)))+$I$72*(AI$5&gt;Inputs!$C$12)*$D$72*(1+Inputs!$C$11*(AI$5-Inputs!$C$12)/12)</f>
        <v>21778.75</v>
      </c>
      <c r="AJ76" s="42" t="n">
        <f aca="false">$D$72*(1+IF($C$72&lt;=0,0,MAX($C$72*AJ$5/12,Inputs!$C$8)))+$I$72*(AJ$5&gt;Inputs!$C$12)*$D$72*(1+Inputs!$C$11*(AJ$5-Inputs!$C$12)/12)</f>
        <v>21992.5</v>
      </c>
      <c r="AK76" s="42" t="n">
        <f aca="false">$D$72*(1+IF($C$72&lt;=0,0,MAX($C$72*AK$5/12,Inputs!$C$8)))+$I$72*(AK$5&gt;Inputs!$C$12)*$D$72*(1+Inputs!$C$11*(AK$5-Inputs!$C$12)/12)</f>
        <v>22206.25</v>
      </c>
      <c r="AL76" s="42" t="n">
        <f aca="false">$D$72*(1+IF($C$72&lt;=0,0,MAX($C$72*AL$5/12,Inputs!$C$8)))+$I$72*(AL$5&gt;Inputs!$C$12)*$D$72*(1+Inputs!$C$11*(AL$5-Inputs!$C$12)/12)</f>
        <v>22420</v>
      </c>
    </row>
    <row r="77" customFormat="false" ht="15" hidden="false" customHeight="false" outlineLevel="0" collapsed="false">
      <c r="B77" s="31" t="s">
        <v>187</v>
      </c>
      <c r="N77" s="42" t="n">
        <f aca="false">-($D$72+$J$72)*(N$5=0)+IF(AND(N$5-$K$72&gt;=1,N$5-$K$72&lt;=Inputs!$C$13),INDEX($N$75:$AL$75,1,N$5-$K$72+1)*INDEX($N$76:$AL$76,1,N$5-$K$72+1),0)-$I$72*((N$5=Inputs!$C$12)*$C$74*$D$72+(N$5=Inputs!$C$13)*$D$74*($D$72+Inputs!$C$14))+$I$72*((N$5=Inputs!$C$15+$K$72)*$E$74*$I$74+(N$5=Inputs!$C$16+$K$72)*$F$74*$J$74+(N$5=Inputs!$C$17)*$G$74*$H$72*$H$74)</f>
        <v>-9510</v>
      </c>
      <c r="O77" s="42" t="n">
        <f aca="false">-($D$72+$J$72)*(O$5=0)+IF(AND(O$5-$K$72&gt;=1,O$5-$K$72&lt;=Inputs!$C$13),INDEX($N$75:$AL$75,1,O$5-$K$72+1)*INDEX($N$76:$AL$76,1,O$5-$K$72+1),0)-$I$72*((O$5=Inputs!$C$12)*$C$74*$D$72+(O$5=Inputs!$C$13)*$D$74*($D$72+Inputs!$C$14))+$I$72*((O$5=Inputs!$C$15+$K$72)*$E$74*$I$74+(O$5=Inputs!$C$16+$K$72)*$F$74*$J$74+(O$5=Inputs!$C$17)*$G$74*$H$72*$H$74)</f>
        <v>0</v>
      </c>
      <c r="P77" s="42" t="n">
        <f aca="false">-($D$72+$J$72)*(P$5=0)+IF(AND(P$5-$K$72&gt;=1,P$5-$K$72&lt;=Inputs!$C$13),INDEX($N$75:$AL$75,1,P$5-$K$72+1)*INDEX($N$76:$AL$76,1,P$5-$K$72+1),0)-$I$72*((P$5=Inputs!$C$12)*$C$74*$D$72+(P$5=Inputs!$C$13)*$D$74*($D$72+Inputs!$C$14))+$I$72*((P$5=Inputs!$C$15+$K$72)*$E$74*$I$74+(P$5=Inputs!$C$16+$K$72)*$F$74*$J$74+(P$5=Inputs!$C$17)*$G$74*$H$72*$H$74)</f>
        <v>538.65</v>
      </c>
      <c r="Q77" s="42" t="n">
        <f aca="false">-($D$72+$J$72)*(Q$5=0)+IF(AND(Q$5-$K$72&gt;=1,Q$5-$K$72&lt;=Inputs!$C$13),INDEX($N$75:$AL$75,1,Q$5-$K$72+1)*INDEX($N$76:$AL$76,1,Q$5-$K$72+1),0)-$I$72*((Q$5=Inputs!$C$12)*$C$74*$D$72+(Q$5=Inputs!$C$13)*$D$74*($D$72+Inputs!$C$14))+$I$72*((Q$5=Inputs!$C$15+$K$72)*$E$74*$I$74+(Q$5=Inputs!$C$16+$K$72)*$F$74*$J$74+(Q$5=Inputs!$C$17)*$G$74*$H$72*$H$74)</f>
        <v>538.65</v>
      </c>
      <c r="R77" s="42" t="n">
        <f aca="false">-($D$72+$J$72)*(R$5=0)+IF(AND(R$5-$K$72&gt;=1,R$5-$K$72&lt;=Inputs!$C$13),INDEX($N$75:$AL$75,1,R$5-$K$72+1)*INDEX($N$76:$AL$76,1,R$5-$K$72+1),0)-$I$72*((R$5=Inputs!$C$12)*$C$74*$D$72+(R$5=Inputs!$C$13)*$D$74*($D$72+Inputs!$C$14))+$I$72*((R$5=Inputs!$C$15+$K$72)*$E$74*$I$74+(R$5=Inputs!$C$16+$K$72)*$F$74*$J$74+(R$5=Inputs!$C$17)*$G$74*$H$72*$H$74)</f>
        <v>538.65</v>
      </c>
      <c r="S77" s="42" t="n">
        <f aca="false">-($D$72+$J$72)*(S$5=0)+IF(AND(S$5-$K$72&gt;=1,S$5-$K$72&lt;=Inputs!$C$13),INDEX($N$75:$AL$75,1,S$5-$K$72+1)*INDEX($N$76:$AL$76,1,S$5-$K$72+1),0)-$I$72*((S$5=Inputs!$C$12)*$C$74*$D$72+(S$5=Inputs!$C$13)*$D$74*($D$72+Inputs!$C$14))+$I$72*((S$5=Inputs!$C$15+$K$72)*$E$74*$I$74+(S$5=Inputs!$C$16+$K$72)*$F$74*$J$74+(S$5=Inputs!$C$17)*$G$74*$H$72*$H$74)</f>
        <v>538.65</v>
      </c>
      <c r="T77" s="42" t="n">
        <f aca="false">-($D$72+$J$72)*(T$5=0)+IF(AND(T$5-$K$72&gt;=1,T$5-$K$72&lt;=Inputs!$C$13),INDEX($N$75:$AL$75,1,T$5-$K$72+1)*INDEX($N$76:$AL$76,1,T$5-$K$72+1),0)-$I$72*((T$5=Inputs!$C$12)*$C$74*$D$72+(T$5=Inputs!$C$13)*$D$74*($D$72+Inputs!$C$14))+$I$72*((T$5=Inputs!$C$15+$K$72)*$E$74*$I$74+(T$5=Inputs!$C$16+$K$72)*$F$74*$J$74+(T$5=Inputs!$C$17)*$G$74*$H$72*$H$74)</f>
        <v>538.65</v>
      </c>
      <c r="U77" s="42" t="n">
        <f aca="false">-($D$72+$J$72)*(U$5=0)+IF(AND(U$5-$K$72&gt;=1,U$5-$K$72&lt;=Inputs!$C$13),INDEX($N$75:$AL$75,1,U$5-$K$72+1)*INDEX($N$76:$AL$76,1,U$5-$K$72+1),0)-$I$72*((U$5=Inputs!$C$12)*$C$74*$D$72+(U$5=Inputs!$C$13)*$D$74*($D$72+Inputs!$C$14))+$I$72*((U$5=Inputs!$C$15+$K$72)*$E$74*$I$74+(U$5=Inputs!$C$16+$K$72)*$F$74*$J$74+(U$5=Inputs!$C$17)*$G$74*$H$72*$H$74)</f>
        <v>538.65</v>
      </c>
      <c r="V77" s="42" t="n">
        <f aca="false">-($D$72+$J$72)*(V$5=0)+IF(AND(V$5-$K$72&gt;=1,V$5-$K$72&lt;=Inputs!$C$13),INDEX($N$75:$AL$75,1,V$5-$K$72+1)*INDEX($N$76:$AL$76,1,V$5-$K$72+1),0)-$I$72*((V$5=Inputs!$C$12)*$C$74*$D$72+(V$5=Inputs!$C$13)*$D$74*($D$72+Inputs!$C$14))+$I$72*((V$5=Inputs!$C$15+$K$72)*$E$74*$I$74+(V$5=Inputs!$C$16+$K$72)*$F$74*$J$74+(V$5=Inputs!$C$17)*$G$74*$H$72*$H$74)</f>
        <v>419.9475</v>
      </c>
      <c r="W77" s="42" t="n">
        <f aca="false">-($D$72+$J$72)*(W$5=0)+IF(AND(W$5-$K$72&gt;=1,W$5-$K$72&lt;=Inputs!$C$13),INDEX($N$75:$AL$75,1,W$5-$K$72+1)*INDEX($N$76:$AL$76,1,W$5-$K$72+1),0)-$I$72*((W$5=Inputs!$C$12)*$C$74*$D$72+(W$5=Inputs!$C$13)*$D$74*($D$72+Inputs!$C$14))+$I$72*((W$5=Inputs!$C$15+$K$72)*$E$74*$I$74+(W$5=Inputs!$C$16+$K$72)*$F$74*$J$74+(W$5=Inputs!$C$17)*$G$74*$H$72*$H$74)</f>
        <v>422.94</v>
      </c>
      <c r="X77" s="42" t="n">
        <f aca="false">-($D$72+$J$72)*(X$5=0)+IF(AND(X$5-$K$72&gt;=1,X$5-$K$72&lt;=Inputs!$C$13),INDEX($N$75:$AL$75,1,X$5-$K$72+1)*INDEX($N$76:$AL$76,1,X$5-$K$72+1),0)-$I$72*((X$5=Inputs!$C$12)*$C$74*$D$72+(X$5=Inputs!$C$13)*$D$74*($D$72+Inputs!$C$14))+$I$72*((X$5=Inputs!$C$15+$K$72)*$E$74*$I$74+(X$5=Inputs!$C$16+$K$72)*$F$74*$J$74+(X$5=Inputs!$C$17)*$G$74*$H$72*$H$74)</f>
        <v>425.9325</v>
      </c>
      <c r="Y77" s="42" t="n">
        <f aca="false">-($D$72+$J$72)*(Y$5=0)+IF(AND(Y$5-$K$72&gt;=1,Y$5-$K$72&lt;=Inputs!$C$13),INDEX($N$75:$AL$75,1,Y$5-$K$72+1)*INDEX($N$76:$AL$76,1,Y$5-$K$72+1),0)-$I$72*((Y$5=Inputs!$C$12)*$C$74*$D$72+(Y$5=Inputs!$C$13)*$D$74*($D$72+Inputs!$C$14))+$I$72*((Y$5=Inputs!$C$15+$K$72)*$E$74*$I$74+(Y$5=Inputs!$C$16+$K$72)*$F$74*$J$74+(Y$5=Inputs!$C$17)*$G$74*$H$72*$H$74)</f>
        <v>367.65</v>
      </c>
      <c r="Z77" s="42" t="n">
        <f aca="false">-($D$72+$J$72)*(Z$5=0)+IF(AND(Z$5-$K$72&gt;=1,Z$5-$K$72&lt;=Inputs!$C$13),INDEX($N$75:$AL$75,1,Z$5-$K$72+1)*INDEX($N$76:$AL$76,1,Z$5-$K$72+1),0)-$I$72*((Z$5=Inputs!$C$12)*$C$74*$D$72+(Z$5=Inputs!$C$13)*$D$74*($D$72+Inputs!$C$14))+$I$72*((Z$5=Inputs!$C$15+$K$72)*$E$74*$I$74+(Z$5=Inputs!$C$16+$K$72)*$F$74*$J$74+(Z$5=Inputs!$C$17)*$G$74*$H$72*$H$74)</f>
        <v>-3828.785</v>
      </c>
      <c r="AA77" s="42" t="n">
        <f aca="false">-($D$72+$J$72)*(AA$5=0)+IF(AND(AA$5-$K$72&gt;=1,AA$5-$K$72&lt;=Inputs!$C$13),INDEX($N$75:$AL$75,1,AA$5-$K$72+1)*INDEX($N$76:$AL$76,1,AA$5-$K$72+1),0)-$I$72*((AA$5=Inputs!$C$12)*$C$74*$D$72+(AA$5=Inputs!$C$13)*$D$74*($D$72+Inputs!$C$14))+$I$72*((AA$5=Inputs!$C$15+$K$72)*$E$74*$I$74+(AA$5=Inputs!$C$16+$K$72)*$F$74*$J$74+(AA$5=Inputs!$C$17)*$G$74*$H$72*$H$74)</f>
        <v>372.78</v>
      </c>
      <c r="AB77" s="42" t="n">
        <f aca="false">-($D$72+$J$72)*(AB$5=0)+IF(AND(AB$5-$K$72&gt;=1,AB$5-$K$72&lt;=Inputs!$C$13),INDEX($N$75:$AL$75,1,AB$5-$K$72+1)*INDEX($N$76:$AL$76,1,AB$5-$K$72+1),0)-$I$72*((AB$5=Inputs!$C$12)*$C$74*$D$72+(AB$5=Inputs!$C$13)*$D$74*($D$72+Inputs!$C$14))+$I$72*((AB$5=Inputs!$C$15+$K$72)*$E$74*$I$74+(AB$5=Inputs!$C$16+$K$72)*$F$74*$J$74+(AB$5=Inputs!$C$17)*$G$74*$H$72*$H$74)</f>
        <v>602.0625</v>
      </c>
      <c r="AC77" s="42" t="n">
        <f aca="false">-($D$72+$J$72)*(AC$5=0)+IF(AND(AC$5-$K$72&gt;=1,AC$5-$K$72&lt;=Inputs!$C$13),INDEX($N$75:$AL$75,1,AC$5-$K$72+1)*INDEX($N$76:$AL$76,1,AC$5-$K$72+1),0)-$I$72*((AC$5=Inputs!$C$12)*$C$74*$D$72+(AC$5=Inputs!$C$13)*$D$74*($D$72+Inputs!$C$14))+$I$72*((AC$5=Inputs!$C$15+$K$72)*$E$74*$I$74+(AC$5=Inputs!$C$16+$K$72)*$F$74*$J$74+(AC$5=Inputs!$C$17)*$G$74*$H$72*$H$74)</f>
        <v>608.475</v>
      </c>
      <c r="AD77" s="42" t="n">
        <f aca="false">-($D$72+$J$72)*(AD$5=0)+IF(AND(AD$5-$K$72&gt;=1,AD$5-$K$72&lt;=Inputs!$C$13),INDEX($N$75:$AL$75,1,AD$5-$K$72+1)*INDEX($N$76:$AL$76,1,AD$5-$K$72+1),0)-$I$72*((AD$5=Inputs!$C$12)*$C$74*$D$72+(AD$5=Inputs!$C$13)*$D$74*($D$72+Inputs!$C$14))+$I$72*((AD$5=Inputs!$C$15+$K$72)*$E$74*$I$74+(AD$5=Inputs!$C$16+$K$72)*$F$74*$J$74+(AD$5=Inputs!$C$17)*$G$74*$H$72*$H$74)</f>
        <v>614.8875</v>
      </c>
      <c r="AE77" s="42" t="n">
        <f aca="false">-($D$72+$J$72)*(AE$5=0)+IF(AND(AE$5-$K$72&gt;=1,AE$5-$K$72&lt;=Inputs!$C$13),INDEX($N$75:$AL$75,1,AE$5-$K$72+1)*INDEX($N$76:$AL$76,1,AE$5-$K$72+1),0)-$I$72*((AE$5=Inputs!$C$12)*$C$74*$D$72+(AE$5=Inputs!$C$13)*$D$74*($D$72+Inputs!$C$14))+$I$72*((AE$5=Inputs!$C$15+$K$72)*$E$74*$I$74+(AE$5=Inputs!$C$16+$K$72)*$F$74*$J$74+(AE$5=Inputs!$C$17)*$G$74*$H$72*$H$74)</f>
        <v>621.3</v>
      </c>
      <c r="AF77" s="42" t="n">
        <f aca="false">-($D$72+$J$72)*(AF$5=0)+IF(AND(AF$5-$K$72&gt;=1,AF$5-$K$72&lt;=Inputs!$C$13),INDEX($N$75:$AL$75,1,AF$5-$K$72+1)*INDEX($N$76:$AL$76,1,AF$5-$K$72+1),0)-$I$72*((AF$5=Inputs!$C$12)*$C$74*$D$72+(AF$5=Inputs!$C$13)*$D$74*($D$72+Inputs!$C$14))+$I$72*((AF$5=Inputs!$C$15+$K$72)*$E$74*$I$74+(AF$5=Inputs!$C$16+$K$72)*$F$74*$J$74+(AF$5=Inputs!$C$17)*$G$74*$H$72*$H$74)</f>
        <v>627.7125</v>
      </c>
      <c r="AG77" s="42" t="n">
        <f aca="false">-($D$72+$J$72)*(AG$5=0)+IF(AND(AG$5-$K$72&gt;=1,AG$5-$K$72&lt;=Inputs!$C$13),INDEX($N$75:$AL$75,1,AG$5-$K$72+1)*INDEX($N$76:$AL$76,1,AG$5-$K$72+1),0)-$I$72*((AG$5=Inputs!$C$12)*$C$74*$D$72+(AG$5=Inputs!$C$13)*$D$74*($D$72+Inputs!$C$14))+$I$72*((AG$5=Inputs!$C$15+$K$72)*$E$74*$I$74+(AG$5=Inputs!$C$16+$K$72)*$F$74*$J$74+(AG$5=Inputs!$C$17)*$G$74*$H$72*$H$74)</f>
        <v>634.125</v>
      </c>
      <c r="AH77" s="42" t="n">
        <f aca="false">-($D$72+$J$72)*(AH$5=0)+IF(AND(AH$5-$K$72&gt;=1,AH$5-$K$72&lt;=Inputs!$C$13),INDEX($N$75:$AL$75,1,AH$5-$K$72+1)*INDEX($N$76:$AL$76,1,AH$5-$K$72+1),0)-$I$72*((AH$5=Inputs!$C$12)*$C$74*$D$72+(AH$5=Inputs!$C$13)*$D$74*($D$72+Inputs!$C$14))+$I$72*((AH$5=Inputs!$C$15+$K$72)*$E$74*$I$74+(AH$5=Inputs!$C$16+$K$72)*$F$74*$J$74+(AH$5=Inputs!$C$17)*$G$74*$H$72*$H$74)</f>
        <v>576.483750000001</v>
      </c>
      <c r="AI77" s="42" t="n">
        <f aca="false">-($D$72+$J$72)*(AI$5=0)+IF(AND(AI$5-$K$72&gt;=1,AI$5-$K$72&lt;=Inputs!$C$13),INDEX($N$75:$AL$75,1,AI$5-$K$72+1)*INDEX($N$76:$AL$76,1,AI$5-$K$72+1),0)-$I$72*((AI$5=Inputs!$C$12)*$C$74*$D$72+(AI$5=Inputs!$C$13)*$D$74*($D$72+Inputs!$C$14))+$I$72*((AI$5=Inputs!$C$15+$K$72)*$E$74*$I$74+(AI$5=Inputs!$C$16+$K$72)*$F$74*$J$74+(AI$5=Inputs!$C$17)*$G$74*$H$72*$H$74)</f>
        <v>582.255000000001</v>
      </c>
      <c r="AJ77" s="42" t="n">
        <f aca="false">-($D$72+$J$72)*(AJ$5=0)+IF(AND(AJ$5-$K$72&gt;=1,AJ$5-$K$72&lt;=Inputs!$C$13),INDEX($N$75:$AL$75,1,AJ$5-$K$72+1)*INDEX($N$76:$AL$76,1,AJ$5-$K$72+1),0)-$I$72*((AJ$5=Inputs!$C$12)*$C$74*$D$72+(AJ$5=Inputs!$C$13)*$D$74*($D$72+Inputs!$C$14))+$I$72*((AJ$5=Inputs!$C$15+$K$72)*$E$74*$I$74+(AJ$5=Inputs!$C$16+$K$72)*$F$74*$J$74+(AJ$5=Inputs!$C$17)*$G$74*$H$72*$H$74)</f>
        <v>588.026249999998</v>
      </c>
      <c r="AK77" s="42" t="n">
        <f aca="false">-($D$72+$J$72)*(AK$5=0)+IF(AND(AK$5-$K$72&gt;=1,AK$5-$K$72&lt;=Inputs!$C$13),INDEX($N$75:$AL$75,1,AK$5-$K$72+1)*INDEX($N$76:$AL$76,1,AK$5-$K$72+1),0)-$I$72*((AK$5=Inputs!$C$12)*$C$74*$D$72+(AK$5=Inputs!$C$13)*$D$74*($D$72+Inputs!$C$14))+$I$72*((AK$5=Inputs!$C$15+$K$72)*$E$74*$I$74+(AK$5=Inputs!$C$16+$K$72)*$F$74*$J$74+(AK$5=Inputs!$C$17)*$G$74*$H$72*$H$74)</f>
        <v>593.797500000001</v>
      </c>
      <c r="AL77" s="42" t="n">
        <f aca="false">-($D$72+$J$72)*(AL$5=0)+IF(AND(AL$5-$K$72&gt;=1,AL$5-$K$72&lt;=Inputs!$C$13),INDEX($N$75:$AL$75,1,AL$5-$K$72+1)*INDEX($N$76:$AL$76,1,AL$5-$K$72+1),0)-$I$72*((AL$5=Inputs!$C$12)*$C$74*$D$72+(AL$5=Inputs!$C$13)*$D$74*($D$72+Inputs!$C$14))+$I$72*((AL$5=Inputs!$C$15+$K$72)*$E$74*$I$74+(AL$5=Inputs!$C$16+$K$72)*$F$74*$J$74+(AL$5=Inputs!$C$17)*$G$74*$H$72*$H$74)</f>
        <v>-530.431249999999</v>
      </c>
      <c r="AM77" s="42" t="n">
        <f aca="false">-($D$72+$J$72)*(AM$5=0)+IF(AND(AM$5-$K$72&gt;=1,AM$5-$K$72&lt;=Inputs!$C$13),INDEX($N$75:$AL$75,1,AM$5-$K$72+1)*INDEX($N$76:$AL$76,1,AM$5-$K$72+1),0)-$I$72*((AM$5=Inputs!$C$12)*$C$74*$D$72+(AM$5=Inputs!$C$13)*$D$74*($D$72+Inputs!$C$14))+$I$72*((AM$5=Inputs!$C$15+$K$72)*$E$74*$I$74+(AM$5=Inputs!$C$16+$K$72)*$F$74*$J$74+(AM$5=Inputs!$C$17)*$G$74*$H$72*$H$74)</f>
        <v>605.340000000001</v>
      </c>
      <c r="AN77" s="42" t="n">
        <f aca="false">-($D$72+$J$72)*(AN$5=0)+IF(AND(AN$5-$K$72&gt;=1,AN$5-$K$72&lt;=Inputs!$C$13),INDEX($N$75:$AL$75,1,AN$5-$K$72+1)*INDEX($N$76:$AL$76,1,AN$5-$K$72+1),0)-$I$72*((AN$5=Inputs!$C$12)*$C$74*$D$72+(AN$5=Inputs!$C$13)*$D$74*($D$72+Inputs!$C$14))+$I$72*((AN$5=Inputs!$C$15+$K$72)*$E$74*$I$74+(AN$5=Inputs!$C$16+$K$72)*$F$74*$J$74+(AN$5=Inputs!$C$17)*$G$74*$H$72*$H$74)</f>
        <v>0</v>
      </c>
      <c r="AO77" s="42" t="n">
        <f aca="false">-($D$72+$J$72)*(AO$5=0)+IF(AND(AO$5-$K$72&gt;=1,AO$5-$K$72&lt;=Inputs!$C$13),INDEX($N$75:$AL$75,1,AO$5-$K$72+1)*INDEX($N$76:$AL$76,1,AO$5-$K$72+1),0)-$I$72*((AO$5=Inputs!$C$12)*$C$74*$D$72+(AO$5=Inputs!$C$13)*$D$74*($D$72+Inputs!$C$14))+$I$72*((AO$5=Inputs!$C$15+$K$72)*$E$74*$I$74+(AO$5=Inputs!$C$16+$K$72)*$F$74*$J$74+(AO$5=Inputs!$C$17)*$G$74*$H$72*$H$74)</f>
        <v>0</v>
      </c>
      <c r="AP77" s="42" t="n">
        <f aca="false">-($D$72+$J$72)*(AP$5=0)+IF(AND(AP$5-$K$72&gt;=1,AP$5-$K$72&lt;=Inputs!$C$13),INDEX($N$75:$AL$75,1,AP$5-$K$72+1)*INDEX($N$76:$AL$76,1,AP$5-$K$72+1),0)-$I$72*((AP$5=Inputs!$C$12)*$C$74*$D$72+(AP$5=Inputs!$C$13)*$D$74*($D$72+Inputs!$C$14))+$I$72*((AP$5=Inputs!$C$15+$K$72)*$E$74*$I$74+(AP$5=Inputs!$C$16+$K$72)*$F$74*$J$74+(AP$5=Inputs!$C$17)*$G$74*$H$72*$H$74)</f>
        <v>2087.325</v>
      </c>
      <c r="AQ77" s="42" t="n">
        <f aca="false">-($D$72+$J$72)*(AQ$5=0)+IF(AND(AQ$5-$K$72&gt;=1,AQ$5-$K$72&lt;=Inputs!$C$13),INDEX($N$75:$AL$75,1,AQ$5-$K$72+1)*INDEX($N$76:$AL$76,1,AQ$5-$K$72+1),0)-$I$72*((AQ$5=Inputs!$C$12)*$C$74*$D$72+(AQ$5=Inputs!$C$13)*$D$74*($D$72+Inputs!$C$14))+$I$72*((AQ$5=Inputs!$C$15+$K$72)*$E$74*$I$74+(AQ$5=Inputs!$C$16+$K$72)*$F$74*$J$74+(AQ$5=Inputs!$C$17)*$G$74*$H$72*$H$74)</f>
        <v>0</v>
      </c>
      <c r="AR77" s="42" t="n">
        <f aca="false">-($D$72+$J$72)*(AR$5=0)+IF(AND(AR$5-$K$72&gt;=1,AR$5-$K$72&lt;=Inputs!$C$13),INDEX($N$75:$AL$75,1,AR$5-$K$72+1)*INDEX($N$76:$AL$76,1,AR$5-$K$72+1),0)-$I$72*((AR$5=Inputs!$C$12)*$C$74*$D$72+(AR$5=Inputs!$C$13)*$D$74*($D$72+Inputs!$C$14))+$I$72*((AR$5=Inputs!$C$15+$K$72)*$E$74*$I$74+(AR$5=Inputs!$C$16+$K$72)*$F$74*$J$74+(AR$5=Inputs!$C$17)*$G$74*$H$72*$H$74)</f>
        <v>0</v>
      </c>
      <c r="AS77" s="42" t="n">
        <f aca="false">-($D$72+$J$72)*(AS$5=0)+IF(AND(AS$5-$K$72&gt;=1,AS$5-$K$72&lt;=Inputs!$C$13),INDEX($N$75:$AL$75,1,AS$5-$K$72+1)*INDEX($N$76:$AL$76,1,AS$5-$K$72+1),0)-$I$72*((AS$5=Inputs!$C$12)*$C$74*$D$72+(AS$5=Inputs!$C$13)*$D$74*($D$72+Inputs!$C$14))+$I$72*((AS$5=Inputs!$C$15+$K$72)*$E$74*$I$74+(AS$5=Inputs!$C$16+$K$72)*$F$74*$J$74+(AS$5=Inputs!$C$17)*$G$74*$H$72*$H$74)</f>
        <v>1147.44</v>
      </c>
      <c r="AT77" s="42" t="n">
        <f aca="false">-($D$72+$J$72)*(AT$5=0)+IF(AND(AT$5-$K$72&gt;=1,AT$5-$K$72&lt;=Inputs!$C$13),INDEX($N$75:$AL$75,1,AT$5-$K$72+1)*INDEX($N$76:$AL$76,1,AT$5-$K$72+1),0)-$I$72*((AT$5=Inputs!$C$12)*$C$74*$D$72+(AT$5=Inputs!$C$13)*$D$74*($D$72+Inputs!$C$14))+$I$72*((AT$5=Inputs!$C$15+$K$72)*$E$74*$I$74+(AT$5=Inputs!$C$16+$K$72)*$F$74*$J$74+(AT$5=Inputs!$C$17)*$G$74*$H$72*$H$74)</f>
        <v>0</v>
      </c>
      <c r="AU77" s="42" t="n">
        <f aca="false">-($D$72+$J$72)*(AU$5=0)+IF(AND(AU$5-$K$72&gt;=1,AU$5-$K$72&lt;=Inputs!$C$13),INDEX($N$75:$AL$75,1,AU$5-$K$72+1)*INDEX($N$76:$AL$76,1,AU$5-$K$72+1),0)-$I$72*((AU$5=Inputs!$C$12)*$C$74*$D$72+(AU$5=Inputs!$C$13)*$D$74*($D$72+Inputs!$C$14))+$I$72*((AU$5=Inputs!$C$15+$K$72)*$E$74*$I$74+(AU$5=Inputs!$C$16+$K$72)*$F$74*$J$74+(AU$5=Inputs!$C$17)*$G$74*$H$72*$H$74)</f>
        <v>0</v>
      </c>
      <c r="AV77" s="42" t="n">
        <f aca="false">-($D$72+$J$72)*(AV$5=0)+IF(AND(AV$5-$K$72&gt;=1,AV$5-$K$72&lt;=Inputs!$C$13),INDEX($N$75:$AL$75,1,AV$5-$K$72+1)*INDEX($N$76:$AL$76,1,AV$5-$K$72+1),0)-$I$72*((AV$5=Inputs!$C$12)*$C$74*$D$72+(AV$5=Inputs!$C$13)*$D$74*($D$72+Inputs!$C$14))+$I$72*((AV$5=Inputs!$C$15+$K$72)*$E$74*$I$74+(AV$5=Inputs!$C$16+$K$72)*$F$74*$J$74+(AV$5=Inputs!$C$17)*$G$74*$H$72*$H$74)</f>
        <v>0</v>
      </c>
      <c r="AW77" s="42" t="n">
        <f aca="false">-($D$72+$J$72)*(AW$5=0)+IF(AND(AW$5-$K$72&gt;=1,AW$5-$K$72&lt;=Inputs!$C$13),INDEX($N$75:$AL$75,1,AW$5-$K$72+1)*INDEX($N$76:$AL$76,1,AW$5-$K$72+1),0)-$I$72*((AW$5=Inputs!$C$12)*$C$74*$D$72+(AW$5=Inputs!$C$13)*$D$74*($D$72+Inputs!$C$14))+$I$72*((AW$5=Inputs!$C$15+$K$72)*$E$74*$I$74+(AW$5=Inputs!$C$16+$K$72)*$F$74*$J$74+(AW$5=Inputs!$C$17)*$G$74*$H$72*$H$74)</f>
        <v>0</v>
      </c>
      <c r="AX77" s="42" t="n">
        <f aca="false">-($D$72+$J$72)*(AX$5=0)+IF(AND(AX$5-$K$72&gt;=1,AX$5-$K$72&lt;=Inputs!$C$13),INDEX($N$75:$AL$75,1,AX$5-$K$72+1)*INDEX($N$76:$AL$76,1,AX$5-$K$72+1),0)-$I$72*((AX$5=Inputs!$C$12)*$C$74*$D$72+(AX$5=Inputs!$C$13)*$D$74*($D$72+Inputs!$C$14))+$I$72*((AX$5=Inputs!$C$15+$K$72)*$E$74*$I$74+(AX$5=Inputs!$C$16+$K$72)*$F$74*$J$74+(AX$5=Inputs!$C$17)*$G$74*$H$72*$H$74)</f>
        <v>218.16</v>
      </c>
      <c r="AY77" s="42" t="n">
        <f aca="false">-($D$72+$J$72)*(AY$5=0)+IF(AND(AY$5-$K$72&gt;=1,AY$5-$K$72&lt;=Inputs!$C$13),INDEX($N$75:$AL$75,1,AY$5-$K$72+1)*INDEX($N$76:$AL$76,1,AY$5-$K$72+1),0)-$I$72*((AY$5=Inputs!$C$12)*$C$74*$D$72+(AY$5=Inputs!$C$13)*$D$74*($D$72+Inputs!$C$14))+$I$72*((AY$5=Inputs!$C$15+$K$72)*$E$74*$I$74+(AY$5=Inputs!$C$16+$K$72)*$F$74*$J$74+(AY$5=Inputs!$C$17)*$G$74*$H$72*$H$74)</f>
        <v>0</v>
      </c>
    </row>
    <row r="79" customFormat="false" ht="15" hidden="false" customHeight="false" outlineLevel="0" collapsed="false">
      <c r="B79" s="7" t="s">
        <v>249</v>
      </c>
      <c r="C79" s="8"/>
      <c r="D79" s="8"/>
      <c r="E79" s="8"/>
      <c r="F79" s="8"/>
      <c r="G79" s="8"/>
      <c r="H79" s="8"/>
      <c r="I79" s="8"/>
      <c r="J79" s="8"/>
      <c r="K79" s="8"/>
      <c r="L79" s="8"/>
    </row>
    <row r="80" customFormat="false" ht="30" hidden="false" customHeight="true" outlineLevel="0" collapsed="false">
      <c r="B80" s="37"/>
      <c r="C80" s="38" t="s">
        <v>169</v>
      </c>
      <c r="D80" s="38" t="s">
        <v>170</v>
      </c>
      <c r="E80" s="38" t="s">
        <v>171</v>
      </c>
      <c r="F80" s="38" t="s">
        <v>43</v>
      </c>
      <c r="G80" s="38" t="s">
        <v>44</v>
      </c>
      <c r="H80" s="38" t="s">
        <v>45</v>
      </c>
      <c r="I80" s="38" t="s">
        <v>172</v>
      </c>
      <c r="J80" s="38" t="s">
        <v>90</v>
      </c>
      <c r="K80" s="38" t="s">
        <v>89</v>
      </c>
      <c r="L80" s="38" t="s">
        <v>173</v>
      </c>
    </row>
    <row r="81" customFormat="false" ht="15" hidden="false" customHeight="false" outlineLevel="0" collapsed="false">
      <c r="B81" s="39" t="s">
        <v>174</v>
      </c>
      <c r="C81" s="26" t="n">
        <f aca="false">Inputs!$F$42*Inputs!$E$56</f>
        <v>0.13</v>
      </c>
      <c r="D81" s="30" t="n">
        <f aca="false">Inputs!$E$42</f>
        <v>1600</v>
      </c>
      <c r="E81" s="26" t="n">
        <f aca="false">IF(Inputs!$G$42=1,Inputs!$F$27,MIN(1,MAX(0,INDEX(Inputs!$F$23:$F$27,MATCH(Inputs!$C$42,Inputs!$B$23:$B$27,0))+INDEX(Inputs!$C$48:$C$51,MATCH(Inputs!$D$56,Inputs!$B$48:$B$51,0)))))</f>
        <v>0.8</v>
      </c>
      <c r="F81" s="25" t="n">
        <f aca="false">IF(Inputs!$G$42=1,Inputs!$G$27,INDEX(Inputs!$G$23:$G$27,MATCH(Inputs!$C$42,Inputs!$B$23:$B$27,0)))</f>
        <v>0.4</v>
      </c>
      <c r="G81" s="25" t="n">
        <f aca="false">IF(Inputs!$G$42=1,Inputs!$H$27,INDEX(Inputs!$H$23:$H$27,MATCH(Inputs!$C$42,Inputs!$B$23:$B$27,0)))*INDEX(Inputs!$D$48:$D$51,MATCH(Inputs!$D$56,Inputs!$B$48:$B$51,0))</f>
        <v>0.5</v>
      </c>
      <c r="H81" s="25" t="n">
        <f aca="false">MAX(0,IF(Inputs!$G$42=1,Inputs!$I$27,INDEX(Inputs!$I$23:$I$27,MATCH(Inputs!$C$42,Inputs!$B$23:$B$27,0)))+INDEX(Inputs!$E$48:$E$51,MATCH(Inputs!$D$56,Inputs!$B$48:$B$51,0)))</f>
        <v>0.7</v>
      </c>
      <c r="I81" s="22" t="n">
        <f aca="false">IF(Inputs!$G$42=1,0,INDEX(Inputs!$J$23:$J$27,MATCH(Inputs!$C$42,Inputs!$B$23:$B$27,0)))</f>
        <v>1</v>
      </c>
      <c r="J81" s="23" t="n">
        <f aca="false">Inputs!$G$56</f>
        <v>10</v>
      </c>
      <c r="K81" s="22" t="n">
        <f aca="false">Inputs!$F$56</f>
        <v>1</v>
      </c>
      <c r="L81" s="22" t="n">
        <f aca="false">Inputs!$C$56</f>
        <v>2</v>
      </c>
    </row>
    <row r="82" customFormat="false" ht="30" hidden="false" customHeight="true" outlineLevel="0" collapsed="false">
      <c r="B82" s="37"/>
      <c r="C82" s="38" t="s">
        <v>175</v>
      </c>
      <c r="D82" s="38" t="s">
        <v>176</v>
      </c>
      <c r="E82" s="38" t="s">
        <v>177</v>
      </c>
      <c r="F82" s="38" t="s">
        <v>178</v>
      </c>
      <c r="G82" s="38" t="s">
        <v>112</v>
      </c>
      <c r="H82" s="38" t="s">
        <v>179</v>
      </c>
      <c r="I82" s="38" t="s">
        <v>180</v>
      </c>
      <c r="J82" s="38" t="s">
        <v>181</v>
      </c>
      <c r="K82" s="38" t="s">
        <v>182</v>
      </c>
      <c r="L82" s="38" t="s">
        <v>183</v>
      </c>
    </row>
    <row r="83" customFormat="false" ht="15" hidden="false" customHeight="false" outlineLevel="0" collapsed="false">
      <c r="B83" s="39" t="s">
        <v>184</v>
      </c>
      <c r="C83" s="40" t="n">
        <f aca="false">1-$E$81*CHOOSE($L$81,INDEX(Timing!$C$7:$AA$7,1,Inputs!$C$12+1),INDEX(Timing!$C$8:$AA$8,1,Inputs!$C$12+1))</f>
        <v>0.504</v>
      </c>
      <c r="D83" s="40" t="n">
        <f aca="false">1-$E$81*CHOOSE($L$81,INDEX(Timing!$C$7:$AA$7,1,Inputs!$C$13+1),INDEX(Timing!$C$8:$AA$8,1,Inputs!$C$13+1))</f>
        <v>0.2</v>
      </c>
      <c r="E83" s="40" t="n">
        <f aca="false">$I$81*$D$83*$F$81</f>
        <v>0.08</v>
      </c>
      <c r="F83" s="40" t="n">
        <f aca="false">$I$81*($D$83-$E$83)*$G$81</f>
        <v>0.06</v>
      </c>
      <c r="G83" s="40" t="n">
        <f aca="false">$I$81*($D$83-$E$83-$F$83)</f>
        <v>0.06</v>
      </c>
      <c r="H83" s="23" t="n">
        <f aca="false">$I$81*(3*$D$81+Inputs!$C$14)</f>
        <v>6600</v>
      </c>
      <c r="I83" s="23" t="n">
        <f aca="false">$I$81*($D$81*(1+IF($C$81&lt;=0,0,MAX($C$81*Inputs!$C$15/12,Inputs!$C$8)))+$D$81*(1+Inputs!$C$11*(Inputs!$C$15-Inputs!$C$12)/12)+$D$81*(1+Inputs!$C$11*(Inputs!$C$15-Inputs!$C$13)/12)+Inputs!$C$14)</f>
        <v>7500</v>
      </c>
      <c r="J83" s="23" t="n">
        <f aca="false">$I$81*($D$81*(1+IF($C$81&lt;=0,0,MAX($C$81*Inputs!$C$16/12,Inputs!$C$8)))+$D$81*(1+Inputs!$C$11*(Inputs!$C$16-Inputs!$C$12)/12)+$D$81*(1+Inputs!$C$11*(Inputs!$C$16-Inputs!$C$13)/12)+Inputs!$C$14)</f>
        <v>7696</v>
      </c>
      <c r="K83" s="40" t="n">
        <f aca="false">IRR($N$86:$AY$86,0.005)</f>
        <v>0.00531177803992472</v>
      </c>
      <c r="L83" s="41" t="n">
        <f aca="false">(1+$K$83)^12-1</f>
        <v>0.0656368947671109</v>
      </c>
    </row>
    <row r="84" customFormat="false" ht="15" hidden="false" customHeight="false" outlineLevel="0" collapsed="false">
      <c r="B84" s="9" t="s">
        <v>185</v>
      </c>
      <c r="N84" s="40" t="n">
        <f aca="false">0</f>
        <v>0</v>
      </c>
      <c r="O84" s="40" t="n">
        <f aca="false">$E$81*(CHOOSE($L$81,Timing!D$7,Timing!D$8)-CHOOSE($L$81,Timing!C$7,Timing!C$8))</f>
        <v>0.048</v>
      </c>
      <c r="P84" s="40" t="n">
        <f aca="false">$E$81*(CHOOSE($L$81,Timing!E$7,Timing!E$8)-CHOOSE($L$81,Timing!D$7,Timing!D$8))</f>
        <v>0.048</v>
      </c>
      <c r="Q84" s="40" t="n">
        <f aca="false">$E$81*(CHOOSE($L$81,Timing!F$7,Timing!F$8)-CHOOSE($L$81,Timing!E$7,Timing!E$8))</f>
        <v>0.048</v>
      </c>
      <c r="R84" s="40" t="n">
        <f aca="false">$E$81*(CHOOSE($L$81,Timing!G$7,Timing!G$8)-CHOOSE($L$81,Timing!F$7,Timing!F$8))</f>
        <v>0.048</v>
      </c>
      <c r="S84" s="40" t="n">
        <f aca="false">$E$81*(CHOOSE($L$81,Timing!H$7,Timing!H$8)-CHOOSE($L$81,Timing!G$7,Timing!G$8))</f>
        <v>0.048</v>
      </c>
      <c r="T84" s="40" t="n">
        <f aca="false">$E$81*(CHOOSE($L$81,Timing!I$7,Timing!I$8)-CHOOSE($L$81,Timing!H$7,Timing!H$8))</f>
        <v>0.048</v>
      </c>
      <c r="U84" s="40" t="n">
        <f aca="false">$E$81*(CHOOSE($L$81,Timing!J$7,Timing!J$8)-CHOOSE($L$81,Timing!I$7,Timing!I$8))</f>
        <v>0.0373333333333334</v>
      </c>
      <c r="V84" s="40" t="n">
        <f aca="false">$E$81*(CHOOSE($L$81,Timing!K$7,Timing!K$8)-CHOOSE($L$81,Timing!J$7,Timing!J$8))</f>
        <v>0.0373333333333333</v>
      </c>
      <c r="W84" s="40" t="n">
        <f aca="false">$E$81*(CHOOSE($L$81,Timing!L$7,Timing!L$8)-CHOOSE($L$81,Timing!K$7,Timing!K$8))</f>
        <v>0.0373333333333334</v>
      </c>
      <c r="X84" s="40" t="n">
        <f aca="false">$E$81*(CHOOSE($L$81,Timing!M$7,Timing!M$8)-CHOOSE($L$81,Timing!L$7,Timing!L$8))</f>
        <v>0.032</v>
      </c>
      <c r="Y84" s="40" t="n">
        <f aca="false">$E$81*(CHOOSE($L$81,Timing!N$7,Timing!N$8)-CHOOSE($L$81,Timing!M$7,Timing!M$8))</f>
        <v>0.0319999999999999</v>
      </c>
      <c r="Z84" s="40" t="n">
        <f aca="false">$E$81*(CHOOSE($L$81,Timing!O$7,Timing!O$8)-CHOOSE($L$81,Timing!N$7,Timing!N$8))</f>
        <v>0.032</v>
      </c>
      <c r="AA84" s="40" t="n">
        <f aca="false">$E$81*(CHOOSE($L$81,Timing!P$7,Timing!P$8)-CHOOSE($L$81,Timing!O$7,Timing!O$8))</f>
        <v>0.0266666666666667</v>
      </c>
      <c r="AB84" s="40" t="n">
        <f aca="false">$E$81*(CHOOSE($L$81,Timing!Q$7,Timing!Q$8)-CHOOSE($L$81,Timing!P$7,Timing!P$8))</f>
        <v>0.0266666666666667</v>
      </c>
      <c r="AC84" s="40" t="n">
        <f aca="false">$E$81*(CHOOSE($L$81,Timing!R$7,Timing!R$8)-CHOOSE($L$81,Timing!Q$7,Timing!Q$8))</f>
        <v>0.0266666666666667</v>
      </c>
      <c r="AD84" s="40" t="n">
        <f aca="false">$E$81*(CHOOSE($L$81,Timing!S$7,Timing!S$8)-CHOOSE($L$81,Timing!R$7,Timing!R$8))</f>
        <v>0.0266666666666667</v>
      </c>
      <c r="AE84" s="40" t="n">
        <f aca="false">$E$81*(CHOOSE($L$81,Timing!T$7,Timing!T$8)-CHOOSE($L$81,Timing!S$7,Timing!S$8))</f>
        <v>0.0266666666666667</v>
      </c>
      <c r="AF84" s="40" t="n">
        <f aca="false">$E$81*(CHOOSE($L$81,Timing!U$7,Timing!U$8)-CHOOSE($L$81,Timing!T$7,Timing!T$8))</f>
        <v>0.0266666666666667</v>
      </c>
      <c r="AG84" s="40" t="n">
        <f aca="false">$E$81*(CHOOSE($L$81,Timing!V$7,Timing!V$8)-CHOOSE($L$81,Timing!U$7,Timing!U$8))</f>
        <v>0.024</v>
      </c>
      <c r="AH84" s="40" t="n">
        <f aca="false">$E$81*(CHOOSE($L$81,Timing!W$7,Timing!W$8)-CHOOSE($L$81,Timing!V$7,Timing!V$8))</f>
        <v>0.024</v>
      </c>
      <c r="AI84" s="40" t="n">
        <f aca="false">$E$81*(CHOOSE($L$81,Timing!X$7,Timing!X$8)-CHOOSE($L$81,Timing!W$7,Timing!W$8))</f>
        <v>0.0239999999999999</v>
      </c>
      <c r="AJ84" s="40" t="n">
        <f aca="false">$E$81*(CHOOSE($L$81,Timing!Y$7,Timing!Y$8)-CHOOSE($L$81,Timing!X$7,Timing!X$8))</f>
        <v>0.024</v>
      </c>
      <c r="AK84" s="40" t="n">
        <f aca="false">$E$81*(CHOOSE($L$81,Timing!Z$7,Timing!Z$8)-CHOOSE($L$81,Timing!Y$7,Timing!Y$8))</f>
        <v>0.024</v>
      </c>
      <c r="AL84" s="40" t="n">
        <f aca="false">$E$81*(CHOOSE($L$81,Timing!AA$7,Timing!AA$8)-CHOOSE($L$81,Timing!Z$7,Timing!Z$8))</f>
        <v>0.024</v>
      </c>
    </row>
    <row r="85" customFormat="false" ht="15" hidden="false" customHeight="false" outlineLevel="0" collapsed="false">
      <c r="B85" s="9" t="s">
        <v>186</v>
      </c>
      <c r="N85" s="42" t="n">
        <f aca="false">0</f>
        <v>0</v>
      </c>
      <c r="O85" s="42" t="n">
        <f aca="false">$D$81*(1+IF($C$81&lt;=0,0,MAX($C$81*O$5/12,Inputs!$C$8)))+$I$81*(O$5&gt;Inputs!$C$12)*$D$81*(1+Inputs!$C$11*(O$5-Inputs!$C$12)/12)</f>
        <v>1680</v>
      </c>
      <c r="P85" s="42" t="n">
        <f aca="false">$D$81*(1+IF($C$81&lt;=0,0,MAX($C$81*P$5/12,Inputs!$C$8)))+$I$81*(P$5&gt;Inputs!$C$12)*$D$81*(1+Inputs!$C$11*(P$5-Inputs!$C$12)/12)</f>
        <v>1680</v>
      </c>
      <c r="Q85" s="42" t="n">
        <f aca="false">$D$81*(1+IF($C$81&lt;=0,0,MAX($C$81*Q$5/12,Inputs!$C$8)))+$I$81*(Q$5&gt;Inputs!$C$12)*$D$81*(1+Inputs!$C$11*(Q$5-Inputs!$C$12)/12)</f>
        <v>1680</v>
      </c>
      <c r="R85" s="42" t="n">
        <f aca="false">$D$81*(1+IF($C$81&lt;=0,0,MAX($C$81*R$5/12,Inputs!$C$8)))+$I$81*(R$5&gt;Inputs!$C$12)*$D$81*(1+Inputs!$C$11*(R$5-Inputs!$C$12)/12)</f>
        <v>1680</v>
      </c>
      <c r="S85" s="42" t="n">
        <f aca="false">$D$81*(1+IF($C$81&lt;=0,0,MAX($C$81*S$5/12,Inputs!$C$8)))+$I$81*(S$5&gt;Inputs!$C$12)*$D$81*(1+Inputs!$C$11*(S$5-Inputs!$C$12)/12)</f>
        <v>1686.66666666667</v>
      </c>
      <c r="T85" s="42" t="n">
        <f aca="false">$D$81*(1+IF($C$81&lt;=0,0,MAX($C$81*T$5/12,Inputs!$C$8)))+$I$81*(T$5&gt;Inputs!$C$12)*$D$81*(1+Inputs!$C$11*(T$5-Inputs!$C$12)/12)</f>
        <v>1704</v>
      </c>
      <c r="U85" s="42" t="n">
        <f aca="false">$D$81*(1+IF($C$81&lt;=0,0,MAX($C$81*U$5/12,Inputs!$C$8)))+$I$81*(U$5&gt;Inputs!$C$12)*$D$81*(1+Inputs!$C$11*(U$5-Inputs!$C$12)/12)</f>
        <v>1721.33333333333</v>
      </c>
      <c r="V85" s="42" t="n">
        <f aca="false">$D$81*(1+IF($C$81&lt;=0,0,MAX($C$81*V$5/12,Inputs!$C$8)))+$I$81*(V$5&gt;Inputs!$C$12)*$D$81*(1+Inputs!$C$11*(V$5-Inputs!$C$12)/12)</f>
        <v>1738.66666666667</v>
      </c>
      <c r="W85" s="42" t="n">
        <f aca="false">$D$81*(1+IF($C$81&lt;=0,0,MAX($C$81*W$5/12,Inputs!$C$8)))+$I$81*(W$5&gt;Inputs!$C$12)*$D$81*(1+Inputs!$C$11*(W$5-Inputs!$C$12)/12)</f>
        <v>1756</v>
      </c>
      <c r="X85" s="42" t="n">
        <f aca="false">$D$81*(1+IF($C$81&lt;=0,0,MAX($C$81*X$5/12,Inputs!$C$8)))+$I$81*(X$5&gt;Inputs!$C$12)*$D$81*(1+Inputs!$C$11*(X$5-Inputs!$C$12)/12)</f>
        <v>1773.33333333333</v>
      </c>
      <c r="Y85" s="42" t="n">
        <f aca="false">$D$81*(1+IF($C$81&lt;=0,0,MAX($C$81*Y$5/12,Inputs!$C$8)))+$I$81*(Y$5&gt;Inputs!$C$12)*$D$81*(1+Inputs!$C$11*(Y$5-Inputs!$C$12)/12)</f>
        <v>1790.66666666667</v>
      </c>
      <c r="Z85" s="42" t="n">
        <f aca="false">$D$81*(1+IF($C$81&lt;=0,0,MAX($C$81*Z$5/12,Inputs!$C$8)))+$I$81*(Z$5&gt;Inputs!$C$12)*$D$81*(1+Inputs!$C$11*(Z$5-Inputs!$C$12)/12)</f>
        <v>1808</v>
      </c>
      <c r="AA85" s="42" t="n">
        <f aca="false">$D$81*(1+IF($C$81&lt;=0,0,MAX($C$81*AA$5/12,Inputs!$C$8)))+$I$81*(AA$5&gt;Inputs!$C$12)*$D$81*(1+Inputs!$C$11*(AA$5-Inputs!$C$12)/12)</f>
        <v>3449.33333333333</v>
      </c>
      <c r="AB85" s="42" t="n">
        <f aca="false">$D$81*(1+IF($C$81&lt;=0,0,MAX($C$81*AB$5/12,Inputs!$C$8)))+$I$81*(AB$5&gt;Inputs!$C$12)*$D$81*(1+Inputs!$C$11*(AB$5-Inputs!$C$12)/12)</f>
        <v>3490.66666666667</v>
      </c>
      <c r="AC85" s="42" t="n">
        <f aca="false">$D$81*(1+IF($C$81&lt;=0,0,MAX($C$81*AC$5/12,Inputs!$C$8)))+$I$81*(AC$5&gt;Inputs!$C$12)*$D$81*(1+Inputs!$C$11*(AC$5-Inputs!$C$12)/12)</f>
        <v>3532</v>
      </c>
      <c r="AD85" s="42" t="n">
        <f aca="false">$D$81*(1+IF($C$81&lt;=0,0,MAX($C$81*AD$5/12,Inputs!$C$8)))+$I$81*(AD$5&gt;Inputs!$C$12)*$D$81*(1+Inputs!$C$11*(AD$5-Inputs!$C$12)/12)</f>
        <v>3573.33333333333</v>
      </c>
      <c r="AE85" s="42" t="n">
        <f aca="false">$D$81*(1+IF($C$81&lt;=0,0,MAX($C$81*AE$5/12,Inputs!$C$8)))+$I$81*(AE$5&gt;Inputs!$C$12)*$D$81*(1+Inputs!$C$11*(AE$5-Inputs!$C$12)/12)</f>
        <v>3614.66666666667</v>
      </c>
      <c r="AF85" s="42" t="n">
        <f aca="false">$D$81*(1+IF($C$81&lt;=0,0,MAX($C$81*AF$5/12,Inputs!$C$8)))+$I$81*(AF$5&gt;Inputs!$C$12)*$D$81*(1+Inputs!$C$11*(AF$5-Inputs!$C$12)/12)</f>
        <v>3656</v>
      </c>
      <c r="AG85" s="42" t="n">
        <f aca="false">$D$81*(1+IF($C$81&lt;=0,0,MAX($C$81*AG$5/12,Inputs!$C$8)))+$I$81*(AG$5&gt;Inputs!$C$12)*$D$81*(1+Inputs!$C$11*(AG$5-Inputs!$C$12)/12)</f>
        <v>3697.33333333333</v>
      </c>
      <c r="AH85" s="42" t="n">
        <f aca="false">$D$81*(1+IF($C$81&lt;=0,0,MAX($C$81*AH$5/12,Inputs!$C$8)))+$I$81*(AH$5&gt;Inputs!$C$12)*$D$81*(1+Inputs!$C$11*(AH$5-Inputs!$C$12)/12)</f>
        <v>3738.66666666667</v>
      </c>
      <c r="AI85" s="42" t="n">
        <f aca="false">$D$81*(1+IF($C$81&lt;=0,0,MAX($C$81*AI$5/12,Inputs!$C$8)))+$I$81*(AI$5&gt;Inputs!$C$12)*$D$81*(1+Inputs!$C$11*(AI$5-Inputs!$C$12)/12)</f>
        <v>3780</v>
      </c>
      <c r="AJ85" s="42" t="n">
        <f aca="false">$D$81*(1+IF($C$81&lt;=0,0,MAX($C$81*AJ$5/12,Inputs!$C$8)))+$I$81*(AJ$5&gt;Inputs!$C$12)*$D$81*(1+Inputs!$C$11*(AJ$5-Inputs!$C$12)/12)</f>
        <v>3821.33333333333</v>
      </c>
      <c r="AK85" s="42" t="n">
        <f aca="false">$D$81*(1+IF($C$81&lt;=0,0,MAX($C$81*AK$5/12,Inputs!$C$8)))+$I$81*(AK$5&gt;Inputs!$C$12)*$D$81*(1+Inputs!$C$11*(AK$5-Inputs!$C$12)/12)</f>
        <v>3862.66666666667</v>
      </c>
      <c r="AL85" s="42" t="n">
        <f aca="false">$D$81*(1+IF($C$81&lt;=0,0,MAX($C$81*AL$5/12,Inputs!$C$8)))+$I$81*(AL$5&gt;Inputs!$C$12)*$D$81*(1+Inputs!$C$11*(AL$5-Inputs!$C$12)/12)</f>
        <v>3904</v>
      </c>
    </row>
    <row r="86" customFormat="false" ht="15" hidden="false" customHeight="false" outlineLevel="0" collapsed="false">
      <c r="B86" s="31" t="s">
        <v>187</v>
      </c>
      <c r="N86" s="42" t="n">
        <f aca="false">-($D$81+$J$81)*(N$5=0)+IF(AND(N$5-$K$81&gt;=1,N$5-$K$81&lt;=Inputs!$C$13),INDEX($N$84:$AL$84,1,N$5-$K$81+1)*INDEX($N$85:$AL$85,1,N$5-$K$81+1),0)-$I$81*((N$5=Inputs!$C$12)*$C$83*$D$81+(N$5=Inputs!$C$13)*$D$83*($D$81+Inputs!$C$14))+$I$81*((N$5=Inputs!$C$15+$K$81)*$E$83*$I$83+(N$5=Inputs!$C$16+$K$81)*$F$83*$J$83+(N$5=Inputs!$C$17)*$G$83*$H$81*$H$83)</f>
        <v>-1610</v>
      </c>
      <c r="O86" s="42" t="n">
        <f aca="false">-($D$81+$J$81)*(O$5=0)+IF(AND(O$5-$K$81&gt;=1,O$5-$K$81&lt;=Inputs!$C$13),INDEX($N$84:$AL$84,1,O$5-$K$81+1)*INDEX($N$85:$AL$85,1,O$5-$K$81+1),0)-$I$81*((O$5=Inputs!$C$12)*$C$83*$D$81+(O$5=Inputs!$C$13)*$D$83*($D$81+Inputs!$C$14))+$I$81*((O$5=Inputs!$C$15+$K$81)*$E$83*$I$83+(O$5=Inputs!$C$16+$K$81)*$F$83*$J$83+(O$5=Inputs!$C$17)*$G$83*$H$81*$H$83)</f>
        <v>0</v>
      </c>
      <c r="P86" s="42" t="n">
        <f aca="false">-($D$81+$J$81)*(P$5=0)+IF(AND(P$5-$K$81&gt;=1,P$5-$K$81&lt;=Inputs!$C$13),INDEX($N$84:$AL$84,1,P$5-$K$81+1)*INDEX($N$85:$AL$85,1,P$5-$K$81+1),0)-$I$81*((P$5=Inputs!$C$12)*$C$83*$D$81+(P$5=Inputs!$C$13)*$D$83*($D$81+Inputs!$C$14))+$I$81*((P$5=Inputs!$C$15+$K$81)*$E$83*$I$83+(P$5=Inputs!$C$16+$K$81)*$F$83*$J$83+(P$5=Inputs!$C$17)*$G$83*$H$81*$H$83)</f>
        <v>80.64</v>
      </c>
      <c r="Q86" s="42" t="n">
        <f aca="false">-($D$81+$J$81)*(Q$5=0)+IF(AND(Q$5-$K$81&gt;=1,Q$5-$K$81&lt;=Inputs!$C$13),INDEX($N$84:$AL$84,1,Q$5-$K$81+1)*INDEX($N$85:$AL$85,1,Q$5-$K$81+1),0)-$I$81*((Q$5=Inputs!$C$12)*$C$83*$D$81+(Q$5=Inputs!$C$13)*$D$83*($D$81+Inputs!$C$14))+$I$81*((Q$5=Inputs!$C$15+$K$81)*$E$83*$I$83+(Q$5=Inputs!$C$16+$K$81)*$F$83*$J$83+(Q$5=Inputs!$C$17)*$G$83*$H$81*$H$83)</f>
        <v>80.64</v>
      </c>
      <c r="R86" s="42" t="n">
        <f aca="false">-($D$81+$J$81)*(R$5=0)+IF(AND(R$5-$K$81&gt;=1,R$5-$K$81&lt;=Inputs!$C$13),INDEX($N$84:$AL$84,1,R$5-$K$81+1)*INDEX($N$85:$AL$85,1,R$5-$K$81+1),0)-$I$81*((R$5=Inputs!$C$12)*$C$83*$D$81+(R$5=Inputs!$C$13)*$D$83*($D$81+Inputs!$C$14))+$I$81*((R$5=Inputs!$C$15+$K$81)*$E$83*$I$83+(R$5=Inputs!$C$16+$K$81)*$F$83*$J$83+(R$5=Inputs!$C$17)*$G$83*$H$81*$H$83)</f>
        <v>80.64</v>
      </c>
      <c r="S86" s="42" t="n">
        <f aca="false">-($D$81+$J$81)*(S$5=0)+IF(AND(S$5-$K$81&gt;=1,S$5-$K$81&lt;=Inputs!$C$13),INDEX($N$84:$AL$84,1,S$5-$K$81+1)*INDEX($N$85:$AL$85,1,S$5-$K$81+1),0)-$I$81*((S$5=Inputs!$C$12)*$C$83*$D$81+(S$5=Inputs!$C$13)*$D$83*($D$81+Inputs!$C$14))+$I$81*((S$5=Inputs!$C$15+$K$81)*$E$83*$I$83+(S$5=Inputs!$C$16+$K$81)*$F$83*$J$83+(S$5=Inputs!$C$17)*$G$83*$H$81*$H$83)</f>
        <v>80.64</v>
      </c>
      <c r="T86" s="42" t="n">
        <f aca="false">-($D$81+$J$81)*(T$5=0)+IF(AND(T$5-$K$81&gt;=1,T$5-$K$81&lt;=Inputs!$C$13),INDEX($N$84:$AL$84,1,T$5-$K$81+1)*INDEX($N$85:$AL$85,1,T$5-$K$81+1),0)-$I$81*((T$5=Inputs!$C$12)*$C$83*$D$81+(T$5=Inputs!$C$13)*$D$83*($D$81+Inputs!$C$14))+$I$81*((T$5=Inputs!$C$15+$K$81)*$E$83*$I$83+(T$5=Inputs!$C$16+$K$81)*$F$83*$J$83+(T$5=Inputs!$C$17)*$G$83*$H$81*$H$83)</f>
        <v>80.96</v>
      </c>
      <c r="U86" s="42" t="n">
        <f aca="false">-($D$81+$J$81)*(U$5=0)+IF(AND(U$5-$K$81&gt;=1,U$5-$K$81&lt;=Inputs!$C$13),INDEX($N$84:$AL$84,1,U$5-$K$81+1)*INDEX($N$85:$AL$85,1,U$5-$K$81+1),0)-$I$81*((U$5=Inputs!$C$12)*$C$83*$D$81+(U$5=Inputs!$C$13)*$D$83*($D$81+Inputs!$C$14))+$I$81*((U$5=Inputs!$C$15+$K$81)*$E$83*$I$83+(U$5=Inputs!$C$16+$K$81)*$F$83*$J$83+(U$5=Inputs!$C$17)*$G$83*$H$81*$H$83)</f>
        <v>81.792</v>
      </c>
      <c r="V86" s="42" t="n">
        <f aca="false">-($D$81+$J$81)*(V$5=0)+IF(AND(V$5-$K$81&gt;=1,V$5-$K$81&lt;=Inputs!$C$13),INDEX($N$84:$AL$84,1,V$5-$K$81+1)*INDEX($N$85:$AL$85,1,V$5-$K$81+1),0)-$I$81*((V$5=Inputs!$C$12)*$C$83*$D$81+(V$5=Inputs!$C$13)*$D$83*($D$81+Inputs!$C$14))+$I$81*((V$5=Inputs!$C$15+$K$81)*$E$83*$I$83+(V$5=Inputs!$C$16+$K$81)*$F$83*$J$83+(V$5=Inputs!$C$17)*$G$83*$H$81*$H$83)</f>
        <v>64.2631111111111</v>
      </c>
      <c r="W86" s="42" t="n">
        <f aca="false">-($D$81+$J$81)*(W$5=0)+IF(AND(W$5-$K$81&gt;=1,W$5-$K$81&lt;=Inputs!$C$13),INDEX($N$84:$AL$84,1,W$5-$K$81+1)*INDEX($N$85:$AL$85,1,W$5-$K$81+1),0)-$I$81*((W$5=Inputs!$C$12)*$C$83*$D$81+(W$5=Inputs!$C$13)*$D$83*($D$81+Inputs!$C$14))+$I$81*((W$5=Inputs!$C$15+$K$81)*$E$83*$I$83+(W$5=Inputs!$C$16+$K$81)*$F$83*$J$83+(W$5=Inputs!$C$17)*$G$83*$H$81*$H$83)</f>
        <v>64.9102222222222</v>
      </c>
      <c r="X86" s="42" t="n">
        <f aca="false">-($D$81+$J$81)*(X$5=0)+IF(AND(X$5-$K$81&gt;=1,X$5-$K$81&lt;=Inputs!$C$13),INDEX($N$84:$AL$84,1,X$5-$K$81+1)*INDEX($N$85:$AL$85,1,X$5-$K$81+1),0)-$I$81*((X$5=Inputs!$C$12)*$C$83*$D$81+(X$5=Inputs!$C$13)*$D$83*($D$81+Inputs!$C$14))+$I$81*((X$5=Inputs!$C$15+$K$81)*$E$83*$I$83+(X$5=Inputs!$C$16+$K$81)*$F$83*$J$83+(X$5=Inputs!$C$17)*$G$83*$H$81*$H$83)</f>
        <v>65.5573333333334</v>
      </c>
      <c r="Y86" s="42" t="n">
        <f aca="false">-($D$81+$J$81)*(Y$5=0)+IF(AND(Y$5-$K$81&gt;=1,Y$5-$K$81&lt;=Inputs!$C$13),INDEX($N$84:$AL$84,1,Y$5-$K$81+1)*INDEX($N$85:$AL$85,1,Y$5-$K$81+1),0)-$I$81*((Y$5=Inputs!$C$12)*$C$83*$D$81+(Y$5=Inputs!$C$13)*$D$83*($D$81+Inputs!$C$14))+$I$81*((Y$5=Inputs!$C$15+$K$81)*$E$83*$I$83+(Y$5=Inputs!$C$16+$K$81)*$F$83*$J$83+(Y$5=Inputs!$C$17)*$G$83*$H$81*$H$83)</f>
        <v>56.7466666666667</v>
      </c>
      <c r="Z86" s="42" t="n">
        <f aca="false">-($D$81+$J$81)*(Z$5=0)+IF(AND(Z$5-$K$81&gt;=1,Z$5-$K$81&lt;=Inputs!$C$13),INDEX($N$84:$AL$84,1,Z$5-$K$81+1)*INDEX($N$85:$AL$85,1,Z$5-$K$81+1),0)-$I$81*((Z$5=Inputs!$C$12)*$C$83*$D$81+(Z$5=Inputs!$C$13)*$D$83*($D$81+Inputs!$C$14))+$I$81*((Z$5=Inputs!$C$15+$K$81)*$E$83*$I$83+(Z$5=Inputs!$C$16+$K$81)*$F$83*$J$83+(Z$5=Inputs!$C$17)*$G$83*$H$81*$H$83)</f>
        <v>-749.098666666667</v>
      </c>
      <c r="AA86" s="42" t="n">
        <f aca="false">-($D$81+$J$81)*(AA$5=0)+IF(AND(AA$5-$K$81&gt;=1,AA$5-$K$81&lt;=Inputs!$C$13),INDEX($N$84:$AL$84,1,AA$5-$K$81+1)*INDEX($N$85:$AL$85,1,AA$5-$K$81+1),0)-$I$81*((AA$5=Inputs!$C$12)*$C$83*$D$81+(AA$5=Inputs!$C$13)*$D$83*($D$81+Inputs!$C$14))+$I$81*((AA$5=Inputs!$C$15+$K$81)*$E$83*$I$83+(AA$5=Inputs!$C$16+$K$81)*$F$83*$J$83+(AA$5=Inputs!$C$17)*$G$83*$H$81*$H$83)</f>
        <v>57.856</v>
      </c>
      <c r="AB86" s="42" t="n">
        <f aca="false">-($D$81+$J$81)*(AB$5=0)+IF(AND(AB$5-$K$81&gt;=1,AB$5-$K$81&lt;=Inputs!$C$13),INDEX($N$84:$AL$84,1,AB$5-$K$81+1)*INDEX($N$85:$AL$85,1,AB$5-$K$81+1),0)-$I$81*((AB$5=Inputs!$C$12)*$C$83*$D$81+(AB$5=Inputs!$C$13)*$D$83*($D$81+Inputs!$C$14))+$I$81*((AB$5=Inputs!$C$15+$K$81)*$E$83*$I$83+(AB$5=Inputs!$C$16+$K$81)*$F$83*$J$83+(AB$5=Inputs!$C$17)*$G$83*$H$81*$H$83)</f>
        <v>91.9822222222222</v>
      </c>
      <c r="AC86" s="42" t="n">
        <f aca="false">-($D$81+$J$81)*(AC$5=0)+IF(AND(AC$5-$K$81&gt;=1,AC$5-$K$81&lt;=Inputs!$C$13),INDEX($N$84:$AL$84,1,AC$5-$K$81+1)*INDEX($N$85:$AL$85,1,AC$5-$K$81+1),0)-$I$81*((AC$5=Inputs!$C$12)*$C$83*$D$81+(AC$5=Inputs!$C$13)*$D$83*($D$81+Inputs!$C$14))+$I$81*((AC$5=Inputs!$C$15+$K$81)*$E$83*$I$83+(AC$5=Inputs!$C$16+$K$81)*$F$83*$J$83+(AC$5=Inputs!$C$17)*$G$83*$H$81*$H$83)</f>
        <v>93.0844444444444</v>
      </c>
      <c r="AD86" s="42" t="n">
        <f aca="false">-($D$81+$J$81)*(AD$5=0)+IF(AND(AD$5-$K$81&gt;=1,AD$5-$K$81&lt;=Inputs!$C$13),INDEX($N$84:$AL$84,1,AD$5-$K$81+1)*INDEX($N$85:$AL$85,1,AD$5-$K$81+1),0)-$I$81*((AD$5=Inputs!$C$12)*$C$83*$D$81+(AD$5=Inputs!$C$13)*$D$83*($D$81+Inputs!$C$14))+$I$81*((AD$5=Inputs!$C$15+$K$81)*$E$83*$I$83+(AD$5=Inputs!$C$16+$K$81)*$F$83*$J$83+(AD$5=Inputs!$C$17)*$G$83*$H$81*$H$83)</f>
        <v>94.1866666666667</v>
      </c>
      <c r="AE86" s="42" t="n">
        <f aca="false">-($D$81+$J$81)*(AE$5=0)+IF(AND(AE$5-$K$81&gt;=1,AE$5-$K$81&lt;=Inputs!$C$13),INDEX($N$84:$AL$84,1,AE$5-$K$81+1)*INDEX($N$85:$AL$85,1,AE$5-$K$81+1),0)-$I$81*((AE$5=Inputs!$C$12)*$C$83*$D$81+(AE$5=Inputs!$C$13)*$D$83*($D$81+Inputs!$C$14))+$I$81*((AE$5=Inputs!$C$15+$K$81)*$E$83*$I$83+(AE$5=Inputs!$C$16+$K$81)*$F$83*$J$83+(AE$5=Inputs!$C$17)*$G$83*$H$81*$H$83)</f>
        <v>95.2888888888889</v>
      </c>
      <c r="AF86" s="42" t="n">
        <f aca="false">-($D$81+$J$81)*(AF$5=0)+IF(AND(AF$5-$K$81&gt;=1,AF$5-$K$81&lt;=Inputs!$C$13),INDEX($N$84:$AL$84,1,AF$5-$K$81+1)*INDEX($N$85:$AL$85,1,AF$5-$K$81+1),0)-$I$81*((AF$5=Inputs!$C$12)*$C$83*$D$81+(AF$5=Inputs!$C$13)*$D$83*($D$81+Inputs!$C$14))+$I$81*((AF$5=Inputs!$C$15+$K$81)*$E$83*$I$83+(AF$5=Inputs!$C$16+$K$81)*$F$83*$J$83+(AF$5=Inputs!$C$17)*$G$83*$H$81*$H$83)</f>
        <v>96.3911111111111</v>
      </c>
      <c r="AG86" s="42" t="n">
        <f aca="false">-($D$81+$J$81)*(AG$5=0)+IF(AND(AG$5-$K$81&gt;=1,AG$5-$K$81&lt;=Inputs!$C$13),INDEX($N$84:$AL$84,1,AG$5-$K$81+1)*INDEX($N$85:$AL$85,1,AG$5-$K$81+1),0)-$I$81*((AG$5=Inputs!$C$12)*$C$83*$D$81+(AG$5=Inputs!$C$13)*$D$83*($D$81+Inputs!$C$14))+$I$81*((AG$5=Inputs!$C$15+$K$81)*$E$83*$I$83+(AG$5=Inputs!$C$16+$K$81)*$F$83*$J$83+(AG$5=Inputs!$C$17)*$G$83*$H$81*$H$83)</f>
        <v>97.4933333333333</v>
      </c>
      <c r="AH86" s="42" t="n">
        <f aca="false">-($D$81+$J$81)*(AH$5=0)+IF(AND(AH$5-$K$81&gt;=1,AH$5-$K$81&lt;=Inputs!$C$13),INDEX($N$84:$AL$84,1,AH$5-$K$81+1)*INDEX($N$85:$AL$85,1,AH$5-$K$81+1),0)-$I$81*((AH$5=Inputs!$C$12)*$C$83*$D$81+(AH$5=Inputs!$C$13)*$D$83*($D$81+Inputs!$C$14))+$I$81*((AH$5=Inputs!$C$15+$K$81)*$E$83*$I$83+(AH$5=Inputs!$C$16+$K$81)*$F$83*$J$83+(AH$5=Inputs!$C$17)*$G$83*$H$81*$H$83)</f>
        <v>88.7360000000001</v>
      </c>
      <c r="AI86" s="42" t="n">
        <f aca="false">-($D$81+$J$81)*(AI$5=0)+IF(AND(AI$5-$K$81&gt;=1,AI$5-$K$81&lt;=Inputs!$C$13),INDEX($N$84:$AL$84,1,AI$5-$K$81+1)*INDEX($N$85:$AL$85,1,AI$5-$K$81+1),0)-$I$81*((AI$5=Inputs!$C$12)*$C$83*$D$81+(AI$5=Inputs!$C$13)*$D$83*($D$81+Inputs!$C$14))+$I$81*((AI$5=Inputs!$C$15+$K$81)*$E$83*$I$83+(AI$5=Inputs!$C$16+$K$81)*$F$83*$J$83+(AI$5=Inputs!$C$17)*$G$83*$H$81*$H$83)</f>
        <v>89.7280000000001</v>
      </c>
      <c r="AJ86" s="42" t="n">
        <f aca="false">-($D$81+$J$81)*(AJ$5=0)+IF(AND(AJ$5-$K$81&gt;=1,AJ$5-$K$81&lt;=Inputs!$C$13),INDEX($N$84:$AL$84,1,AJ$5-$K$81+1)*INDEX($N$85:$AL$85,1,AJ$5-$K$81+1),0)-$I$81*((AJ$5=Inputs!$C$12)*$C$83*$D$81+(AJ$5=Inputs!$C$13)*$D$83*($D$81+Inputs!$C$14))+$I$81*((AJ$5=Inputs!$C$15+$K$81)*$E$83*$I$83+(AJ$5=Inputs!$C$16+$K$81)*$F$83*$J$83+(AJ$5=Inputs!$C$17)*$G$83*$H$81*$H$83)</f>
        <v>90.7199999999998</v>
      </c>
      <c r="AK86" s="42" t="n">
        <f aca="false">-($D$81+$J$81)*(AK$5=0)+IF(AND(AK$5-$K$81&gt;=1,AK$5-$K$81&lt;=Inputs!$C$13),INDEX($N$84:$AL$84,1,AK$5-$K$81+1)*INDEX($N$85:$AL$85,1,AK$5-$K$81+1),0)-$I$81*((AK$5=Inputs!$C$12)*$C$83*$D$81+(AK$5=Inputs!$C$13)*$D$83*($D$81+Inputs!$C$14))+$I$81*((AK$5=Inputs!$C$15+$K$81)*$E$83*$I$83+(AK$5=Inputs!$C$16+$K$81)*$F$83*$J$83+(AK$5=Inputs!$C$17)*$G$83*$H$81*$H$83)</f>
        <v>91.7120000000001</v>
      </c>
      <c r="AL86" s="42" t="n">
        <f aca="false">-($D$81+$J$81)*(AL$5=0)+IF(AND(AL$5-$K$81&gt;=1,AL$5-$K$81&lt;=Inputs!$C$13),INDEX($N$84:$AL$84,1,AL$5-$K$81+1)*INDEX($N$85:$AL$85,1,AL$5-$K$81+1),0)-$I$81*((AL$5=Inputs!$C$12)*$C$83*$D$81+(AL$5=Inputs!$C$13)*$D$83*($D$81+Inputs!$C$14))+$I$81*((AL$5=Inputs!$C$15+$K$81)*$E$83*$I$83+(AL$5=Inputs!$C$16+$K$81)*$F$83*$J$83+(AL$5=Inputs!$C$17)*$G$83*$H$81*$H$83)</f>
        <v>-587.296</v>
      </c>
      <c r="AM86" s="42" t="n">
        <f aca="false">-($D$81+$J$81)*(AM$5=0)+IF(AND(AM$5-$K$81&gt;=1,AM$5-$K$81&lt;=Inputs!$C$13),INDEX($N$84:$AL$84,1,AM$5-$K$81+1)*INDEX($N$85:$AL$85,1,AM$5-$K$81+1),0)-$I$81*((AM$5=Inputs!$C$12)*$C$83*$D$81+(AM$5=Inputs!$C$13)*$D$83*($D$81+Inputs!$C$14))+$I$81*((AM$5=Inputs!$C$15+$K$81)*$E$83*$I$83+(AM$5=Inputs!$C$16+$K$81)*$F$83*$J$83+(AM$5=Inputs!$C$17)*$G$83*$H$81*$H$83)</f>
        <v>93.6960000000001</v>
      </c>
      <c r="AN86" s="42" t="n">
        <f aca="false">-($D$81+$J$81)*(AN$5=0)+IF(AND(AN$5-$K$81&gt;=1,AN$5-$K$81&lt;=Inputs!$C$13),INDEX($N$84:$AL$84,1,AN$5-$K$81+1)*INDEX($N$85:$AL$85,1,AN$5-$K$81+1),0)-$I$81*((AN$5=Inputs!$C$12)*$C$83*$D$81+(AN$5=Inputs!$C$13)*$D$83*($D$81+Inputs!$C$14))+$I$81*((AN$5=Inputs!$C$15+$K$81)*$E$83*$I$83+(AN$5=Inputs!$C$16+$K$81)*$F$83*$J$83+(AN$5=Inputs!$C$17)*$G$83*$H$81*$H$83)</f>
        <v>0</v>
      </c>
      <c r="AO86" s="42" t="n">
        <f aca="false">-($D$81+$J$81)*(AO$5=0)+IF(AND(AO$5-$K$81&gt;=1,AO$5-$K$81&lt;=Inputs!$C$13),INDEX($N$84:$AL$84,1,AO$5-$K$81+1)*INDEX($N$85:$AL$85,1,AO$5-$K$81+1),0)-$I$81*((AO$5=Inputs!$C$12)*$C$83*$D$81+(AO$5=Inputs!$C$13)*$D$83*($D$81+Inputs!$C$14))+$I$81*((AO$5=Inputs!$C$15+$K$81)*$E$83*$I$83+(AO$5=Inputs!$C$16+$K$81)*$F$83*$J$83+(AO$5=Inputs!$C$17)*$G$83*$H$81*$H$83)</f>
        <v>0</v>
      </c>
      <c r="AP86" s="42" t="n">
        <f aca="false">-($D$81+$J$81)*(AP$5=0)+IF(AND(AP$5-$K$81&gt;=1,AP$5-$K$81&lt;=Inputs!$C$13),INDEX($N$84:$AL$84,1,AP$5-$K$81+1)*INDEX($N$85:$AL$85,1,AP$5-$K$81+1),0)-$I$81*((AP$5=Inputs!$C$12)*$C$83*$D$81+(AP$5=Inputs!$C$13)*$D$83*($D$81+Inputs!$C$14))+$I$81*((AP$5=Inputs!$C$15+$K$81)*$E$83*$I$83+(AP$5=Inputs!$C$16+$K$81)*$F$83*$J$83+(AP$5=Inputs!$C$17)*$G$83*$H$81*$H$83)</f>
        <v>600</v>
      </c>
      <c r="AQ86" s="42" t="n">
        <f aca="false">-($D$81+$J$81)*(AQ$5=0)+IF(AND(AQ$5-$K$81&gt;=1,AQ$5-$K$81&lt;=Inputs!$C$13),INDEX($N$84:$AL$84,1,AQ$5-$K$81+1)*INDEX($N$85:$AL$85,1,AQ$5-$K$81+1),0)-$I$81*((AQ$5=Inputs!$C$12)*$C$83*$D$81+(AQ$5=Inputs!$C$13)*$D$83*($D$81+Inputs!$C$14))+$I$81*((AQ$5=Inputs!$C$15+$K$81)*$E$83*$I$83+(AQ$5=Inputs!$C$16+$K$81)*$F$83*$J$83+(AQ$5=Inputs!$C$17)*$G$83*$H$81*$H$83)</f>
        <v>0</v>
      </c>
      <c r="AR86" s="42" t="n">
        <f aca="false">-($D$81+$J$81)*(AR$5=0)+IF(AND(AR$5-$K$81&gt;=1,AR$5-$K$81&lt;=Inputs!$C$13),INDEX($N$84:$AL$84,1,AR$5-$K$81+1)*INDEX($N$85:$AL$85,1,AR$5-$K$81+1),0)-$I$81*((AR$5=Inputs!$C$12)*$C$83*$D$81+(AR$5=Inputs!$C$13)*$D$83*($D$81+Inputs!$C$14))+$I$81*((AR$5=Inputs!$C$15+$K$81)*$E$83*$I$83+(AR$5=Inputs!$C$16+$K$81)*$F$83*$J$83+(AR$5=Inputs!$C$17)*$G$83*$H$81*$H$83)</f>
        <v>0</v>
      </c>
      <c r="AS86" s="42" t="n">
        <f aca="false">-($D$81+$J$81)*(AS$5=0)+IF(AND(AS$5-$K$81&gt;=1,AS$5-$K$81&lt;=Inputs!$C$13),INDEX($N$84:$AL$84,1,AS$5-$K$81+1)*INDEX($N$85:$AL$85,1,AS$5-$K$81+1),0)-$I$81*((AS$5=Inputs!$C$12)*$C$83*$D$81+(AS$5=Inputs!$C$13)*$D$83*($D$81+Inputs!$C$14))+$I$81*((AS$5=Inputs!$C$15+$K$81)*$E$83*$I$83+(AS$5=Inputs!$C$16+$K$81)*$F$83*$J$83+(AS$5=Inputs!$C$17)*$G$83*$H$81*$H$83)</f>
        <v>461.76</v>
      </c>
      <c r="AT86" s="42" t="n">
        <f aca="false">-($D$81+$J$81)*(AT$5=0)+IF(AND(AT$5-$K$81&gt;=1,AT$5-$K$81&lt;=Inputs!$C$13),INDEX($N$84:$AL$84,1,AT$5-$K$81+1)*INDEX($N$85:$AL$85,1,AT$5-$K$81+1),0)-$I$81*((AT$5=Inputs!$C$12)*$C$83*$D$81+(AT$5=Inputs!$C$13)*$D$83*($D$81+Inputs!$C$14))+$I$81*((AT$5=Inputs!$C$15+$K$81)*$E$83*$I$83+(AT$5=Inputs!$C$16+$K$81)*$F$83*$J$83+(AT$5=Inputs!$C$17)*$G$83*$H$81*$H$83)</f>
        <v>0</v>
      </c>
      <c r="AU86" s="42" t="n">
        <f aca="false">-($D$81+$J$81)*(AU$5=0)+IF(AND(AU$5-$K$81&gt;=1,AU$5-$K$81&lt;=Inputs!$C$13),INDEX($N$84:$AL$84,1,AU$5-$K$81+1)*INDEX($N$85:$AL$85,1,AU$5-$K$81+1),0)-$I$81*((AU$5=Inputs!$C$12)*$C$83*$D$81+(AU$5=Inputs!$C$13)*$D$83*($D$81+Inputs!$C$14))+$I$81*((AU$5=Inputs!$C$15+$K$81)*$E$83*$I$83+(AU$5=Inputs!$C$16+$K$81)*$F$83*$J$83+(AU$5=Inputs!$C$17)*$G$83*$H$81*$H$83)</f>
        <v>0</v>
      </c>
      <c r="AV86" s="42" t="n">
        <f aca="false">-($D$81+$J$81)*(AV$5=0)+IF(AND(AV$5-$K$81&gt;=1,AV$5-$K$81&lt;=Inputs!$C$13),INDEX($N$84:$AL$84,1,AV$5-$K$81+1)*INDEX($N$85:$AL$85,1,AV$5-$K$81+1),0)-$I$81*((AV$5=Inputs!$C$12)*$C$83*$D$81+(AV$5=Inputs!$C$13)*$D$83*($D$81+Inputs!$C$14))+$I$81*((AV$5=Inputs!$C$15+$K$81)*$E$83*$I$83+(AV$5=Inputs!$C$16+$K$81)*$F$83*$J$83+(AV$5=Inputs!$C$17)*$G$83*$H$81*$H$83)</f>
        <v>0</v>
      </c>
      <c r="AW86" s="42" t="n">
        <f aca="false">-($D$81+$J$81)*(AW$5=0)+IF(AND(AW$5-$K$81&gt;=1,AW$5-$K$81&lt;=Inputs!$C$13),INDEX($N$84:$AL$84,1,AW$5-$K$81+1)*INDEX($N$85:$AL$85,1,AW$5-$K$81+1),0)-$I$81*((AW$5=Inputs!$C$12)*$C$83*$D$81+(AW$5=Inputs!$C$13)*$D$83*($D$81+Inputs!$C$14))+$I$81*((AW$5=Inputs!$C$15+$K$81)*$E$83*$I$83+(AW$5=Inputs!$C$16+$K$81)*$F$83*$J$83+(AW$5=Inputs!$C$17)*$G$83*$H$81*$H$83)</f>
        <v>0</v>
      </c>
      <c r="AX86" s="42" t="n">
        <f aca="false">-($D$81+$J$81)*(AX$5=0)+IF(AND(AX$5-$K$81&gt;=1,AX$5-$K$81&lt;=Inputs!$C$13),INDEX($N$84:$AL$84,1,AX$5-$K$81+1)*INDEX($N$85:$AL$85,1,AX$5-$K$81+1),0)-$I$81*((AX$5=Inputs!$C$12)*$C$83*$D$81+(AX$5=Inputs!$C$13)*$D$83*($D$81+Inputs!$C$14))+$I$81*((AX$5=Inputs!$C$15+$K$81)*$E$83*$I$83+(AX$5=Inputs!$C$16+$K$81)*$F$83*$J$83+(AX$5=Inputs!$C$17)*$G$83*$H$81*$H$83)</f>
        <v>277.2</v>
      </c>
      <c r="AY86" s="42" t="n">
        <f aca="false">-($D$81+$J$81)*(AY$5=0)+IF(AND(AY$5-$K$81&gt;=1,AY$5-$K$81&lt;=Inputs!$C$13),INDEX($N$84:$AL$84,1,AY$5-$K$81+1)*INDEX($N$85:$AL$85,1,AY$5-$K$81+1),0)-$I$81*((AY$5=Inputs!$C$12)*$C$83*$D$81+(AY$5=Inputs!$C$13)*$D$83*($D$81+Inputs!$C$14))+$I$81*((AY$5=Inputs!$C$15+$K$81)*$E$83*$I$83+(AY$5=Inputs!$C$16+$K$81)*$F$83*$J$83+(AY$5=Inputs!$C$17)*$G$83*$H$81*$H$83)</f>
        <v>0</v>
      </c>
    </row>
    <row r="88" customFormat="false" ht="15" hidden="false" customHeight="false" outlineLevel="0" collapsed="false">
      <c r="B88" s="7" t="s">
        <v>250</v>
      </c>
      <c r="C88" s="8"/>
      <c r="D88" s="8"/>
      <c r="E88" s="8"/>
      <c r="F88" s="8"/>
      <c r="G88" s="8"/>
      <c r="H88" s="8"/>
      <c r="I88" s="8"/>
      <c r="J88" s="8"/>
      <c r="K88" s="8"/>
      <c r="L88" s="8"/>
    </row>
    <row r="89" customFormat="false" ht="30" hidden="false" customHeight="true" outlineLevel="0" collapsed="false">
      <c r="B89" s="37"/>
      <c r="C89" s="38" t="s">
        <v>169</v>
      </c>
      <c r="D89" s="38" t="s">
        <v>170</v>
      </c>
      <c r="E89" s="38" t="s">
        <v>171</v>
      </c>
      <c r="F89" s="38" t="s">
        <v>43</v>
      </c>
      <c r="G89" s="38" t="s">
        <v>44</v>
      </c>
      <c r="H89" s="38" t="s">
        <v>45</v>
      </c>
      <c r="I89" s="38" t="s">
        <v>172</v>
      </c>
      <c r="J89" s="38" t="s">
        <v>90</v>
      </c>
      <c r="K89" s="38" t="s">
        <v>89</v>
      </c>
      <c r="L89" s="38" t="s">
        <v>173</v>
      </c>
    </row>
    <row r="90" customFormat="false" ht="15" hidden="false" customHeight="false" outlineLevel="0" collapsed="false">
      <c r="B90" s="39" t="s">
        <v>174</v>
      </c>
      <c r="C90" s="26" t="n">
        <f aca="false">Inputs!$F$43*Inputs!$E$56</f>
        <v>0.13</v>
      </c>
      <c r="D90" s="30" t="n">
        <f aca="false">Inputs!$E$43</f>
        <v>1600</v>
      </c>
      <c r="E90" s="26" t="n">
        <f aca="false">IF(Inputs!$G$43=1,Inputs!$F$27,MIN(1,MAX(0,INDEX(Inputs!$F$23:$F$27,MATCH(Inputs!$C$43,Inputs!$B$23:$B$27,0))+INDEX(Inputs!$C$48:$C$51,MATCH(Inputs!$D$56,Inputs!$B$48:$B$51,0)))))</f>
        <v>0.35</v>
      </c>
      <c r="F90" s="25" t="n">
        <f aca="false">IF(Inputs!$G$43=1,Inputs!$G$27,INDEX(Inputs!$G$23:$G$27,MATCH(Inputs!$C$43,Inputs!$B$23:$B$27,0)))</f>
        <v>0.1</v>
      </c>
      <c r="G90" s="25" t="n">
        <f aca="false">IF(Inputs!$G$43=1,Inputs!$H$27,INDEX(Inputs!$H$23:$H$27,MATCH(Inputs!$C$43,Inputs!$B$23:$B$27,0)))*INDEX(Inputs!$D$48:$D$51,MATCH(Inputs!$D$56,Inputs!$B$48:$B$51,0))</f>
        <v>0.05</v>
      </c>
      <c r="H90" s="25" t="n">
        <f aca="false">MAX(0,IF(Inputs!$G$43=1,Inputs!$I$27,INDEX(Inputs!$I$23:$I$27,MATCH(Inputs!$C$43,Inputs!$B$23:$B$27,0)))+INDEX(Inputs!$E$48:$E$51,MATCH(Inputs!$D$56,Inputs!$B$48:$B$51,0)))</f>
        <v>0</v>
      </c>
      <c r="I90" s="22" t="n">
        <f aca="false">IF(Inputs!$G$43=1,0,INDEX(Inputs!$J$23:$J$27,MATCH(Inputs!$C$43,Inputs!$B$23:$B$27,0)))</f>
        <v>0</v>
      </c>
      <c r="J90" s="23" t="n">
        <f aca="false">Inputs!$G$56</f>
        <v>10</v>
      </c>
      <c r="K90" s="22" t="n">
        <f aca="false">Inputs!$F$56</f>
        <v>1</v>
      </c>
      <c r="L90" s="22" t="n">
        <f aca="false">Inputs!$C$56</f>
        <v>2</v>
      </c>
    </row>
    <row r="91" customFormat="false" ht="30" hidden="false" customHeight="true" outlineLevel="0" collapsed="false">
      <c r="B91" s="37"/>
      <c r="C91" s="38" t="s">
        <v>175</v>
      </c>
      <c r="D91" s="38" t="s">
        <v>176</v>
      </c>
      <c r="E91" s="38" t="s">
        <v>177</v>
      </c>
      <c r="F91" s="38" t="s">
        <v>178</v>
      </c>
      <c r="G91" s="38" t="s">
        <v>112</v>
      </c>
      <c r="H91" s="38" t="s">
        <v>179</v>
      </c>
      <c r="I91" s="38" t="s">
        <v>180</v>
      </c>
      <c r="J91" s="38" t="s">
        <v>181</v>
      </c>
      <c r="K91" s="38" t="s">
        <v>182</v>
      </c>
      <c r="L91" s="38" t="s">
        <v>183</v>
      </c>
    </row>
    <row r="92" customFormat="false" ht="15" hidden="false" customHeight="false" outlineLevel="0" collapsed="false">
      <c r="B92" s="39" t="s">
        <v>184</v>
      </c>
      <c r="C92" s="40" t="n">
        <f aca="false">1-$E$90*CHOOSE($L$90,INDEX(Timing!$C$7:$AA$7,1,Inputs!$C$12+1),INDEX(Timing!$C$8:$AA$8,1,Inputs!$C$12+1))</f>
        <v>0.783</v>
      </c>
      <c r="D92" s="40" t="n">
        <f aca="false">1-$E$90*CHOOSE($L$90,INDEX(Timing!$C$7:$AA$7,1,Inputs!$C$13+1),INDEX(Timing!$C$8:$AA$8,1,Inputs!$C$13+1))</f>
        <v>0.65</v>
      </c>
      <c r="E92" s="40" t="n">
        <f aca="false">$I$90*$D$92*$F$90</f>
        <v>0</v>
      </c>
      <c r="F92" s="40" t="n">
        <f aca="false">$I$90*($D$92-$E$92)*$G$90</f>
        <v>0</v>
      </c>
      <c r="G92" s="40" t="n">
        <f aca="false">$I$90*($D$92-$E$92-$F$92)</f>
        <v>0</v>
      </c>
      <c r="H92" s="23" t="n">
        <f aca="false">$I$90*(3*$D$90+Inputs!$C$14)</f>
        <v>0</v>
      </c>
      <c r="I92" s="23" t="n">
        <f aca="false">$I$90*($D$90*(1+IF($C$90&lt;=0,0,MAX($C$90*Inputs!$C$15/12,Inputs!$C$8)))+$D$90*(1+Inputs!$C$11*(Inputs!$C$15-Inputs!$C$12)/12)+$D$90*(1+Inputs!$C$11*(Inputs!$C$15-Inputs!$C$13)/12)+Inputs!$C$14)</f>
        <v>0</v>
      </c>
      <c r="J92" s="23" t="n">
        <f aca="false">$I$90*($D$90*(1+IF($C$90&lt;=0,0,MAX($C$90*Inputs!$C$16/12,Inputs!$C$8)))+$D$90*(1+Inputs!$C$11*(Inputs!$C$16-Inputs!$C$12)/12)+$D$90*(1+Inputs!$C$11*(Inputs!$C$16-Inputs!$C$13)/12)+Inputs!$C$14)</f>
        <v>0</v>
      </c>
      <c r="K92" s="40" t="n">
        <f aca="false">IRR($N$95:$AY$95,-0.05)</f>
        <v>-0.0660312539433873</v>
      </c>
      <c r="L92" s="41" t="n">
        <f aca="false">(1+$K$92)^12-1</f>
        <v>-0.55945718649368</v>
      </c>
    </row>
    <row r="93" customFormat="false" ht="15" hidden="false" customHeight="false" outlineLevel="0" collapsed="false">
      <c r="B93" s="9" t="s">
        <v>185</v>
      </c>
      <c r="N93" s="40" t="n">
        <f aca="false">0</f>
        <v>0</v>
      </c>
      <c r="O93" s="40" t="n">
        <f aca="false">$E$90*(CHOOSE($L$90,Timing!D$7,Timing!D$8)-CHOOSE($L$90,Timing!C$7,Timing!C$8))</f>
        <v>0.021</v>
      </c>
      <c r="P93" s="40" t="n">
        <f aca="false">$E$90*(CHOOSE($L$90,Timing!E$7,Timing!E$8)-CHOOSE($L$90,Timing!D$7,Timing!D$8))</f>
        <v>0.021</v>
      </c>
      <c r="Q93" s="40" t="n">
        <f aca="false">$E$90*(CHOOSE($L$90,Timing!F$7,Timing!F$8)-CHOOSE($L$90,Timing!E$7,Timing!E$8))</f>
        <v>0.021</v>
      </c>
      <c r="R93" s="40" t="n">
        <f aca="false">$E$90*(CHOOSE($L$90,Timing!G$7,Timing!G$8)-CHOOSE($L$90,Timing!F$7,Timing!F$8))</f>
        <v>0.021</v>
      </c>
      <c r="S93" s="40" t="n">
        <f aca="false">$E$90*(CHOOSE($L$90,Timing!H$7,Timing!H$8)-CHOOSE($L$90,Timing!G$7,Timing!G$8))</f>
        <v>0.021</v>
      </c>
      <c r="T93" s="40" t="n">
        <f aca="false">$E$90*(CHOOSE($L$90,Timing!I$7,Timing!I$8)-CHOOSE($L$90,Timing!H$7,Timing!H$8))</f>
        <v>0.021</v>
      </c>
      <c r="U93" s="40" t="n">
        <f aca="false">$E$90*(CHOOSE($L$90,Timing!J$7,Timing!J$8)-CHOOSE($L$90,Timing!I$7,Timing!I$8))</f>
        <v>0.0163333333333333</v>
      </c>
      <c r="V93" s="40" t="n">
        <f aca="false">$E$90*(CHOOSE($L$90,Timing!K$7,Timing!K$8)-CHOOSE($L$90,Timing!J$7,Timing!J$8))</f>
        <v>0.0163333333333333</v>
      </c>
      <c r="W93" s="40" t="n">
        <f aca="false">$E$90*(CHOOSE($L$90,Timing!L$7,Timing!L$8)-CHOOSE($L$90,Timing!K$7,Timing!K$8))</f>
        <v>0.0163333333333333</v>
      </c>
      <c r="X93" s="40" t="n">
        <f aca="false">$E$90*(CHOOSE($L$90,Timing!M$7,Timing!M$8)-CHOOSE($L$90,Timing!L$7,Timing!L$8))</f>
        <v>0.014</v>
      </c>
      <c r="Y93" s="40" t="n">
        <f aca="false">$E$90*(CHOOSE($L$90,Timing!N$7,Timing!N$8)-CHOOSE($L$90,Timing!M$7,Timing!M$8))</f>
        <v>0.014</v>
      </c>
      <c r="Z93" s="40" t="n">
        <f aca="false">$E$90*(CHOOSE($L$90,Timing!O$7,Timing!O$8)-CHOOSE($L$90,Timing!N$7,Timing!N$8))</f>
        <v>0.014</v>
      </c>
      <c r="AA93" s="40" t="n">
        <f aca="false">$E$90*(CHOOSE($L$90,Timing!P$7,Timing!P$8)-CHOOSE($L$90,Timing!O$7,Timing!O$8))</f>
        <v>0.0116666666666667</v>
      </c>
      <c r="AB93" s="40" t="n">
        <f aca="false">$E$90*(CHOOSE($L$90,Timing!Q$7,Timing!Q$8)-CHOOSE($L$90,Timing!P$7,Timing!P$8))</f>
        <v>0.0116666666666667</v>
      </c>
      <c r="AC93" s="40" t="n">
        <f aca="false">$E$90*(CHOOSE($L$90,Timing!R$7,Timing!R$8)-CHOOSE($L$90,Timing!Q$7,Timing!Q$8))</f>
        <v>0.0116666666666667</v>
      </c>
      <c r="AD93" s="40" t="n">
        <f aca="false">$E$90*(CHOOSE($L$90,Timing!S$7,Timing!S$8)-CHOOSE($L$90,Timing!R$7,Timing!R$8))</f>
        <v>0.0116666666666667</v>
      </c>
      <c r="AE93" s="40" t="n">
        <f aca="false">$E$90*(CHOOSE($L$90,Timing!T$7,Timing!T$8)-CHOOSE($L$90,Timing!S$7,Timing!S$8))</f>
        <v>0.0116666666666667</v>
      </c>
      <c r="AF93" s="40" t="n">
        <f aca="false">$E$90*(CHOOSE($L$90,Timing!U$7,Timing!U$8)-CHOOSE($L$90,Timing!T$7,Timing!T$8))</f>
        <v>0.0116666666666667</v>
      </c>
      <c r="AG93" s="40" t="n">
        <f aca="false">$E$90*(CHOOSE($L$90,Timing!V$7,Timing!V$8)-CHOOSE($L$90,Timing!U$7,Timing!U$8))</f>
        <v>0.0105</v>
      </c>
      <c r="AH93" s="40" t="n">
        <f aca="false">$E$90*(CHOOSE($L$90,Timing!W$7,Timing!W$8)-CHOOSE($L$90,Timing!V$7,Timing!V$8))</f>
        <v>0.0105</v>
      </c>
      <c r="AI93" s="40" t="n">
        <f aca="false">$E$90*(CHOOSE($L$90,Timing!X$7,Timing!X$8)-CHOOSE($L$90,Timing!W$7,Timing!W$8))</f>
        <v>0.0105</v>
      </c>
      <c r="AJ93" s="40" t="n">
        <f aca="false">$E$90*(CHOOSE($L$90,Timing!Y$7,Timing!Y$8)-CHOOSE($L$90,Timing!X$7,Timing!X$8))</f>
        <v>0.0105</v>
      </c>
      <c r="AK93" s="40" t="n">
        <f aca="false">$E$90*(CHOOSE($L$90,Timing!Z$7,Timing!Z$8)-CHOOSE($L$90,Timing!Y$7,Timing!Y$8))</f>
        <v>0.0105</v>
      </c>
      <c r="AL93" s="40" t="n">
        <f aca="false">$E$90*(CHOOSE($L$90,Timing!AA$7,Timing!AA$8)-CHOOSE($L$90,Timing!Z$7,Timing!Z$8))</f>
        <v>0.0105</v>
      </c>
    </row>
    <row r="94" customFormat="false" ht="15" hidden="false" customHeight="false" outlineLevel="0" collapsed="false">
      <c r="B94" s="9" t="s">
        <v>186</v>
      </c>
      <c r="N94" s="42" t="n">
        <f aca="false">0</f>
        <v>0</v>
      </c>
      <c r="O94" s="42" t="n">
        <f aca="false">$D$90*(1+IF($C$90&lt;=0,0,MAX($C$90*O$5/12,Inputs!$C$8)))+$I$90*(O$5&gt;Inputs!$C$12)*$D$90*(1+Inputs!$C$11*(O$5-Inputs!$C$12)/12)</f>
        <v>1680</v>
      </c>
      <c r="P94" s="42" t="n">
        <f aca="false">$D$90*(1+IF($C$90&lt;=0,0,MAX($C$90*P$5/12,Inputs!$C$8)))+$I$90*(P$5&gt;Inputs!$C$12)*$D$90*(1+Inputs!$C$11*(P$5-Inputs!$C$12)/12)</f>
        <v>1680</v>
      </c>
      <c r="Q94" s="42" t="n">
        <f aca="false">$D$90*(1+IF($C$90&lt;=0,0,MAX($C$90*Q$5/12,Inputs!$C$8)))+$I$90*(Q$5&gt;Inputs!$C$12)*$D$90*(1+Inputs!$C$11*(Q$5-Inputs!$C$12)/12)</f>
        <v>1680</v>
      </c>
      <c r="R94" s="42" t="n">
        <f aca="false">$D$90*(1+IF($C$90&lt;=0,0,MAX($C$90*R$5/12,Inputs!$C$8)))+$I$90*(R$5&gt;Inputs!$C$12)*$D$90*(1+Inputs!$C$11*(R$5-Inputs!$C$12)/12)</f>
        <v>1680</v>
      </c>
      <c r="S94" s="42" t="n">
        <f aca="false">$D$90*(1+IF($C$90&lt;=0,0,MAX($C$90*S$5/12,Inputs!$C$8)))+$I$90*(S$5&gt;Inputs!$C$12)*$D$90*(1+Inputs!$C$11*(S$5-Inputs!$C$12)/12)</f>
        <v>1686.66666666667</v>
      </c>
      <c r="T94" s="42" t="n">
        <f aca="false">$D$90*(1+IF($C$90&lt;=0,0,MAX($C$90*T$5/12,Inputs!$C$8)))+$I$90*(T$5&gt;Inputs!$C$12)*$D$90*(1+Inputs!$C$11*(T$5-Inputs!$C$12)/12)</f>
        <v>1704</v>
      </c>
      <c r="U94" s="42" t="n">
        <f aca="false">$D$90*(1+IF($C$90&lt;=0,0,MAX($C$90*U$5/12,Inputs!$C$8)))+$I$90*(U$5&gt;Inputs!$C$12)*$D$90*(1+Inputs!$C$11*(U$5-Inputs!$C$12)/12)</f>
        <v>1721.33333333333</v>
      </c>
      <c r="V94" s="42" t="n">
        <f aca="false">$D$90*(1+IF($C$90&lt;=0,0,MAX($C$90*V$5/12,Inputs!$C$8)))+$I$90*(V$5&gt;Inputs!$C$12)*$D$90*(1+Inputs!$C$11*(V$5-Inputs!$C$12)/12)</f>
        <v>1738.66666666667</v>
      </c>
      <c r="W94" s="42" t="n">
        <f aca="false">$D$90*(1+IF($C$90&lt;=0,0,MAX($C$90*W$5/12,Inputs!$C$8)))+$I$90*(W$5&gt;Inputs!$C$12)*$D$90*(1+Inputs!$C$11*(W$5-Inputs!$C$12)/12)</f>
        <v>1756</v>
      </c>
      <c r="X94" s="42" t="n">
        <f aca="false">$D$90*(1+IF($C$90&lt;=0,0,MAX($C$90*X$5/12,Inputs!$C$8)))+$I$90*(X$5&gt;Inputs!$C$12)*$D$90*(1+Inputs!$C$11*(X$5-Inputs!$C$12)/12)</f>
        <v>1773.33333333333</v>
      </c>
      <c r="Y94" s="42" t="n">
        <f aca="false">$D$90*(1+IF($C$90&lt;=0,0,MAX($C$90*Y$5/12,Inputs!$C$8)))+$I$90*(Y$5&gt;Inputs!$C$12)*$D$90*(1+Inputs!$C$11*(Y$5-Inputs!$C$12)/12)</f>
        <v>1790.66666666667</v>
      </c>
      <c r="Z94" s="42" t="n">
        <f aca="false">$D$90*(1+IF($C$90&lt;=0,0,MAX($C$90*Z$5/12,Inputs!$C$8)))+$I$90*(Z$5&gt;Inputs!$C$12)*$D$90*(1+Inputs!$C$11*(Z$5-Inputs!$C$12)/12)</f>
        <v>1808</v>
      </c>
      <c r="AA94" s="42" t="n">
        <f aca="false">$D$90*(1+IF($C$90&lt;=0,0,MAX($C$90*AA$5/12,Inputs!$C$8)))+$I$90*(AA$5&gt;Inputs!$C$12)*$D$90*(1+Inputs!$C$11*(AA$5-Inputs!$C$12)/12)</f>
        <v>1825.33333333333</v>
      </c>
      <c r="AB94" s="42" t="n">
        <f aca="false">$D$90*(1+IF($C$90&lt;=0,0,MAX($C$90*AB$5/12,Inputs!$C$8)))+$I$90*(AB$5&gt;Inputs!$C$12)*$D$90*(1+Inputs!$C$11*(AB$5-Inputs!$C$12)/12)</f>
        <v>1842.66666666667</v>
      </c>
      <c r="AC94" s="42" t="n">
        <f aca="false">$D$90*(1+IF($C$90&lt;=0,0,MAX($C$90*AC$5/12,Inputs!$C$8)))+$I$90*(AC$5&gt;Inputs!$C$12)*$D$90*(1+Inputs!$C$11*(AC$5-Inputs!$C$12)/12)</f>
        <v>1860</v>
      </c>
      <c r="AD94" s="42" t="n">
        <f aca="false">$D$90*(1+IF($C$90&lt;=0,0,MAX($C$90*AD$5/12,Inputs!$C$8)))+$I$90*(AD$5&gt;Inputs!$C$12)*$D$90*(1+Inputs!$C$11*(AD$5-Inputs!$C$12)/12)</f>
        <v>1877.33333333333</v>
      </c>
      <c r="AE94" s="42" t="n">
        <f aca="false">$D$90*(1+IF($C$90&lt;=0,0,MAX($C$90*AE$5/12,Inputs!$C$8)))+$I$90*(AE$5&gt;Inputs!$C$12)*$D$90*(1+Inputs!$C$11*(AE$5-Inputs!$C$12)/12)</f>
        <v>1894.66666666667</v>
      </c>
      <c r="AF94" s="42" t="n">
        <f aca="false">$D$90*(1+IF($C$90&lt;=0,0,MAX($C$90*AF$5/12,Inputs!$C$8)))+$I$90*(AF$5&gt;Inputs!$C$12)*$D$90*(1+Inputs!$C$11*(AF$5-Inputs!$C$12)/12)</f>
        <v>1912</v>
      </c>
      <c r="AG94" s="42" t="n">
        <f aca="false">$D$90*(1+IF($C$90&lt;=0,0,MAX($C$90*AG$5/12,Inputs!$C$8)))+$I$90*(AG$5&gt;Inputs!$C$12)*$D$90*(1+Inputs!$C$11*(AG$5-Inputs!$C$12)/12)</f>
        <v>1929.33333333333</v>
      </c>
      <c r="AH94" s="42" t="n">
        <f aca="false">$D$90*(1+IF($C$90&lt;=0,0,MAX($C$90*AH$5/12,Inputs!$C$8)))+$I$90*(AH$5&gt;Inputs!$C$12)*$D$90*(1+Inputs!$C$11*(AH$5-Inputs!$C$12)/12)</f>
        <v>1946.66666666667</v>
      </c>
      <c r="AI94" s="42" t="n">
        <f aca="false">$D$90*(1+IF($C$90&lt;=0,0,MAX($C$90*AI$5/12,Inputs!$C$8)))+$I$90*(AI$5&gt;Inputs!$C$12)*$D$90*(1+Inputs!$C$11*(AI$5-Inputs!$C$12)/12)</f>
        <v>1964</v>
      </c>
      <c r="AJ94" s="42" t="n">
        <f aca="false">$D$90*(1+IF($C$90&lt;=0,0,MAX($C$90*AJ$5/12,Inputs!$C$8)))+$I$90*(AJ$5&gt;Inputs!$C$12)*$D$90*(1+Inputs!$C$11*(AJ$5-Inputs!$C$12)/12)</f>
        <v>1981.33333333333</v>
      </c>
      <c r="AK94" s="42" t="n">
        <f aca="false">$D$90*(1+IF($C$90&lt;=0,0,MAX($C$90*AK$5/12,Inputs!$C$8)))+$I$90*(AK$5&gt;Inputs!$C$12)*$D$90*(1+Inputs!$C$11*(AK$5-Inputs!$C$12)/12)</f>
        <v>1998.66666666667</v>
      </c>
      <c r="AL94" s="42" t="n">
        <f aca="false">$D$90*(1+IF($C$90&lt;=0,0,MAX($C$90*AL$5/12,Inputs!$C$8)))+$I$90*(AL$5&gt;Inputs!$C$12)*$D$90*(1+Inputs!$C$11*(AL$5-Inputs!$C$12)/12)</f>
        <v>2016</v>
      </c>
    </row>
    <row r="95" customFormat="false" ht="15" hidden="false" customHeight="false" outlineLevel="0" collapsed="false">
      <c r="B95" s="31" t="s">
        <v>187</v>
      </c>
      <c r="N95" s="42" t="n">
        <f aca="false">-($D$90+$J$90)*(N$5=0)+IF(AND(N$5-$K$90&gt;=1,N$5-$K$90&lt;=Inputs!$C$13),INDEX($N$93:$AL$93,1,N$5-$K$90+1)*INDEX($N$94:$AL$94,1,N$5-$K$90+1),0)-$I$90*((N$5=Inputs!$C$12)*$C$92*$D$90+(N$5=Inputs!$C$13)*$D$92*($D$90+Inputs!$C$14))+$I$90*((N$5=Inputs!$C$15+$K$90)*$E$92*$I$92+(N$5=Inputs!$C$16+$K$90)*$F$92*$J$92+(N$5=Inputs!$C$17)*$G$92*$H$90*$H$92)</f>
        <v>-1610</v>
      </c>
      <c r="O95" s="42" t="n">
        <f aca="false">-($D$90+$J$90)*(O$5=0)+IF(AND(O$5-$K$90&gt;=1,O$5-$K$90&lt;=Inputs!$C$13),INDEX($N$93:$AL$93,1,O$5-$K$90+1)*INDEX($N$94:$AL$94,1,O$5-$K$90+1),0)-$I$90*((O$5=Inputs!$C$12)*$C$92*$D$90+(O$5=Inputs!$C$13)*$D$92*($D$90+Inputs!$C$14))+$I$90*((O$5=Inputs!$C$15+$K$90)*$E$92*$I$92+(O$5=Inputs!$C$16+$K$90)*$F$92*$J$92+(O$5=Inputs!$C$17)*$G$92*$H$90*$H$92)</f>
        <v>0</v>
      </c>
      <c r="P95" s="42" t="n">
        <f aca="false">-($D$90+$J$90)*(P$5=0)+IF(AND(P$5-$K$90&gt;=1,P$5-$K$90&lt;=Inputs!$C$13),INDEX($N$93:$AL$93,1,P$5-$K$90+1)*INDEX($N$94:$AL$94,1,P$5-$K$90+1),0)-$I$90*((P$5=Inputs!$C$12)*$C$92*$D$90+(P$5=Inputs!$C$13)*$D$92*($D$90+Inputs!$C$14))+$I$90*((P$5=Inputs!$C$15+$K$90)*$E$92*$I$92+(P$5=Inputs!$C$16+$K$90)*$F$92*$J$92+(P$5=Inputs!$C$17)*$G$92*$H$90*$H$92)</f>
        <v>35.28</v>
      </c>
      <c r="Q95" s="42" t="n">
        <f aca="false">-($D$90+$J$90)*(Q$5=0)+IF(AND(Q$5-$K$90&gt;=1,Q$5-$K$90&lt;=Inputs!$C$13),INDEX($N$93:$AL$93,1,Q$5-$K$90+1)*INDEX($N$94:$AL$94,1,Q$5-$K$90+1),0)-$I$90*((Q$5=Inputs!$C$12)*$C$92*$D$90+(Q$5=Inputs!$C$13)*$D$92*($D$90+Inputs!$C$14))+$I$90*((Q$5=Inputs!$C$15+$K$90)*$E$92*$I$92+(Q$5=Inputs!$C$16+$K$90)*$F$92*$J$92+(Q$5=Inputs!$C$17)*$G$92*$H$90*$H$92)</f>
        <v>35.28</v>
      </c>
      <c r="R95" s="42" t="n">
        <f aca="false">-($D$90+$J$90)*(R$5=0)+IF(AND(R$5-$K$90&gt;=1,R$5-$K$90&lt;=Inputs!$C$13),INDEX($N$93:$AL$93,1,R$5-$K$90+1)*INDEX($N$94:$AL$94,1,R$5-$K$90+1),0)-$I$90*((R$5=Inputs!$C$12)*$C$92*$D$90+(R$5=Inputs!$C$13)*$D$92*($D$90+Inputs!$C$14))+$I$90*((R$5=Inputs!$C$15+$K$90)*$E$92*$I$92+(R$5=Inputs!$C$16+$K$90)*$F$92*$J$92+(R$5=Inputs!$C$17)*$G$92*$H$90*$H$92)</f>
        <v>35.28</v>
      </c>
      <c r="S95" s="42" t="n">
        <f aca="false">-($D$90+$J$90)*(S$5=0)+IF(AND(S$5-$K$90&gt;=1,S$5-$K$90&lt;=Inputs!$C$13),INDEX($N$93:$AL$93,1,S$5-$K$90+1)*INDEX($N$94:$AL$94,1,S$5-$K$90+1),0)-$I$90*((S$5=Inputs!$C$12)*$C$92*$D$90+(S$5=Inputs!$C$13)*$D$92*($D$90+Inputs!$C$14))+$I$90*((S$5=Inputs!$C$15+$K$90)*$E$92*$I$92+(S$5=Inputs!$C$16+$K$90)*$F$92*$J$92+(S$5=Inputs!$C$17)*$G$92*$H$90*$H$92)</f>
        <v>35.28</v>
      </c>
      <c r="T95" s="42" t="n">
        <f aca="false">-($D$90+$J$90)*(T$5=0)+IF(AND(T$5-$K$90&gt;=1,T$5-$K$90&lt;=Inputs!$C$13),INDEX($N$93:$AL$93,1,T$5-$K$90+1)*INDEX($N$94:$AL$94,1,T$5-$K$90+1),0)-$I$90*((T$5=Inputs!$C$12)*$C$92*$D$90+(T$5=Inputs!$C$13)*$D$92*($D$90+Inputs!$C$14))+$I$90*((T$5=Inputs!$C$15+$K$90)*$E$92*$I$92+(T$5=Inputs!$C$16+$K$90)*$F$92*$J$92+(T$5=Inputs!$C$17)*$G$92*$H$90*$H$92)</f>
        <v>35.42</v>
      </c>
      <c r="U95" s="42" t="n">
        <f aca="false">-($D$90+$J$90)*(U$5=0)+IF(AND(U$5-$K$90&gt;=1,U$5-$K$90&lt;=Inputs!$C$13),INDEX($N$93:$AL$93,1,U$5-$K$90+1)*INDEX($N$94:$AL$94,1,U$5-$K$90+1),0)-$I$90*((U$5=Inputs!$C$12)*$C$92*$D$90+(U$5=Inputs!$C$13)*$D$92*($D$90+Inputs!$C$14))+$I$90*((U$5=Inputs!$C$15+$K$90)*$E$92*$I$92+(U$5=Inputs!$C$16+$K$90)*$F$92*$J$92+(U$5=Inputs!$C$17)*$G$92*$H$90*$H$92)</f>
        <v>35.784</v>
      </c>
      <c r="V95" s="42" t="n">
        <f aca="false">-($D$90+$J$90)*(V$5=0)+IF(AND(V$5-$K$90&gt;=1,V$5-$K$90&lt;=Inputs!$C$13),INDEX($N$93:$AL$93,1,V$5-$K$90+1)*INDEX($N$94:$AL$94,1,V$5-$K$90+1),0)-$I$90*((V$5=Inputs!$C$12)*$C$92*$D$90+(V$5=Inputs!$C$13)*$D$92*($D$90+Inputs!$C$14))+$I$90*((V$5=Inputs!$C$15+$K$90)*$E$92*$I$92+(V$5=Inputs!$C$16+$K$90)*$F$92*$J$92+(V$5=Inputs!$C$17)*$G$92*$H$90*$H$92)</f>
        <v>28.1151111111111</v>
      </c>
      <c r="W95" s="42" t="n">
        <f aca="false">-($D$90+$J$90)*(W$5=0)+IF(AND(W$5-$K$90&gt;=1,W$5-$K$90&lt;=Inputs!$C$13),INDEX($N$93:$AL$93,1,W$5-$K$90+1)*INDEX($N$94:$AL$94,1,W$5-$K$90+1),0)-$I$90*((W$5=Inputs!$C$12)*$C$92*$D$90+(W$5=Inputs!$C$13)*$D$92*($D$90+Inputs!$C$14))+$I$90*((W$5=Inputs!$C$15+$K$90)*$E$92*$I$92+(W$5=Inputs!$C$16+$K$90)*$F$92*$J$92+(W$5=Inputs!$C$17)*$G$92*$H$90*$H$92)</f>
        <v>28.3982222222222</v>
      </c>
      <c r="X95" s="42" t="n">
        <f aca="false">-($D$90+$J$90)*(X$5=0)+IF(AND(X$5-$K$90&gt;=1,X$5-$K$90&lt;=Inputs!$C$13),INDEX($N$93:$AL$93,1,X$5-$K$90+1)*INDEX($N$94:$AL$94,1,X$5-$K$90+1),0)-$I$90*((X$5=Inputs!$C$12)*$C$92*$D$90+(X$5=Inputs!$C$13)*$D$92*($D$90+Inputs!$C$14))+$I$90*((X$5=Inputs!$C$15+$K$90)*$E$92*$I$92+(X$5=Inputs!$C$16+$K$90)*$F$92*$J$92+(X$5=Inputs!$C$17)*$G$92*$H$90*$H$92)</f>
        <v>28.6813333333333</v>
      </c>
      <c r="Y95" s="42" t="n">
        <f aca="false">-($D$90+$J$90)*(Y$5=0)+IF(AND(Y$5-$K$90&gt;=1,Y$5-$K$90&lt;=Inputs!$C$13),INDEX($N$93:$AL$93,1,Y$5-$K$90+1)*INDEX($N$94:$AL$94,1,Y$5-$K$90+1),0)-$I$90*((Y$5=Inputs!$C$12)*$C$92*$D$90+(Y$5=Inputs!$C$13)*$D$92*($D$90+Inputs!$C$14))+$I$90*((Y$5=Inputs!$C$15+$K$90)*$E$92*$I$92+(Y$5=Inputs!$C$16+$K$90)*$F$92*$J$92+(Y$5=Inputs!$C$17)*$G$92*$H$90*$H$92)</f>
        <v>24.8266666666667</v>
      </c>
      <c r="Z95" s="42" t="n">
        <f aca="false">-($D$90+$J$90)*(Z$5=0)+IF(AND(Z$5-$K$90&gt;=1,Z$5-$K$90&lt;=Inputs!$C$13),INDEX($N$93:$AL$93,1,Z$5-$K$90+1)*INDEX($N$94:$AL$94,1,Z$5-$K$90+1),0)-$I$90*((Z$5=Inputs!$C$12)*$C$92*$D$90+(Z$5=Inputs!$C$13)*$D$92*($D$90+Inputs!$C$14))+$I$90*((Z$5=Inputs!$C$15+$K$90)*$E$92*$I$92+(Z$5=Inputs!$C$16+$K$90)*$F$92*$J$92+(Z$5=Inputs!$C$17)*$G$92*$H$90*$H$92)</f>
        <v>25.0693333333333</v>
      </c>
      <c r="AA95" s="42" t="n">
        <f aca="false">-($D$90+$J$90)*(AA$5=0)+IF(AND(AA$5-$K$90&gt;=1,AA$5-$K$90&lt;=Inputs!$C$13),INDEX($N$93:$AL$93,1,AA$5-$K$90+1)*INDEX($N$94:$AL$94,1,AA$5-$K$90+1),0)-$I$90*((AA$5=Inputs!$C$12)*$C$92*$D$90+(AA$5=Inputs!$C$13)*$D$92*($D$90+Inputs!$C$14))+$I$90*((AA$5=Inputs!$C$15+$K$90)*$E$92*$I$92+(AA$5=Inputs!$C$16+$K$90)*$F$92*$J$92+(AA$5=Inputs!$C$17)*$G$92*$H$90*$H$92)</f>
        <v>25.312</v>
      </c>
      <c r="AB95" s="42" t="n">
        <f aca="false">-($D$90+$J$90)*(AB$5=0)+IF(AND(AB$5-$K$90&gt;=1,AB$5-$K$90&lt;=Inputs!$C$13),INDEX($N$93:$AL$93,1,AB$5-$K$90+1)*INDEX($N$94:$AL$94,1,AB$5-$K$90+1),0)-$I$90*((AB$5=Inputs!$C$12)*$C$92*$D$90+(AB$5=Inputs!$C$13)*$D$92*($D$90+Inputs!$C$14))+$I$90*((AB$5=Inputs!$C$15+$K$90)*$E$92*$I$92+(AB$5=Inputs!$C$16+$K$90)*$F$92*$J$92+(AB$5=Inputs!$C$17)*$G$92*$H$90*$H$92)</f>
        <v>21.2955555555556</v>
      </c>
      <c r="AC95" s="42" t="n">
        <f aca="false">-($D$90+$J$90)*(AC$5=0)+IF(AND(AC$5-$K$90&gt;=1,AC$5-$K$90&lt;=Inputs!$C$13),INDEX($N$93:$AL$93,1,AC$5-$K$90+1)*INDEX($N$94:$AL$94,1,AC$5-$K$90+1),0)-$I$90*((AC$5=Inputs!$C$12)*$C$92*$D$90+(AC$5=Inputs!$C$13)*$D$92*($D$90+Inputs!$C$14))+$I$90*((AC$5=Inputs!$C$15+$K$90)*$E$92*$I$92+(AC$5=Inputs!$C$16+$K$90)*$F$92*$J$92+(AC$5=Inputs!$C$17)*$G$92*$H$90*$H$92)</f>
        <v>21.4977777777778</v>
      </c>
      <c r="AD95" s="42" t="n">
        <f aca="false">-($D$90+$J$90)*(AD$5=0)+IF(AND(AD$5-$K$90&gt;=1,AD$5-$K$90&lt;=Inputs!$C$13),INDEX($N$93:$AL$93,1,AD$5-$K$90+1)*INDEX($N$94:$AL$94,1,AD$5-$K$90+1),0)-$I$90*((AD$5=Inputs!$C$12)*$C$92*$D$90+(AD$5=Inputs!$C$13)*$D$92*($D$90+Inputs!$C$14))+$I$90*((AD$5=Inputs!$C$15+$K$90)*$E$92*$I$92+(AD$5=Inputs!$C$16+$K$90)*$F$92*$J$92+(AD$5=Inputs!$C$17)*$G$92*$H$90*$H$92)</f>
        <v>21.7</v>
      </c>
      <c r="AE95" s="42" t="n">
        <f aca="false">-($D$90+$J$90)*(AE$5=0)+IF(AND(AE$5-$K$90&gt;=1,AE$5-$K$90&lt;=Inputs!$C$13),INDEX($N$93:$AL$93,1,AE$5-$K$90+1)*INDEX($N$94:$AL$94,1,AE$5-$K$90+1),0)-$I$90*((AE$5=Inputs!$C$12)*$C$92*$D$90+(AE$5=Inputs!$C$13)*$D$92*($D$90+Inputs!$C$14))+$I$90*((AE$5=Inputs!$C$15+$K$90)*$E$92*$I$92+(AE$5=Inputs!$C$16+$K$90)*$F$92*$J$92+(AE$5=Inputs!$C$17)*$G$92*$H$90*$H$92)</f>
        <v>21.9022222222222</v>
      </c>
      <c r="AF95" s="42" t="n">
        <f aca="false">-($D$90+$J$90)*(AF$5=0)+IF(AND(AF$5-$K$90&gt;=1,AF$5-$K$90&lt;=Inputs!$C$13),INDEX($N$93:$AL$93,1,AF$5-$K$90+1)*INDEX($N$94:$AL$94,1,AF$5-$K$90+1),0)-$I$90*((AF$5=Inputs!$C$12)*$C$92*$D$90+(AF$5=Inputs!$C$13)*$D$92*($D$90+Inputs!$C$14))+$I$90*((AF$5=Inputs!$C$15+$K$90)*$E$92*$I$92+(AF$5=Inputs!$C$16+$K$90)*$F$92*$J$92+(AF$5=Inputs!$C$17)*$G$92*$H$90*$H$92)</f>
        <v>22.1044444444444</v>
      </c>
      <c r="AG95" s="42" t="n">
        <f aca="false">-($D$90+$J$90)*(AG$5=0)+IF(AND(AG$5-$K$90&gt;=1,AG$5-$K$90&lt;=Inputs!$C$13),INDEX($N$93:$AL$93,1,AG$5-$K$90+1)*INDEX($N$94:$AL$94,1,AG$5-$K$90+1),0)-$I$90*((AG$5=Inputs!$C$12)*$C$92*$D$90+(AG$5=Inputs!$C$13)*$D$92*($D$90+Inputs!$C$14))+$I$90*((AG$5=Inputs!$C$15+$K$90)*$E$92*$I$92+(AG$5=Inputs!$C$16+$K$90)*$F$92*$J$92+(AG$5=Inputs!$C$17)*$G$92*$H$90*$H$92)</f>
        <v>22.3066666666667</v>
      </c>
      <c r="AH95" s="42" t="n">
        <f aca="false">-($D$90+$J$90)*(AH$5=0)+IF(AND(AH$5-$K$90&gt;=1,AH$5-$K$90&lt;=Inputs!$C$13),INDEX($N$93:$AL$93,1,AH$5-$K$90+1)*INDEX($N$94:$AL$94,1,AH$5-$K$90+1),0)-$I$90*((AH$5=Inputs!$C$12)*$C$92*$D$90+(AH$5=Inputs!$C$13)*$D$92*($D$90+Inputs!$C$14))+$I$90*((AH$5=Inputs!$C$15+$K$90)*$E$92*$I$92+(AH$5=Inputs!$C$16+$K$90)*$F$92*$J$92+(AH$5=Inputs!$C$17)*$G$92*$H$90*$H$92)</f>
        <v>20.258</v>
      </c>
      <c r="AI95" s="42" t="n">
        <f aca="false">-($D$90+$J$90)*(AI$5=0)+IF(AND(AI$5-$K$90&gt;=1,AI$5-$K$90&lt;=Inputs!$C$13),INDEX($N$93:$AL$93,1,AI$5-$K$90+1)*INDEX($N$94:$AL$94,1,AI$5-$K$90+1),0)-$I$90*((AI$5=Inputs!$C$12)*$C$92*$D$90+(AI$5=Inputs!$C$13)*$D$92*($D$90+Inputs!$C$14))+$I$90*((AI$5=Inputs!$C$15+$K$90)*$E$92*$I$92+(AI$5=Inputs!$C$16+$K$90)*$F$92*$J$92+(AI$5=Inputs!$C$17)*$G$92*$H$90*$H$92)</f>
        <v>20.44</v>
      </c>
      <c r="AJ95" s="42" t="n">
        <f aca="false">-($D$90+$J$90)*(AJ$5=0)+IF(AND(AJ$5-$K$90&gt;=1,AJ$5-$K$90&lt;=Inputs!$C$13),INDEX($N$93:$AL$93,1,AJ$5-$K$90+1)*INDEX($N$94:$AL$94,1,AJ$5-$K$90+1),0)-$I$90*((AJ$5=Inputs!$C$12)*$C$92*$D$90+(AJ$5=Inputs!$C$13)*$D$92*($D$90+Inputs!$C$14))+$I$90*((AJ$5=Inputs!$C$15+$K$90)*$E$92*$I$92+(AJ$5=Inputs!$C$16+$K$90)*$F$92*$J$92+(AJ$5=Inputs!$C$17)*$G$92*$H$90*$H$92)</f>
        <v>20.6219999999999</v>
      </c>
      <c r="AK95" s="42" t="n">
        <f aca="false">-($D$90+$J$90)*(AK$5=0)+IF(AND(AK$5-$K$90&gt;=1,AK$5-$K$90&lt;=Inputs!$C$13),INDEX($N$93:$AL$93,1,AK$5-$K$90+1)*INDEX($N$94:$AL$94,1,AK$5-$K$90+1),0)-$I$90*((AK$5=Inputs!$C$12)*$C$92*$D$90+(AK$5=Inputs!$C$13)*$D$92*($D$90+Inputs!$C$14))+$I$90*((AK$5=Inputs!$C$15+$K$90)*$E$92*$I$92+(AK$5=Inputs!$C$16+$K$90)*$F$92*$J$92+(AK$5=Inputs!$C$17)*$G$92*$H$90*$H$92)</f>
        <v>20.804</v>
      </c>
      <c r="AL95" s="42" t="n">
        <f aca="false">-($D$90+$J$90)*(AL$5=0)+IF(AND(AL$5-$K$90&gt;=1,AL$5-$K$90&lt;=Inputs!$C$13),INDEX($N$93:$AL$93,1,AL$5-$K$90+1)*INDEX($N$94:$AL$94,1,AL$5-$K$90+1),0)-$I$90*((AL$5=Inputs!$C$12)*$C$92*$D$90+(AL$5=Inputs!$C$13)*$D$92*($D$90+Inputs!$C$14))+$I$90*((AL$5=Inputs!$C$15+$K$90)*$E$92*$I$92+(AL$5=Inputs!$C$16+$K$90)*$F$92*$J$92+(AL$5=Inputs!$C$17)*$G$92*$H$90*$H$92)</f>
        <v>20.986</v>
      </c>
      <c r="AM95" s="42" t="n">
        <f aca="false">-($D$90+$J$90)*(AM$5=0)+IF(AND(AM$5-$K$90&gt;=1,AM$5-$K$90&lt;=Inputs!$C$13),INDEX($N$93:$AL$93,1,AM$5-$K$90+1)*INDEX($N$94:$AL$94,1,AM$5-$K$90+1),0)-$I$90*((AM$5=Inputs!$C$12)*$C$92*$D$90+(AM$5=Inputs!$C$13)*$D$92*($D$90+Inputs!$C$14))+$I$90*((AM$5=Inputs!$C$15+$K$90)*$E$92*$I$92+(AM$5=Inputs!$C$16+$K$90)*$F$92*$J$92+(AM$5=Inputs!$C$17)*$G$92*$H$90*$H$92)</f>
        <v>21.168</v>
      </c>
      <c r="AN95" s="42" t="n">
        <f aca="false">-($D$90+$J$90)*(AN$5=0)+IF(AND(AN$5-$K$90&gt;=1,AN$5-$K$90&lt;=Inputs!$C$13),INDEX($N$93:$AL$93,1,AN$5-$K$90+1)*INDEX($N$94:$AL$94,1,AN$5-$K$90+1),0)-$I$90*((AN$5=Inputs!$C$12)*$C$92*$D$90+(AN$5=Inputs!$C$13)*$D$92*($D$90+Inputs!$C$14))+$I$90*((AN$5=Inputs!$C$15+$K$90)*$E$92*$I$92+(AN$5=Inputs!$C$16+$K$90)*$F$92*$J$92+(AN$5=Inputs!$C$17)*$G$92*$H$90*$H$92)</f>
        <v>0</v>
      </c>
      <c r="AO95" s="42" t="n">
        <f aca="false">-($D$90+$J$90)*(AO$5=0)+IF(AND(AO$5-$K$90&gt;=1,AO$5-$K$90&lt;=Inputs!$C$13),INDEX($N$93:$AL$93,1,AO$5-$K$90+1)*INDEX($N$94:$AL$94,1,AO$5-$K$90+1),0)-$I$90*((AO$5=Inputs!$C$12)*$C$92*$D$90+(AO$5=Inputs!$C$13)*$D$92*($D$90+Inputs!$C$14))+$I$90*((AO$5=Inputs!$C$15+$K$90)*$E$92*$I$92+(AO$5=Inputs!$C$16+$K$90)*$F$92*$J$92+(AO$5=Inputs!$C$17)*$G$92*$H$90*$H$92)</f>
        <v>0</v>
      </c>
      <c r="AP95" s="42" t="n">
        <f aca="false">-($D$90+$J$90)*(AP$5=0)+IF(AND(AP$5-$K$90&gt;=1,AP$5-$K$90&lt;=Inputs!$C$13),INDEX($N$93:$AL$93,1,AP$5-$K$90+1)*INDEX($N$94:$AL$94,1,AP$5-$K$90+1),0)-$I$90*((AP$5=Inputs!$C$12)*$C$92*$D$90+(AP$5=Inputs!$C$13)*$D$92*($D$90+Inputs!$C$14))+$I$90*((AP$5=Inputs!$C$15+$K$90)*$E$92*$I$92+(AP$5=Inputs!$C$16+$K$90)*$F$92*$J$92+(AP$5=Inputs!$C$17)*$G$92*$H$90*$H$92)</f>
        <v>0</v>
      </c>
      <c r="AQ95" s="42" t="n">
        <f aca="false">-($D$90+$J$90)*(AQ$5=0)+IF(AND(AQ$5-$K$90&gt;=1,AQ$5-$K$90&lt;=Inputs!$C$13),INDEX($N$93:$AL$93,1,AQ$5-$K$90+1)*INDEX($N$94:$AL$94,1,AQ$5-$K$90+1),0)-$I$90*((AQ$5=Inputs!$C$12)*$C$92*$D$90+(AQ$5=Inputs!$C$13)*$D$92*($D$90+Inputs!$C$14))+$I$90*((AQ$5=Inputs!$C$15+$K$90)*$E$92*$I$92+(AQ$5=Inputs!$C$16+$K$90)*$F$92*$J$92+(AQ$5=Inputs!$C$17)*$G$92*$H$90*$H$92)</f>
        <v>0</v>
      </c>
      <c r="AR95" s="42" t="n">
        <f aca="false">-($D$90+$J$90)*(AR$5=0)+IF(AND(AR$5-$K$90&gt;=1,AR$5-$K$90&lt;=Inputs!$C$13),INDEX($N$93:$AL$93,1,AR$5-$K$90+1)*INDEX($N$94:$AL$94,1,AR$5-$K$90+1),0)-$I$90*((AR$5=Inputs!$C$12)*$C$92*$D$90+(AR$5=Inputs!$C$13)*$D$92*($D$90+Inputs!$C$14))+$I$90*((AR$5=Inputs!$C$15+$K$90)*$E$92*$I$92+(AR$5=Inputs!$C$16+$K$90)*$F$92*$J$92+(AR$5=Inputs!$C$17)*$G$92*$H$90*$H$92)</f>
        <v>0</v>
      </c>
      <c r="AS95" s="42" t="n">
        <f aca="false">-($D$90+$J$90)*(AS$5=0)+IF(AND(AS$5-$K$90&gt;=1,AS$5-$K$90&lt;=Inputs!$C$13),INDEX($N$93:$AL$93,1,AS$5-$K$90+1)*INDEX($N$94:$AL$94,1,AS$5-$K$90+1),0)-$I$90*((AS$5=Inputs!$C$12)*$C$92*$D$90+(AS$5=Inputs!$C$13)*$D$92*($D$90+Inputs!$C$14))+$I$90*((AS$5=Inputs!$C$15+$K$90)*$E$92*$I$92+(AS$5=Inputs!$C$16+$K$90)*$F$92*$J$92+(AS$5=Inputs!$C$17)*$G$92*$H$90*$H$92)</f>
        <v>0</v>
      </c>
      <c r="AT95" s="42" t="n">
        <f aca="false">-($D$90+$J$90)*(AT$5=0)+IF(AND(AT$5-$K$90&gt;=1,AT$5-$K$90&lt;=Inputs!$C$13),INDEX($N$93:$AL$93,1,AT$5-$K$90+1)*INDEX($N$94:$AL$94,1,AT$5-$K$90+1),0)-$I$90*((AT$5=Inputs!$C$12)*$C$92*$D$90+(AT$5=Inputs!$C$13)*$D$92*($D$90+Inputs!$C$14))+$I$90*((AT$5=Inputs!$C$15+$K$90)*$E$92*$I$92+(AT$5=Inputs!$C$16+$K$90)*$F$92*$J$92+(AT$5=Inputs!$C$17)*$G$92*$H$90*$H$92)</f>
        <v>0</v>
      </c>
      <c r="AU95" s="42" t="n">
        <f aca="false">-($D$90+$J$90)*(AU$5=0)+IF(AND(AU$5-$K$90&gt;=1,AU$5-$K$90&lt;=Inputs!$C$13),INDEX($N$93:$AL$93,1,AU$5-$K$90+1)*INDEX($N$94:$AL$94,1,AU$5-$K$90+1),0)-$I$90*((AU$5=Inputs!$C$12)*$C$92*$D$90+(AU$5=Inputs!$C$13)*$D$92*($D$90+Inputs!$C$14))+$I$90*((AU$5=Inputs!$C$15+$K$90)*$E$92*$I$92+(AU$5=Inputs!$C$16+$K$90)*$F$92*$J$92+(AU$5=Inputs!$C$17)*$G$92*$H$90*$H$92)</f>
        <v>0</v>
      </c>
      <c r="AV95" s="42" t="n">
        <f aca="false">-($D$90+$J$90)*(AV$5=0)+IF(AND(AV$5-$K$90&gt;=1,AV$5-$K$90&lt;=Inputs!$C$13),INDEX($N$93:$AL$93,1,AV$5-$K$90+1)*INDEX($N$94:$AL$94,1,AV$5-$K$90+1),0)-$I$90*((AV$5=Inputs!$C$12)*$C$92*$D$90+(AV$5=Inputs!$C$13)*$D$92*($D$90+Inputs!$C$14))+$I$90*((AV$5=Inputs!$C$15+$K$90)*$E$92*$I$92+(AV$5=Inputs!$C$16+$K$90)*$F$92*$J$92+(AV$5=Inputs!$C$17)*$G$92*$H$90*$H$92)</f>
        <v>0</v>
      </c>
      <c r="AW95" s="42" t="n">
        <f aca="false">-($D$90+$J$90)*(AW$5=0)+IF(AND(AW$5-$K$90&gt;=1,AW$5-$K$90&lt;=Inputs!$C$13),INDEX($N$93:$AL$93,1,AW$5-$K$90+1)*INDEX($N$94:$AL$94,1,AW$5-$K$90+1),0)-$I$90*((AW$5=Inputs!$C$12)*$C$92*$D$90+(AW$5=Inputs!$C$13)*$D$92*($D$90+Inputs!$C$14))+$I$90*((AW$5=Inputs!$C$15+$K$90)*$E$92*$I$92+(AW$5=Inputs!$C$16+$K$90)*$F$92*$J$92+(AW$5=Inputs!$C$17)*$G$92*$H$90*$H$92)</f>
        <v>0</v>
      </c>
      <c r="AX95" s="42" t="n">
        <f aca="false">-($D$90+$J$90)*(AX$5=0)+IF(AND(AX$5-$K$90&gt;=1,AX$5-$K$90&lt;=Inputs!$C$13),INDEX($N$93:$AL$93,1,AX$5-$K$90+1)*INDEX($N$94:$AL$94,1,AX$5-$K$90+1),0)-$I$90*((AX$5=Inputs!$C$12)*$C$92*$D$90+(AX$5=Inputs!$C$13)*$D$92*($D$90+Inputs!$C$14))+$I$90*((AX$5=Inputs!$C$15+$K$90)*$E$92*$I$92+(AX$5=Inputs!$C$16+$K$90)*$F$92*$J$92+(AX$5=Inputs!$C$17)*$G$92*$H$90*$H$92)</f>
        <v>0</v>
      </c>
      <c r="AY95" s="42" t="n">
        <f aca="false">-($D$90+$J$90)*(AY$5=0)+IF(AND(AY$5-$K$90&gt;=1,AY$5-$K$90&lt;=Inputs!$C$13),INDEX($N$93:$AL$93,1,AY$5-$K$90+1)*INDEX($N$94:$AL$94,1,AY$5-$K$90+1),0)-$I$90*((AY$5=Inputs!$C$12)*$C$92*$D$90+(AY$5=Inputs!$C$13)*$D$92*($D$90+Inputs!$C$14))+$I$90*((AY$5=Inputs!$C$15+$K$90)*$E$92*$I$92+(AY$5=Inputs!$C$16+$K$90)*$F$92*$J$92+(AY$5=Inputs!$C$17)*$G$92*$H$90*$H$92)</f>
        <v>0</v>
      </c>
    </row>
    <row r="97" customFormat="false" ht="15" hidden="false" customHeight="false" outlineLevel="0" collapsed="false">
      <c r="B97" s="7" t="s">
        <v>251</v>
      </c>
      <c r="C97" s="8"/>
      <c r="D97" s="8"/>
      <c r="E97" s="8"/>
      <c r="F97" s="8"/>
      <c r="G97" s="8"/>
      <c r="H97" s="8"/>
      <c r="I97" s="8"/>
      <c r="J97" s="8"/>
      <c r="K97" s="8"/>
      <c r="L97" s="8"/>
    </row>
    <row r="98" customFormat="false" ht="30" hidden="false" customHeight="true" outlineLevel="0" collapsed="false">
      <c r="B98" s="37"/>
      <c r="C98" s="38" t="s">
        <v>169</v>
      </c>
      <c r="D98" s="38" t="s">
        <v>170</v>
      </c>
      <c r="E98" s="38" t="s">
        <v>171</v>
      </c>
      <c r="F98" s="38" t="s">
        <v>43</v>
      </c>
      <c r="G98" s="38" t="s">
        <v>44</v>
      </c>
      <c r="H98" s="38" t="s">
        <v>45</v>
      </c>
      <c r="I98" s="38" t="s">
        <v>172</v>
      </c>
      <c r="J98" s="38" t="s">
        <v>90</v>
      </c>
      <c r="K98" s="38" t="s">
        <v>89</v>
      </c>
      <c r="L98" s="38" t="s">
        <v>173</v>
      </c>
    </row>
    <row r="99" customFormat="false" ht="15" hidden="false" customHeight="false" outlineLevel="0" collapsed="false">
      <c r="B99" s="39" t="s">
        <v>174</v>
      </c>
      <c r="C99" s="26" t="n">
        <f aca="false">Inputs!$F$39*Inputs!$E$57</f>
        <v>0.0025</v>
      </c>
      <c r="D99" s="30" t="n">
        <f aca="false">Inputs!$E$39</f>
        <v>4200</v>
      </c>
      <c r="E99" s="26" t="n">
        <f aca="false">IF(Inputs!$G$39=1,Inputs!$F$27,MIN(1,MAX(0,INDEX(Inputs!$F$23:$F$27,MATCH(Inputs!$C$39,Inputs!$B$23:$B$27,0))+INDEX(Inputs!$C$48:$C$51,MATCH(Inputs!$D$57,Inputs!$B$48:$B$51,0)))))</f>
        <v>0.985</v>
      </c>
      <c r="F99" s="25" t="n">
        <f aca="false">IF(Inputs!$G$39=1,Inputs!$G$27,INDEX(Inputs!$G$23:$G$27,MATCH(Inputs!$C$39,Inputs!$B$23:$B$27,0)))</f>
        <v>0.8</v>
      </c>
      <c r="G99" s="25" t="n">
        <f aca="false">IF(Inputs!$G$39=1,Inputs!$H$27,INDEX(Inputs!$H$23:$H$27,MATCH(Inputs!$C$39,Inputs!$B$23:$B$27,0)))*INDEX(Inputs!$D$48:$D$51,MATCH(Inputs!$D$57,Inputs!$B$48:$B$51,0))</f>
        <v>0.95</v>
      </c>
      <c r="H99" s="25" t="n">
        <f aca="false">MAX(0,IF(Inputs!$G$39=1,Inputs!$I$27,INDEX(Inputs!$I$23:$I$27,MATCH(Inputs!$C$39,Inputs!$B$23:$B$27,0)))+INDEX(Inputs!$E$48:$E$51,MATCH(Inputs!$D$57,Inputs!$B$48:$B$51,0)))</f>
        <v>0.9</v>
      </c>
      <c r="I99" s="22" t="n">
        <f aca="false">IF(Inputs!$G$39=1,0,INDEX(Inputs!$J$23:$J$27,MATCH(Inputs!$C$39,Inputs!$B$23:$B$27,0)))</f>
        <v>1</v>
      </c>
      <c r="J99" s="23" t="n">
        <f aca="false">Inputs!$G$57</f>
        <v>10</v>
      </c>
      <c r="K99" s="22" t="n">
        <f aca="false">Inputs!$F$57</f>
        <v>1</v>
      </c>
      <c r="L99" s="22" t="n">
        <f aca="false">Inputs!$C$57</f>
        <v>1</v>
      </c>
    </row>
    <row r="100" customFormat="false" ht="30" hidden="false" customHeight="true" outlineLevel="0" collapsed="false">
      <c r="B100" s="37"/>
      <c r="C100" s="38" t="s">
        <v>175</v>
      </c>
      <c r="D100" s="38" t="s">
        <v>176</v>
      </c>
      <c r="E100" s="38" t="s">
        <v>177</v>
      </c>
      <c r="F100" s="38" t="s">
        <v>178</v>
      </c>
      <c r="G100" s="38" t="s">
        <v>112</v>
      </c>
      <c r="H100" s="38" t="s">
        <v>179</v>
      </c>
      <c r="I100" s="38" t="s">
        <v>180</v>
      </c>
      <c r="J100" s="38" t="s">
        <v>181</v>
      </c>
      <c r="K100" s="38" t="s">
        <v>182</v>
      </c>
      <c r="L100" s="38" t="s">
        <v>183</v>
      </c>
    </row>
    <row r="101" customFormat="false" ht="15" hidden="false" customHeight="false" outlineLevel="0" collapsed="false">
      <c r="B101" s="39" t="s">
        <v>184</v>
      </c>
      <c r="C101" s="40" t="n">
        <f aca="false">1-$E$99*CHOOSE($L$99,INDEX(Timing!$C$7:$AA$7,1,Inputs!$C$12+1),INDEX(Timing!$C$8:$AA$8,1,Inputs!$C$12+1))</f>
        <v>0.2514</v>
      </c>
      <c r="D101" s="40" t="n">
        <f aca="false">1-$E$99*CHOOSE($L$99,INDEX(Timing!$C$7:$AA$7,1,Inputs!$C$13+1),INDEX(Timing!$C$8:$AA$8,1,Inputs!$C$13+1))</f>
        <v>0.015</v>
      </c>
      <c r="E101" s="40" t="n">
        <f aca="false">$I$99*$D$101*$F$99</f>
        <v>0.012</v>
      </c>
      <c r="F101" s="40" t="n">
        <f aca="false">$I$99*($D$101-$E$101)*$G$99</f>
        <v>0.00285</v>
      </c>
      <c r="G101" s="40" t="n">
        <f aca="false">$I$99*($D$101-$E$101-$F$101)</f>
        <v>0.00015</v>
      </c>
      <c r="H101" s="23" t="n">
        <f aca="false">$I$99*(3*$D$99+Inputs!$C$14)</f>
        <v>14400</v>
      </c>
      <c r="I101" s="23" t="n">
        <f aca="false">$I$99*($D$99*(1+IF($C$99&lt;=0,0,MAX($C$99*Inputs!$C$15/12,Inputs!$C$8)))+$D$99*(1+Inputs!$C$11*(Inputs!$C$15-Inputs!$C$12)/12)+$D$99*(1+Inputs!$C$11*(Inputs!$C$15-Inputs!$C$13)/12)+Inputs!$C$14)</f>
        <v>15744</v>
      </c>
      <c r="J101" s="23" t="n">
        <f aca="false">$I$99*($D$99*(1+IF($C$99&lt;=0,0,MAX($C$99*Inputs!$C$16/12,Inputs!$C$8)))+$D$99*(1+Inputs!$C$11*(Inputs!$C$16-Inputs!$C$12)/12)+$D$99*(1+Inputs!$C$11*(Inputs!$C$16-Inputs!$C$13)/12)+Inputs!$C$14)</f>
        <v>16122</v>
      </c>
      <c r="K101" s="40" t="n">
        <f aca="false">IRR($N$104:$AY$104,0.005)</f>
        <v>0.00617231425722721</v>
      </c>
      <c r="L101" s="41" t="n">
        <f aca="false">(1+$K$101)^12-1</f>
        <v>0.0766346621551932</v>
      </c>
    </row>
    <row r="102" customFormat="false" ht="15" hidden="false" customHeight="false" outlineLevel="0" collapsed="false">
      <c r="B102" s="9" t="s">
        <v>185</v>
      </c>
      <c r="N102" s="40" t="n">
        <f aca="false">0</f>
        <v>0</v>
      </c>
      <c r="O102" s="40" t="n">
        <f aca="false">$E$99*(CHOOSE($L$99,Timing!D$7,Timing!D$8)-CHOOSE($L$99,Timing!C$7,Timing!C$8))</f>
        <v>0.1182</v>
      </c>
      <c r="P102" s="40" t="n">
        <f aca="false">$E$99*(CHOOSE($L$99,Timing!E$7,Timing!E$8)-CHOOSE($L$99,Timing!D$7,Timing!D$8))</f>
        <v>0.0985</v>
      </c>
      <c r="Q102" s="40" t="n">
        <f aca="false">$E$99*(CHOOSE($L$99,Timing!F$7,Timing!F$8)-CHOOSE($L$99,Timing!E$7,Timing!E$8))</f>
        <v>0.08865</v>
      </c>
      <c r="R102" s="40" t="n">
        <f aca="false">$E$99*(CHOOSE($L$99,Timing!G$7,Timing!G$8)-CHOOSE($L$99,Timing!F$7,Timing!F$8))</f>
        <v>0.06895</v>
      </c>
      <c r="S102" s="40" t="n">
        <f aca="false">$E$99*(CHOOSE($L$99,Timing!H$7,Timing!H$8)-CHOOSE($L$99,Timing!G$7,Timing!G$8))</f>
        <v>0.06895</v>
      </c>
      <c r="T102" s="40" t="n">
        <f aca="false">$E$99*(CHOOSE($L$99,Timing!I$7,Timing!I$8)-CHOOSE($L$99,Timing!H$7,Timing!H$8))</f>
        <v>0.06895</v>
      </c>
      <c r="U102" s="40" t="n">
        <f aca="false">$E$99*(CHOOSE($L$99,Timing!J$7,Timing!J$8)-CHOOSE($L$99,Timing!I$7,Timing!I$8))</f>
        <v>0.0426833333333333</v>
      </c>
      <c r="V102" s="40" t="n">
        <f aca="false">$E$99*(CHOOSE($L$99,Timing!K$7,Timing!K$8)-CHOOSE($L$99,Timing!J$7,Timing!J$8))</f>
        <v>0.0426833333333333</v>
      </c>
      <c r="W102" s="40" t="n">
        <f aca="false">$E$99*(CHOOSE($L$99,Timing!L$7,Timing!L$8)-CHOOSE($L$99,Timing!K$7,Timing!K$8))</f>
        <v>0.0426833333333333</v>
      </c>
      <c r="X102" s="40" t="n">
        <f aca="false">$E$99*(CHOOSE($L$99,Timing!M$7,Timing!M$8)-CHOOSE($L$99,Timing!L$7,Timing!L$8))</f>
        <v>0.0361166666666666</v>
      </c>
      <c r="Y102" s="40" t="n">
        <f aca="false">$E$99*(CHOOSE($L$99,Timing!N$7,Timing!N$8)-CHOOSE($L$99,Timing!M$7,Timing!M$8))</f>
        <v>0.0361166666666667</v>
      </c>
      <c r="Z102" s="40" t="n">
        <f aca="false">$E$99*(CHOOSE($L$99,Timing!O$7,Timing!O$8)-CHOOSE($L$99,Timing!N$7,Timing!N$8))</f>
        <v>0.0361166666666666</v>
      </c>
      <c r="AA102" s="40" t="n">
        <f aca="false">$E$99*(CHOOSE($L$99,Timing!P$7,Timing!P$8)-CHOOSE($L$99,Timing!O$7,Timing!O$8))</f>
        <v>0.0229833333333333</v>
      </c>
      <c r="AB102" s="40" t="n">
        <f aca="false">$E$99*(CHOOSE($L$99,Timing!Q$7,Timing!Q$8)-CHOOSE($L$99,Timing!P$7,Timing!P$8))</f>
        <v>0.0229833333333333</v>
      </c>
      <c r="AC102" s="40" t="n">
        <f aca="false">$E$99*(CHOOSE($L$99,Timing!R$7,Timing!R$8)-CHOOSE($L$99,Timing!Q$7,Timing!Q$8))</f>
        <v>0.0229833333333334</v>
      </c>
      <c r="AD102" s="40" t="n">
        <f aca="false">$E$99*(CHOOSE($L$99,Timing!S$7,Timing!S$8)-CHOOSE($L$99,Timing!R$7,Timing!R$8))</f>
        <v>0.0229833333333333</v>
      </c>
      <c r="AE102" s="40" t="n">
        <f aca="false">$E$99*(CHOOSE($L$99,Timing!T$7,Timing!T$8)-CHOOSE($L$99,Timing!S$7,Timing!S$8))</f>
        <v>0.0229833333333333</v>
      </c>
      <c r="AF102" s="40" t="n">
        <f aca="false">$E$99*(CHOOSE($L$99,Timing!U$7,Timing!U$8)-CHOOSE($L$99,Timing!T$7,Timing!T$8))</f>
        <v>0.0229833333333333</v>
      </c>
      <c r="AG102" s="40" t="n">
        <f aca="false">$E$99*(CHOOSE($L$99,Timing!V$7,Timing!V$8)-CHOOSE($L$99,Timing!U$7,Timing!U$8))</f>
        <v>0.0164166666666667</v>
      </c>
      <c r="AH102" s="40" t="n">
        <f aca="false">$E$99*(CHOOSE($L$99,Timing!W$7,Timing!W$8)-CHOOSE($L$99,Timing!V$7,Timing!V$8))</f>
        <v>0.0164166666666666</v>
      </c>
      <c r="AI102" s="40" t="n">
        <f aca="false">$E$99*(CHOOSE($L$99,Timing!X$7,Timing!X$8)-CHOOSE($L$99,Timing!W$7,Timing!W$8))</f>
        <v>0.0164166666666666</v>
      </c>
      <c r="AJ102" s="40" t="n">
        <f aca="false">$E$99*(CHOOSE($L$99,Timing!Y$7,Timing!Y$8)-CHOOSE($L$99,Timing!X$7,Timing!X$8))</f>
        <v>0.0164166666666667</v>
      </c>
      <c r="AK102" s="40" t="n">
        <f aca="false">$E$99*(CHOOSE($L$99,Timing!Z$7,Timing!Z$8)-CHOOSE($L$99,Timing!Y$7,Timing!Y$8))</f>
        <v>0.0164166666666667</v>
      </c>
      <c r="AL102" s="40" t="n">
        <f aca="false">$E$99*(CHOOSE($L$99,Timing!AA$7,Timing!AA$8)-CHOOSE($L$99,Timing!Z$7,Timing!Z$8))</f>
        <v>0.0164166666666666</v>
      </c>
    </row>
    <row r="103" customFormat="false" ht="15" hidden="false" customHeight="false" outlineLevel="0" collapsed="false">
      <c r="B103" s="9" t="s">
        <v>186</v>
      </c>
      <c r="N103" s="42" t="n">
        <f aca="false">0</f>
        <v>0</v>
      </c>
      <c r="O103" s="42" t="n">
        <f aca="false">$D$99*(1+IF($C$99&lt;=0,0,MAX($C$99*O$5/12,Inputs!$C$8)))+$I$99*(O$5&gt;Inputs!$C$12)*$D$99*(1+Inputs!$C$11*(O$5-Inputs!$C$12)/12)</f>
        <v>4410</v>
      </c>
      <c r="P103" s="42" t="n">
        <f aca="false">$D$99*(1+IF($C$99&lt;=0,0,MAX($C$99*P$5/12,Inputs!$C$8)))+$I$99*(P$5&gt;Inputs!$C$12)*$D$99*(1+Inputs!$C$11*(P$5-Inputs!$C$12)/12)</f>
        <v>4410</v>
      </c>
      <c r="Q103" s="42" t="n">
        <f aca="false">$D$99*(1+IF($C$99&lt;=0,0,MAX($C$99*Q$5/12,Inputs!$C$8)))+$I$99*(Q$5&gt;Inputs!$C$12)*$D$99*(1+Inputs!$C$11*(Q$5-Inputs!$C$12)/12)</f>
        <v>4410</v>
      </c>
      <c r="R103" s="42" t="n">
        <f aca="false">$D$99*(1+IF($C$99&lt;=0,0,MAX($C$99*R$5/12,Inputs!$C$8)))+$I$99*(R$5&gt;Inputs!$C$12)*$D$99*(1+Inputs!$C$11*(R$5-Inputs!$C$12)/12)</f>
        <v>4410</v>
      </c>
      <c r="S103" s="42" t="n">
        <f aca="false">$D$99*(1+IF($C$99&lt;=0,0,MAX($C$99*S$5/12,Inputs!$C$8)))+$I$99*(S$5&gt;Inputs!$C$12)*$D$99*(1+Inputs!$C$11*(S$5-Inputs!$C$12)/12)</f>
        <v>4410</v>
      </c>
      <c r="T103" s="42" t="n">
        <f aca="false">$D$99*(1+IF($C$99&lt;=0,0,MAX($C$99*T$5/12,Inputs!$C$8)))+$I$99*(T$5&gt;Inputs!$C$12)*$D$99*(1+Inputs!$C$11*(T$5-Inputs!$C$12)/12)</f>
        <v>4410</v>
      </c>
      <c r="U103" s="42" t="n">
        <f aca="false">$D$99*(1+IF($C$99&lt;=0,0,MAX($C$99*U$5/12,Inputs!$C$8)))+$I$99*(U$5&gt;Inputs!$C$12)*$D$99*(1+Inputs!$C$11*(U$5-Inputs!$C$12)/12)</f>
        <v>4410</v>
      </c>
      <c r="V103" s="42" t="n">
        <f aca="false">$D$99*(1+IF($C$99&lt;=0,0,MAX($C$99*V$5/12,Inputs!$C$8)))+$I$99*(V$5&gt;Inputs!$C$12)*$D$99*(1+Inputs!$C$11*(V$5-Inputs!$C$12)/12)</f>
        <v>4410</v>
      </c>
      <c r="W103" s="42" t="n">
        <f aca="false">$D$99*(1+IF($C$99&lt;=0,0,MAX($C$99*W$5/12,Inputs!$C$8)))+$I$99*(W$5&gt;Inputs!$C$12)*$D$99*(1+Inputs!$C$11*(W$5-Inputs!$C$12)/12)</f>
        <v>4410</v>
      </c>
      <c r="X103" s="42" t="n">
        <f aca="false">$D$99*(1+IF($C$99&lt;=0,0,MAX($C$99*X$5/12,Inputs!$C$8)))+$I$99*(X$5&gt;Inputs!$C$12)*$D$99*(1+Inputs!$C$11*(X$5-Inputs!$C$12)/12)</f>
        <v>4410</v>
      </c>
      <c r="Y103" s="42" t="n">
        <f aca="false">$D$99*(1+IF($C$99&lt;=0,0,MAX($C$99*Y$5/12,Inputs!$C$8)))+$I$99*(Y$5&gt;Inputs!$C$12)*$D$99*(1+Inputs!$C$11*(Y$5-Inputs!$C$12)/12)</f>
        <v>4410</v>
      </c>
      <c r="Z103" s="42" t="n">
        <f aca="false">$D$99*(1+IF($C$99&lt;=0,0,MAX($C$99*Z$5/12,Inputs!$C$8)))+$I$99*(Z$5&gt;Inputs!$C$12)*$D$99*(1+Inputs!$C$11*(Z$5-Inputs!$C$12)/12)</f>
        <v>4410</v>
      </c>
      <c r="AA103" s="42" t="n">
        <f aca="false">$D$99*(1+IF($C$99&lt;=0,0,MAX($C$99*AA$5/12,Inputs!$C$8)))+$I$99*(AA$5&gt;Inputs!$C$12)*$D$99*(1+Inputs!$C$11*(AA$5-Inputs!$C$12)/12)</f>
        <v>8673</v>
      </c>
      <c r="AB103" s="42" t="n">
        <f aca="false">$D$99*(1+IF($C$99&lt;=0,0,MAX($C$99*AB$5/12,Inputs!$C$8)))+$I$99*(AB$5&gt;Inputs!$C$12)*$D$99*(1+Inputs!$C$11*(AB$5-Inputs!$C$12)/12)</f>
        <v>8736</v>
      </c>
      <c r="AC103" s="42" t="n">
        <f aca="false">$D$99*(1+IF($C$99&lt;=0,0,MAX($C$99*AC$5/12,Inputs!$C$8)))+$I$99*(AC$5&gt;Inputs!$C$12)*$D$99*(1+Inputs!$C$11*(AC$5-Inputs!$C$12)/12)</f>
        <v>8799</v>
      </c>
      <c r="AD103" s="42" t="n">
        <f aca="false">$D$99*(1+IF($C$99&lt;=0,0,MAX($C$99*AD$5/12,Inputs!$C$8)))+$I$99*(AD$5&gt;Inputs!$C$12)*$D$99*(1+Inputs!$C$11*(AD$5-Inputs!$C$12)/12)</f>
        <v>8862</v>
      </c>
      <c r="AE103" s="42" t="n">
        <f aca="false">$D$99*(1+IF($C$99&lt;=0,0,MAX($C$99*AE$5/12,Inputs!$C$8)))+$I$99*(AE$5&gt;Inputs!$C$12)*$D$99*(1+Inputs!$C$11*(AE$5-Inputs!$C$12)/12)</f>
        <v>8925</v>
      </c>
      <c r="AF103" s="42" t="n">
        <f aca="false">$D$99*(1+IF($C$99&lt;=0,0,MAX($C$99*AF$5/12,Inputs!$C$8)))+$I$99*(AF$5&gt;Inputs!$C$12)*$D$99*(1+Inputs!$C$11*(AF$5-Inputs!$C$12)/12)</f>
        <v>8988</v>
      </c>
      <c r="AG103" s="42" t="n">
        <f aca="false">$D$99*(1+IF($C$99&lt;=0,0,MAX($C$99*AG$5/12,Inputs!$C$8)))+$I$99*(AG$5&gt;Inputs!$C$12)*$D$99*(1+Inputs!$C$11*(AG$5-Inputs!$C$12)/12)</f>
        <v>9051</v>
      </c>
      <c r="AH103" s="42" t="n">
        <f aca="false">$D$99*(1+IF($C$99&lt;=0,0,MAX($C$99*AH$5/12,Inputs!$C$8)))+$I$99*(AH$5&gt;Inputs!$C$12)*$D$99*(1+Inputs!$C$11*(AH$5-Inputs!$C$12)/12)</f>
        <v>9114</v>
      </c>
      <c r="AI103" s="42" t="n">
        <f aca="false">$D$99*(1+IF($C$99&lt;=0,0,MAX($C$99*AI$5/12,Inputs!$C$8)))+$I$99*(AI$5&gt;Inputs!$C$12)*$D$99*(1+Inputs!$C$11*(AI$5-Inputs!$C$12)/12)</f>
        <v>9177</v>
      </c>
      <c r="AJ103" s="42" t="n">
        <f aca="false">$D$99*(1+IF($C$99&lt;=0,0,MAX($C$99*AJ$5/12,Inputs!$C$8)))+$I$99*(AJ$5&gt;Inputs!$C$12)*$D$99*(1+Inputs!$C$11*(AJ$5-Inputs!$C$12)/12)</f>
        <v>9240</v>
      </c>
      <c r="AK103" s="42" t="n">
        <f aca="false">$D$99*(1+IF($C$99&lt;=0,0,MAX($C$99*AK$5/12,Inputs!$C$8)))+$I$99*(AK$5&gt;Inputs!$C$12)*$D$99*(1+Inputs!$C$11*(AK$5-Inputs!$C$12)/12)</f>
        <v>9303</v>
      </c>
      <c r="AL103" s="42" t="n">
        <f aca="false">$D$99*(1+IF($C$99&lt;=0,0,MAX($C$99*AL$5/12,Inputs!$C$8)))+$I$99*(AL$5&gt;Inputs!$C$12)*$D$99*(1+Inputs!$C$11*(AL$5-Inputs!$C$12)/12)</f>
        <v>9366</v>
      </c>
    </row>
    <row r="104" customFormat="false" ht="15" hidden="false" customHeight="false" outlineLevel="0" collapsed="false">
      <c r="B104" s="31" t="s">
        <v>187</v>
      </c>
      <c r="N104" s="42" t="n">
        <f aca="false">-($D$99+$J$99)*(N$5=0)+IF(AND(N$5-$K$99&gt;=1,N$5-$K$99&lt;=Inputs!$C$13),INDEX($N$102:$AL$102,1,N$5-$K$99+1)*INDEX($N$103:$AL$103,1,N$5-$K$99+1),0)-$I$99*((N$5=Inputs!$C$12)*$C$101*$D$99+(N$5=Inputs!$C$13)*$D$101*($D$99+Inputs!$C$14))+$I$99*((N$5=Inputs!$C$15+$K$99)*$E$101*$I$101+(N$5=Inputs!$C$16+$K$99)*$F$101*$J$101+(N$5=Inputs!$C$17)*$G$101*$H$99*$H$101)</f>
        <v>-4210</v>
      </c>
      <c r="O104" s="42" t="n">
        <f aca="false">-($D$99+$J$99)*(O$5=0)+IF(AND(O$5-$K$99&gt;=1,O$5-$K$99&lt;=Inputs!$C$13),INDEX($N$102:$AL$102,1,O$5-$K$99+1)*INDEX($N$103:$AL$103,1,O$5-$K$99+1),0)-$I$99*((O$5=Inputs!$C$12)*$C$101*$D$99+(O$5=Inputs!$C$13)*$D$101*($D$99+Inputs!$C$14))+$I$99*((O$5=Inputs!$C$15+$K$99)*$E$101*$I$101+(O$5=Inputs!$C$16+$K$99)*$F$101*$J$101+(O$5=Inputs!$C$17)*$G$101*$H$99*$H$101)</f>
        <v>0</v>
      </c>
      <c r="P104" s="42" t="n">
        <f aca="false">-($D$99+$J$99)*(P$5=0)+IF(AND(P$5-$K$99&gt;=1,P$5-$K$99&lt;=Inputs!$C$13),INDEX($N$102:$AL$102,1,P$5-$K$99+1)*INDEX($N$103:$AL$103,1,P$5-$K$99+1),0)-$I$99*((P$5=Inputs!$C$12)*$C$101*$D$99+(P$5=Inputs!$C$13)*$D$101*($D$99+Inputs!$C$14))+$I$99*((P$5=Inputs!$C$15+$K$99)*$E$101*$I$101+(P$5=Inputs!$C$16+$K$99)*$F$101*$J$101+(P$5=Inputs!$C$17)*$G$101*$H$99*$H$101)</f>
        <v>521.262</v>
      </c>
      <c r="Q104" s="42" t="n">
        <f aca="false">-($D$99+$J$99)*(Q$5=0)+IF(AND(Q$5-$K$99&gt;=1,Q$5-$K$99&lt;=Inputs!$C$13),INDEX($N$102:$AL$102,1,Q$5-$K$99+1)*INDEX($N$103:$AL$103,1,Q$5-$K$99+1),0)-$I$99*((Q$5=Inputs!$C$12)*$C$101*$D$99+(Q$5=Inputs!$C$13)*$D$101*($D$99+Inputs!$C$14))+$I$99*((Q$5=Inputs!$C$15+$K$99)*$E$101*$I$101+(Q$5=Inputs!$C$16+$K$99)*$F$101*$J$101+(Q$5=Inputs!$C$17)*$G$101*$H$99*$H$101)</f>
        <v>434.385</v>
      </c>
      <c r="R104" s="42" t="n">
        <f aca="false">-($D$99+$J$99)*(R$5=0)+IF(AND(R$5-$K$99&gt;=1,R$5-$K$99&lt;=Inputs!$C$13),INDEX($N$102:$AL$102,1,R$5-$K$99+1)*INDEX($N$103:$AL$103,1,R$5-$K$99+1),0)-$I$99*((R$5=Inputs!$C$12)*$C$101*$D$99+(R$5=Inputs!$C$13)*$D$101*($D$99+Inputs!$C$14))+$I$99*((R$5=Inputs!$C$15+$K$99)*$E$101*$I$101+(R$5=Inputs!$C$16+$K$99)*$F$101*$J$101+(R$5=Inputs!$C$17)*$G$101*$H$99*$H$101)</f>
        <v>390.9465</v>
      </c>
      <c r="S104" s="42" t="n">
        <f aca="false">-($D$99+$J$99)*(S$5=0)+IF(AND(S$5-$K$99&gt;=1,S$5-$K$99&lt;=Inputs!$C$13),INDEX($N$102:$AL$102,1,S$5-$K$99+1)*INDEX($N$103:$AL$103,1,S$5-$K$99+1),0)-$I$99*((S$5=Inputs!$C$12)*$C$101*$D$99+(S$5=Inputs!$C$13)*$D$101*($D$99+Inputs!$C$14))+$I$99*((S$5=Inputs!$C$15+$K$99)*$E$101*$I$101+(S$5=Inputs!$C$16+$K$99)*$F$101*$J$101+(S$5=Inputs!$C$17)*$G$101*$H$99*$H$101)</f>
        <v>304.0695</v>
      </c>
      <c r="T104" s="42" t="n">
        <f aca="false">-($D$99+$J$99)*(T$5=0)+IF(AND(T$5-$K$99&gt;=1,T$5-$K$99&lt;=Inputs!$C$13),INDEX($N$102:$AL$102,1,T$5-$K$99+1)*INDEX($N$103:$AL$103,1,T$5-$K$99+1),0)-$I$99*((T$5=Inputs!$C$12)*$C$101*$D$99+(T$5=Inputs!$C$13)*$D$101*($D$99+Inputs!$C$14))+$I$99*((T$5=Inputs!$C$15+$K$99)*$E$101*$I$101+(T$5=Inputs!$C$16+$K$99)*$F$101*$J$101+(T$5=Inputs!$C$17)*$G$101*$H$99*$H$101)</f>
        <v>304.0695</v>
      </c>
      <c r="U104" s="42" t="n">
        <f aca="false">-($D$99+$J$99)*(U$5=0)+IF(AND(U$5-$K$99&gt;=1,U$5-$K$99&lt;=Inputs!$C$13),INDEX($N$102:$AL$102,1,U$5-$K$99+1)*INDEX($N$103:$AL$103,1,U$5-$K$99+1),0)-$I$99*((U$5=Inputs!$C$12)*$C$101*$D$99+(U$5=Inputs!$C$13)*$D$101*($D$99+Inputs!$C$14))+$I$99*((U$5=Inputs!$C$15+$K$99)*$E$101*$I$101+(U$5=Inputs!$C$16+$K$99)*$F$101*$J$101+(U$5=Inputs!$C$17)*$G$101*$H$99*$H$101)</f>
        <v>304.0695</v>
      </c>
      <c r="V104" s="42" t="n">
        <f aca="false">-($D$99+$J$99)*(V$5=0)+IF(AND(V$5-$K$99&gt;=1,V$5-$K$99&lt;=Inputs!$C$13),INDEX($N$102:$AL$102,1,V$5-$K$99+1)*INDEX($N$103:$AL$103,1,V$5-$K$99+1),0)-$I$99*((V$5=Inputs!$C$12)*$C$101*$D$99+(V$5=Inputs!$C$13)*$D$101*($D$99+Inputs!$C$14))+$I$99*((V$5=Inputs!$C$15+$K$99)*$E$101*$I$101+(V$5=Inputs!$C$16+$K$99)*$F$101*$J$101+(V$5=Inputs!$C$17)*$G$101*$H$99*$H$101)</f>
        <v>188.2335</v>
      </c>
      <c r="W104" s="42" t="n">
        <f aca="false">-($D$99+$J$99)*(W$5=0)+IF(AND(W$5-$K$99&gt;=1,W$5-$K$99&lt;=Inputs!$C$13),INDEX($N$102:$AL$102,1,W$5-$K$99+1)*INDEX($N$103:$AL$103,1,W$5-$K$99+1),0)-$I$99*((W$5=Inputs!$C$12)*$C$101*$D$99+(W$5=Inputs!$C$13)*$D$101*($D$99+Inputs!$C$14))+$I$99*((W$5=Inputs!$C$15+$K$99)*$E$101*$I$101+(W$5=Inputs!$C$16+$K$99)*$F$101*$J$101+(W$5=Inputs!$C$17)*$G$101*$H$99*$H$101)</f>
        <v>188.2335</v>
      </c>
      <c r="X104" s="42" t="n">
        <f aca="false">-($D$99+$J$99)*(X$5=0)+IF(AND(X$5-$K$99&gt;=1,X$5-$K$99&lt;=Inputs!$C$13),INDEX($N$102:$AL$102,1,X$5-$K$99+1)*INDEX($N$103:$AL$103,1,X$5-$K$99+1),0)-$I$99*((X$5=Inputs!$C$12)*$C$101*$D$99+(X$5=Inputs!$C$13)*$D$101*($D$99+Inputs!$C$14))+$I$99*((X$5=Inputs!$C$15+$K$99)*$E$101*$I$101+(X$5=Inputs!$C$16+$K$99)*$F$101*$J$101+(X$5=Inputs!$C$17)*$G$101*$H$99*$H$101)</f>
        <v>188.2335</v>
      </c>
      <c r="Y104" s="42" t="n">
        <f aca="false">-($D$99+$J$99)*(Y$5=0)+IF(AND(Y$5-$K$99&gt;=1,Y$5-$K$99&lt;=Inputs!$C$13),INDEX($N$102:$AL$102,1,Y$5-$K$99+1)*INDEX($N$103:$AL$103,1,Y$5-$K$99+1),0)-$I$99*((Y$5=Inputs!$C$12)*$C$101*$D$99+(Y$5=Inputs!$C$13)*$D$101*($D$99+Inputs!$C$14))+$I$99*((Y$5=Inputs!$C$15+$K$99)*$E$101*$I$101+(Y$5=Inputs!$C$16+$K$99)*$F$101*$J$101+(Y$5=Inputs!$C$17)*$G$101*$H$99*$H$101)</f>
        <v>159.2745</v>
      </c>
      <c r="Z104" s="42" t="n">
        <f aca="false">-($D$99+$J$99)*(Z$5=0)+IF(AND(Z$5-$K$99&gt;=1,Z$5-$K$99&lt;=Inputs!$C$13),INDEX($N$102:$AL$102,1,Z$5-$K$99+1)*INDEX($N$103:$AL$103,1,Z$5-$K$99+1),0)-$I$99*((Z$5=Inputs!$C$12)*$C$101*$D$99+(Z$5=Inputs!$C$13)*$D$101*($D$99+Inputs!$C$14))+$I$99*((Z$5=Inputs!$C$15+$K$99)*$E$101*$I$101+(Z$5=Inputs!$C$16+$K$99)*$F$101*$J$101+(Z$5=Inputs!$C$17)*$G$101*$H$99*$H$101)</f>
        <v>-896.6055</v>
      </c>
      <c r="AA104" s="42" t="n">
        <f aca="false">-($D$99+$J$99)*(AA$5=0)+IF(AND(AA$5-$K$99&gt;=1,AA$5-$K$99&lt;=Inputs!$C$13),INDEX($N$102:$AL$102,1,AA$5-$K$99+1)*INDEX($N$103:$AL$103,1,AA$5-$K$99+1),0)-$I$99*((AA$5=Inputs!$C$12)*$C$101*$D$99+(AA$5=Inputs!$C$13)*$D$101*($D$99+Inputs!$C$14))+$I$99*((AA$5=Inputs!$C$15+$K$99)*$E$101*$I$101+(AA$5=Inputs!$C$16+$K$99)*$F$101*$J$101+(AA$5=Inputs!$C$17)*$G$101*$H$99*$H$101)</f>
        <v>159.2745</v>
      </c>
      <c r="AB104" s="42" t="n">
        <f aca="false">-($D$99+$J$99)*(AB$5=0)+IF(AND(AB$5-$K$99&gt;=1,AB$5-$K$99&lt;=Inputs!$C$13),INDEX($N$102:$AL$102,1,AB$5-$K$99+1)*INDEX($N$103:$AL$103,1,AB$5-$K$99+1),0)-$I$99*((AB$5=Inputs!$C$12)*$C$101*$D$99+(AB$5=Inputs!$C$13)*$D$101*($D$99+Inputs!$C$14))+$I$99*((AB$5=Inputs!$C$15+$K$99)*$E$101*$I$101+(AB$5=Inputs!$C$16+$K$99)*$F$101*$J$101+(AB$5=Inputs!$C$17)*$G$101*$H$99*$H$101)</f>
        <v>199.33445</v>
      </c>
      <c r="AC104" s="42" t="n">
        <f aca="false">-($D$99+$J$99)*(AC$5=0)+IF(AND(AC$5-$K$99&gt;=1,AC$5-$K$99&lt;=Inputs!$C$13),INDEX($N$102:$AL$102,1,AC$5-$K$99+1)*INDEX($N$103:$AL$103,1,AC$5-$K$99+1),0)-$I$99*((AC$5=Inputs!$C$12)*$C$101*$D$99+(AC$5=Inputs!$C$13)*$D$101*($D$99+Inputs!$C$14))+$I$99*((AC$5=Inputs!$C$15+$K$99)*$E$101*$I$101+(AC$5=Inputs!$C$16+$K$99)*$F$101*$J$101+(AC$5=Inputs!$C$17)*$G$101*$H$99*$H$101)</f>
        <v>200.7824</v>
      </c>
      <c r="AD104" s="42" t="n">
        <f aca="false">-($D$99+$J$99)*(AD$5=0)+IF(AND(AD$5-$K$99&gt;=1,AD$5-$K$99&lt;=Inputs!$C$13),INDEX($N$102:$AL$102,1,AD$5-$K$99+1)*INDEX($N$103:$AL$103,1,AD$5-$K$99+1),0)-$I$99*((AD$5=Inputs!$C$12)*$C$101*$D$99+(AD$5=Inputs!$C$13)*$D$101*($D$99+Inputs!$C$14))+$I$99*((AD$5=Inputs!$C$15+$K$99)*$E$101*$I$101+(AD$5=Inputs!$C$16+$K$99)*$F$101*$J$101+(AD$5=Inputs!$C$17)*$G$101*$H$99*$H$101)</f>
        <v>202.230350000001</v>
      </c>
      <c r="AE104" s="42" t="n">
        <f aca="false">-($D$99+$J$99)*(AE$5=0)+IF(AND(AE$5-$K$99&gt;=1,AE$5-$K$99&lt;=Inputs!$C$13),INDEX($N$102:$AL$102,1,AE$5-$K$99+1)*INDEX($N$103:$AL$103,1,AE$5-$K$99+1),0)-$I$99*((AE$5=Inputs!$C$12)*$C$101*$D$99+(AE$5=Inputs!$C$13)*$D$101*($D$99+Inputs!$C$14))+$I$99*((AE$5=Inputs!$C$15+$K$99)*$E$101*$I$101+(AE$5=Inputs!$C$16+$K$99)*$F$101*$J$101+(AE$5=Inputs!$C$17)*$G$101*$H$99*$H$101)</f>
        <v>203.6783</v>
      </c>
      <c r="AF104" s="42" t="n">
        <f aca="false">-($D$99+$J$99)*(AF$5=0)+IF(AND(AF$5-$K$99&gt;=1,AF$5-$K$99&lt;=Inputs!$C$13),INDEX($N$102:$AL$102,1,AF$5-$K$99+1)*INDEX($N$103:$AL$103,1,AF$5-$K$99+1),0)-$I$99*((AF$5=Inputs!$C$12)*$C$101*$D$99+(AF$5=Inputs!$C$13)*$D$101*($D$99+Inputs!$C$14))+$I$99*((AF$5=Inputs!$C$15+$K$99)*$E$101*$I$101+(AF$5=Inputs!$C$16+$K$99)*$F$101*$J$101+(AF$5=Inputs!$C$17)*$G$101*$H$99*$H$101)</f>
        <v>205.12625</v>
      </c>
      <c r="AG104" s="42" t="n">
        <f aca="false">-($D$99+$J$99)*(AG$5=0)+IF(AND(AG$5-$K$99&gt;=1,AG$5-$K$99&lt;=Inputs!$C$13),INDEX($N$102:$AL$102,1,AG$5-$K$99+1)*INDEX($N$103:$AL$103,1,AG$5-$K$99+1),0)-$I$99*((AG$5=Inputs!$C$12)*$C$101*$D$99+(AG$5=Inputs!$C$13)*$D$101*($D$99+Inputs!$C$14))+$I$99*((AG$5=Inputs!$C$15+$K$99)*$E$101*$I$101+(AG$5=Inputs!$C$16+$K$99)*$F$101*$J$101+(AG$5=Inputs!$C$17)*$G$101*$H$99*$H$101)</f>
        <v>206.5742</v>
      </c>
      <c r="AH104" s="42" t="n">
        <f aca="false">-($D$99+$J$99)*(AH$5=0)+IF(AND(AH$5-$K$99&gt;=1,AH$5-$K$99&lt;=Inputs!$C$13),INDEX($N$102:$AL$102,1,AH$5-$K$99+1)*INDEX($N$103:$AL$103,1,AH$5-$K$99+1),0)-$I$99*((AH$5=Inputs!$C$12)*$C$101*$D$99+(AH$5=Inputs!$C$13)*$D$101*($D$99+Inputs!$C$14))+$I$99*((AH$5=Inputs!$C$15+$K$99)*$E$101*$I$101+(AH$5=Inputs!$C$16+$K$99)*$F$101*$J$101+(AH$5=Inputs!$C$17)*$G$101*$H$99*$H$101)</f>
        <v>148.58725</v>
      </c>
      <c r="AI104" s="42" t="n">
        <f aca="false">-($D$99+$J$99)*(AI$5=0)+IF(AND(AI$5-$K$99&gt;=1,AI$5-$K$99&lt;=Inputs!$C$13),INDEX($N$102:$AL$102,1,AI$5-$K$99+1)*INDEX($N$103:$AL$103,1,AI$5-$K$99+1),0)-$I$99*((AI$5=Inputs!$C$12)*$C$101*$D$99+(AI$5=Inputs!$C$13)*$D$101*($D$99+Inputs!$C$14))+$I$99*((AI$5=Inputs!$C$15+$K$99)*$E$101*$I$101+(AI$5=Inputs!$C$16+$K$99)*$F$101*$J$101+(AI$5=Inputs!$C$17)*$G$101*$H$99*$H$101)</f>
        <v>149.621499999999</v>
      </c>
      <c r="AJ104" s="42" t="n">
        <f aca="false">-($D$99+$J$99)*(AJ$5=0)+IF(AND(AJ$5-$K$99&gt;=1,AJ$5-$K$99&lt;=Inputs!$C$13),INDEX($N$102:$AL$102,1,AJ$5-$K$99+1)*INDEX($N$103:$AL$103,1,AJ$5-$K$99+1),0)-$I$99*((AJ$5=Inputs!$C$12)*$C$101*$D$99+(AJ$5=Inputs!$C$13)*$D$101*($D$99+Inputs!$C$14))+$I$99*((AJ$5=Inputs!$C$15+$K$99)*$E$101*$I$101+(AJ$5=Inputs!$C$16+$K$99)*$F$101*$J$101+(AJ$5=Inputs!$C$17)*$G$101*$H$99*$H$101)</f>
        <v>150.655749999999</v>
      </c>
      <c r="AK104" s="42" t="n">
        <f aca="false">-($D$99+$J$99)*(AK$5=0)+IF(AND(AK$5-$K$99&gt;=1,AK$5-$K$99&lt;=Inputs!$C$13),INDEX($N$102:$AL$102,1,AK$5-$K$99+1)*INDEX($N$103:$AL$103,1,AK$5-$K$99+1),0)-$I$99*((AK$5=Inputs!$C$12)*$C$101*$D$99+(AK$5=Inputs!$C$13)*$D$101*($D$99+Inputs!$C$14))+$I$99*((AK$5=Inputs!$C$15+$K$99)*$E$101*$I$101+(AK$5=Inputs!$C$16+$K$99)*$F$101*$J$101+(AK$5=Inputs!$C$17)*$G$101*$H$99*$H$101)</f>
        <v>151.69</v>
      </c>
      <c r="AL104" s="42" t="n">
        <f aca="false">-($D$99+$J$99)*(AL$5=0)+IF(AND(AL$5-$K$99&gt;=1,AL$5-$K$99&lt;=Inputs!$C$13),INDEX($N$102:$AL$102,1,AL$5-$K$99+1)*INDEX($N$103:$AL$103,1,AL$5-$K$99+1),0)-$I$99*((AL$5=Inputs!$C$12)*$C$101*$D$99+(AL$5=Inputs!$C$13)*$D$101*($D$99+Inputs!$C$14))+$I$99*((AL$5=Inputs!$C$15+$K$99)*$E$101*$I$101+(AL$5=Inputs!$C$16+$K$99)*$F$101*$J$101+(AL$5=Inputs!$C$17)*$G$101*$H$99*$H$101)</f>
        <v>62.7242500000004</v>
      </c>
      <c r="AM104" s="42" t="n">
        <f aca="false">-($D$99+$J$99)*(AM$5=0)+IF(AND(AM$5-$K$99&gt;=1,AM$5-$K$99&lt;=Inputs!$C$13),INDEX($N$102:$AL$102,1,AM$5-$K$99+1)*INDEX($N$103:$AL$103,1,AM$5-$K$99+1),0)-$I$99*((AM$5=Inputs!$C$12)*$C$101*$D$99+(AM$5=Inputs!$C$13)*$D$101*($D$99+Inputs!$C$14))+$I$99*((AM$5=Inputs!$C$15+$K$99)*$E$101*$I$101+(AM$5=Inputs!$C$16+$K$99)*$F$101*$J$101+(AM$5=Inputs!$C$17)*$G$101*$H$99*$H$101)</f>
        <v>153.758499999999</v>
      </c>
      <c r="AN104" s="42" t="n">
        <f aca="false">-($D$99+$J$99)*(AN$5=0)+IF(AND(AN$5-$K$99&gt;=1,AN$5-$K$99&lt;=Inputs!$C$13),INDEX($N$102:$AL$102,1,AN$5-$K$99+1)*INDEX($N$103:$AL$103,1,AN$5-$K$99+1),0)-$I$99*((AN$5=Inputs!$C$12)*$C$101*$D$99+(AN$5=Inputs!$C$13)*$D$101*($D$99+Inputs!$C$14))+$I$99*((AN$5=Inputs!$C$15+$K$99)*$E$101*$I$101+(AN$5=Inputs!$C$16+$K$99)*$F$101*$J$101+(AN$5=Inputs!$C$17)*$G$101*$H$99*$H$101)</f>
        <v>0</v>
      </c>
      <c r="AO104" s="42" t="n">
        <f aca="false">-($D$99+$J$99)*(AO$5=0)+IF(AND(AO$5-$K$99&gt;=1,AO$5-$K$99&lt;=Inputs!$C$13),INDEX($N$102:$AL$102,1,AO$5-$K$99+1)*INDEX($N$103:$AL$103,1,AO$5-$K$99+1),0)-$I$99*((AO$5=Inputs!$C$12)*$C$101*$D$99+(AO$5=Inputs!$C$13)*$D$101*($D$99+Inputs!$C$14))+$I$99*((AO$5=Inputs!$C$15+$K$99)*$E$101*$I$101+(AO$5=Inputs!$C$16+$K$99)*$F$101*$J$101+(AO$5=Inputs!$C$17)*$G$101*$H$99*$H$101)</f>
        <v>0</v>
      </c>
      <c r="AP104" s="42" t="n">
        <f aca="false">-($D$99+$J$99)*(AP$5=0)+IF(AND(AP$5-$K$99&gt;=1,AP$5-$K$99&lt;=Inputs!$C$13),INDEX($N$102:$AL$102,1,AP$5-$K$99+1)*INDEX($N$103:$AL$103,1,AP$5-$K$99+1),0)-$I$99*((AP$5=Inputs!$C$12)*$C$101*$D$99+(AP$5=Inputs!$C$13)*$D$101*($D$99+Inputs!$C$14))+$I$99*((AP$5=Inputs!$C$15+$K$99)*$E$101*$I$101+(AP$5=Inputs!$C$16+$K$99)*$F$101*$J$101+(AP$5=Inputs!$C$17)*$G$101*$H$99*$H$101)</f>
        <v>188.928</v>
      </c>
      <c r="AQ104" s="42" t="n">
        <f aca="false">-($D$99+$J$99)*(AQ$5=0)+IF(AND(AQ$5-$K$99&gt;=1,AQ$5-$K$99&lt;=Inputs!$C$13),INDEX($N$102:$AL$102,1,AQ$5-$K$99+1)*INDEX($N$103:$AL$103,1,AQ$5-$K$99+1),0)-$I$99*((AQ$5=Inputs!$C$12)*$C$101*$D$99+(AQ$5=Inputs!$C$13)*$D$101*($D$99+Inputs!$C$14))+$I$99*((AQ$5=Inputs!$C$15+$K$99)*$E$101*$I$101+(AQ$5=Inputs!$C$16+$K$99)*$F$101*$J$101+(AQ$5=Inputs!$C$17)*$G$101*$H$99*$H$101)</f>
        <v>0</v>
      </c>
      <c r="AR104" s="42" t="n">
        <f aca="false">-($D$99+$J$99)*(AR$5=0)+IF(AND(AR$5-$K$99&gt;=1,AR$5-$K$99&lt;=Inputs!$C$13),INDEX($N$102:$AL$102,1,AR$5-$K$99+1)*INDEX($N$103:$AL$103,1,AR$5-$K$99+1),0)-$I$99*((AR$5=Inputs!$C$12)*$C$101*$D$99+(AR$5=Inputs!$C$13)*$D$101*($D$99+Inputs!$C$14))+$I$99*((AR$5=Inputs!$C$15+$K$99)*$E$101*$I$101+(AR$5=Inputs!$C$16+$K$99)*$F$101*$J$101+(AR$5=Inputs!$C$17)*$G$101*$H$99*$H$101)</f>
        <v>0</v>
      </c>
      <c r="AS104" s="42" t="n">
        <f aca="false">-($D$99+$J$99)*(AS$5=0)+IF(AND(AS$5-$K$99&gt;=1,AS$5-$K$99&lt;=Inputs!$C$13),INDEX($N$102:$AL$102,1,AS$5-$K$99+1)*INDEX($N$103:$AL$103,1,AS$5-$K$99+1),0)-$I$99*((AS$5=Inputs!$C$12)*$C$101*$D$99+(AS$5=Inputs!$C$13)*$D$101*($D$99+Inputs!$C$14))+$I$99*((AS$5=Inputs!$C$15+$K$99)*$E$101*$I$101+(AS$5=Inputs!$C$16+$K$99)*$F$101*$J$101+(AS$5=Inputs!$C$17)*$G$101*$H$99*$H$101)</f>
        <v>45.9477</v>
      </c>
      <c r="AT104" s="42" t="n">
        <f aca="false">-($D$99+$J$99)*(AT$5=0)+IF(AND(AT$5-$K$99&gt;=1,AT$5-$K$99&lt;=Inputs!$C$13),INDEX($N$102:$AL$102,1,AT$5-$K$99+1)*INDEX($N$103:$AL$103,1,AT$5-$K$99+1),0)-$I$99*((AT$5=Inputs!$C$12)*$C$101*$D$99+(AT$5=Inputs!$C$13)*$D$101*($D$99+Inputs!$C$14))+$I$99*((AT$5=Inputs!$C$15+$K$99)*$E$101*$I$101+(AT$5=Inputs!$C$16+$K$99)*$F$101*$J$101+(AT$5=Inputs!$C$17)*$G$101*$H$99*$H$101)</f>
        <v>0</v>
      </c>
      <c r="AU104" s="42" t="n">
        <f aca="false">-($D$99+$J$99)*(AU$5=0)+IF(AND(AU$5-$K$99&gt;=1,AU$5-$K$99&lt;=Inputs!$C$13),INDEX($N$102:$AL$102,1,AU$5-$K$99+1)*INDEX($N$103:$AL$103,1,AU$5-$K$99+1),0)-$I$99*((AU$5=Inputs!$C$12)*$C$101*$D$99+(AU$5=Inputs!$C$13)*$D$101*($D$99+Inputs!$C$14))+$I$99*((AU$5=Inputs!$C$15+$K$99)*$E$101*$I$101+(AU$5=Inputs!$C$16+$K$99)*$F$101*$J$101+(AU$5=Inputs!$C$17)*$G$101*$H$99*$H$101)</f>
        <v>0</v>
      </c>
      <c r="AV104" s="42" t="n">
        <f aca="false">-($D$99+$J$99)*(AV$5=0)+IF(AND(AV$5-$K$99&gt;=1,AV$5-$K$99&lt;=Inputs!$C$13),INDEX($N$102:$AL$102,1,AV$5-$K$99+1)*INDEX($N$103:$AL$103,1,AV$5-$K$99+1),0)-$I$99*((AV$5=Inputs!$C$12)*$C$101*$D$99+(AV$5=Inputs!$C$13)*$D$101*($D$99+Inputs!$C$14))+$I$99*((AV$5=Inputs!$C$15+$K$99)*$E$101*$I$101+(AV$5=Inputs!$C$16+$K$99)*$F$101*$J$101+(AV$5=Inputs!$C$17)*$G$101*$H$99*$H$101)</f>
        <v>0</v>
      </c>
      <c r="AW104" s="42" t="n">
        <f aca="false">-($D$99+$J$99)*(AW$5=0)+IF(AND(AW$5-$K$99&gt;=1,AW$5-$K$99&lt;=Inputs!$C$13),INDEX($N$102:$AL$102,1,AW$5-$K$99+1)*INDEX($N$103:$AL$103,1,AW$5-$K$99+1),0)-$I$99*((AW$5=Inputs!$C$12)*$C$101*$D$99+(AW$5=Inputs!$C$13)*$D$101*($D$99+Inputs!$C$14))+$I$99*((AW$5=Inputs!$C$15+$K$99)*$E$101*$I$101+(AW$5=Inputs!$C$16+$K$99)*$F$101*$J$101+(AW$5=Inputs!$C$17)*$G$101*$H$99*$H$101)</f>
        <v>0</v>
      </c>
      <c r="AX104" s="42" t="n">
        <f aca="false">-($D$99+$J$99)*(AX$5=0)+IF(AND(AX$5-$K$99&gt;=1,AX$5-$K$99&lt;=Inputs!$C$13),INDEX($N$102:$AL$102,1,AX$5-$K$99+1)*INDEX($N$103:$AL$103,1,AX$5-$K$99+1),0)-$I$99*((AX$5=Inputs!$C$12)*$C$101*$D$99+(AX$5=Inputs!$C$13)*$D$101*($D$99+Inputs!$C$14))+$I$99*((AX$5=Inputs!$C$15+$K$99)*$E$101*$I$101+(AX$5=Inputs!$C$16+$K$99)*$F$101*$J$101+(AX$5=Inputs!$C$17)*$G$101*$H$99*$H$101)</f>
        <v>1.94400000000001</v>
      </c>
      <c r="AY104" s="42" t="n">
        <f aca="false">-($D$99+$J$99)*(AY$5=0)+IF(AND(AY$5-$K$99&gt;=1,AY$5-$K$99&lt;=Inputs!$C$13),INDEX($N$102:$AL$102,1,AY$5-$K$99+1)*INDEX($N$103:$AL$103,1,AY$5-$K$99+1),0)-$I$99*((AY$5=Inputs!$C$12)*$C$101*$D$99+(AY$5=Inputs!$C$13)*$D$101*($D$99+Inputs!$C$14))+$I$99*((AY$5=Inputs!$C$15+$K$99)*$E$101*$I$101+(AY$5=Inputs!$C$16+$K$99)*$F$101*$J$101+(AY$5=Inputs!$C$17)*$G$101*$H$99*$H$101)</f>
        <v>0</v>
      </c>
    </row>
    <row r="106" customFormat="false" ht="15" hidden="false" customHeight="false" outlineLevel="0" collapsed="false">
      <c r="B106" s="7" t="s">
        <v>252</v>
      </c>
      <c r="C106" s="8"/>
      <c r="D106" s="8"/>
      <c r="E106" s="8"/>
      <c r="F106" s="8"/>
      <c r="G106" s="8"/>
      <c r="H106" s="8"/>
      <c r="I106" s="8"/>
      <c r="J106" s="8"/>
      <c r="K106" s="8"/>
      <c r="L106" s="8"/>
    </row>
    <row r="107" customFormat="false" ht="30" hidden="false" customHeight="true" outlineLevel="0" collapsed="false">
      <c r="B107" s="37"/>
      <c r="C107" s="38" t="s">
        <v>169</v>
      </c>
      <c r="D107" s="38" t="s">
        <v>170</v>
      </c>
      <c r="E107" s="38" t="s">
        <v>171</v>
      </c>
      <c r="F107" s="38" t="s">
        <v>43</v>
      </c>
      <c r="G107" s="38" t="s">
        <v>44</v>
      </c>
      <c r="H107" s="38" t="s">
        <v>45</v>
      </c>
      <c r="I107" s="38" t="s">
        <v>172</v>
      </c>
      <c r="J107" s="38" t="s">
        <v>90</v>
      </c>
      <c r="K107" s="38" t="s">
        <v>89</v>
      </c>
      <c r="L107" s="38" t="s">
        <v>173</v>
      </c>
    </row>
    <row r="108" customFormat="false" ht="15" hidden="false" customHeight="false" outlineLevel="0" collapsed="false">
      <c r="B108" s="39" t="s">
        <v>174</v>
      </c>
      <c r="C108" s="26" t="n">
        <f aca="false">Inputs!$F$40*Inputs!$E$57</f>
        <v>0.035</v>
      </c>
      <c r="D108" s="30" t="n">
        <f aca="false">Inputs!$E$40</f>
        <v>3600</v>
      </c>
      <c r="E108" s="26" t="n">
        <f aca="false">IF(Inputs!$G$40=1,Inputs!$F$27,MIN(1,MAX(0,INDEX(Inputs!$F$23:$F$27,MATCH(Inputs!$C$40,Inputs!$B$23:$B$27,0))+INDEX(Inputs!$C$48:$C$51,MATCH(Inputs!$D$57,Inputs!$B$48:$B$51,0)))))</f>
        <v>0.93</v>
      </c>
      <c r="F108" s="25" t="n">
        <f aca="false">IF(Inputs!$G$40=1,Inputs!$G$27,INDEX(Inputs!$G$23:$G$27,MATCH(Inputs!$C$40,Inputs!$B$23:$B$27,0)))</f>
        <v>0.6</v>
      </c>
      <c r="G108" s="25" t="n">
        <f aca="false">IF(Inputs!$G$40=1,Inputs!$H$27,INDEX(Inputs!$H$23:$H$27,MATCH(Inputs!$C$40,Inputs!$B$23:$B$27,0)))*INDEX(Inputs!$D$48:$D$51,MATCH(Inputs!$D$57,Inputs!$B$48:$B$51,0))</f>
        <v>0.85</v>
      </c>
      <c r="H108" s="25" t="n">
        <f aca="false">MAX(0,IF(Inputs!$G$40=1,Inputs!$I$27,INDEX(Inputs!$I$23:$I$27,MATCH(Inputs!$C$40,Inputs!$B$23:$B$27,0)))+INDEX(Inputs!$E$48:$E$51,MATCH(Inputs!$D$57,Inputs!$B$48:$B$51,0)))</f>
        <v>0.9</v>
      </c>
      <c r="I108" s="22" t="n">
        <f aca="false">IF(Inputs!$G$40=1,0,INDEX(Inputs!$J$23:$J$27,MATCH(Inputs!$C$40,Inputs!$B$23:$B$27,0)))</f>
        <v>1</v>
      </c>
      <c r="J108" s="23" t="n">
        <f aca="false">Inputs!$G$57</f>
        <v>10</v>
      </c>
      <c r="K108" s="22" t="n">
        <f aca="false">Inputs!$F$57</f>
        <v>1</v>
      </c>
      <c r="L108" s="22" t="n">
        <f aca="false">Inputs!$C$57</f>
        <v>1</v>
      </c>
    </row>
    <row r="109" customFormat="false" ht="30" hidden="false" customHeight="true" outlineLevel="0" collapsed="false">
      <c r="B109" s="37"/>
      <c r="C109" s="38" t="s">
        <v>175</v>
      </c>
      <c r="D109" s="38" t="s">
        <v>176</v>
      </c>
      <c r="E109" s="38" t="s">
        <v>177</v>
      </c>
      <c r="F109" s="38" t="s">
        <v>178</v>
      </c>
      <c r="G109" s="38" t="s">
        <v>112</v>
      </c>
      <c r="H109" s="38" t="s">
        <v>179</v>
      </c>
      <c r="I109" s="38" t="s">
        <v>180</v>
      </c>
      <c r="J109" s="38" t="s">
        <v>181</v>
      </c>
      <c r="K109" s="38" t="s">
        <v>182</v>
      </c>
      <c r="L109" s="38" t="s">
        <v>183</v>
      </c>
    </row>
    <row r="110" customFormat="false" ht="15" hidden="false" customHeight="false" outlineLevel="0" collapsed="false">
      <c r="B110" s="39" t="s">
        <v>184</v>
      </c>
      <c r="C110" s="40" t="n">
        <f aca="false">1-$E$108*CHOOSE($L$108,INDEX(Timing!$C$7:$AA$7,1,Inputs!$C$12+1),INDEX(Timing!$C$8:$AA$8,1,Inputs!$C$12+1))</f>
        <v>0.2932</v>
      </c>
      <c r="D110" s="40" t="n">
        <f aca="false">1-$E$108*CHOOSE($L$108,INDEX(Timing!$C$7:$AA$7,1,Inputs!$C$13+1),INDEX(Timing!$C$8:$AA$8,1,Inputs!$C$13+1))</f>
        <v>0.07</v>
      </c>
      <c r="E110" s="40" t="n">
        <f aca="false">$I$108*$D$110*$F$108</f>
        <v>0.042</v>
      </c>
      <c r="F110" s="40" t="n">
        <f aca="false">$I$108*($D$110-$E$110)*$G$108</f>
        <v>0.0238</v>
      </c>
      <c r="G110" s="40" t="n">
        <f aca="false">$I$108*($D$110-$E$110-$F$110)</f>
        <v>0.0042</v>
      </c>
      <c r="H110" s="23" t="n">
        <f aca="false">$I$108*(3*$D$108+Inputs!$C$14)</f>
        <v>12600</v>
      </c>
      <c r="I110" s="23" t="n">
        <f aca="false">$I$108*($D$108*(1+IF($C$108&lt;=0,0,MAX($C$108*Inputs!$C$15/12,Inputs!$C$8)))+$D$108*(1+Inputs!$C$11*(Inputs!$C$15-Inputs!$C$12)/12)+$D$108*(1+Inputs!$C$11*(Inputs!$C$15-Inputs!$C$13)/12)+Inputs!$C$14)</f>
        <v>13855.5</v>
      </c>
      <c r="J110" s="23" t="n">
        <f aca="false">$I$108*($D$108*(1+IF($C$108&lt;=0,0,MAX($C$108*Inputs!$C$16/12,Inputs!$C$8)))+$D$108*(1+Inputs!$C$11*(Inputs!$C$16-Inputs!$C$12)/12)+$D$108*(1+Inputs!$C$11*(Inputs!$C$16-Inputs!$C$13)/12)+Inputs!$C$14)</f>
        <v>14211</v>
      </c>
      <c r="K110" s="40" t="n">
        <f aca="false">IRR($N$113:$AY$113,0.005)</f>
        <v>0.00612624567741053</v>
      </c>
      <c r="L110" s="41" t="n">
        <f aca="false">(1+$K$110)^12-1</f>
        <v>0.0760432738901713</v>
      </c>
    </row>
    <row r="111" customFormat="false" ht="15" hidden="false" customHeight="false" outlineLevel="0" collapsed="false">
      <c r="B111" s="9" t="s">
        <v>185</v>
      </c>
      <c r="N111" s="40" t="n">
        <f aca="false">0</f>
        <v>0</v>
      </c>
      <c r="O111" s="40" t="n">
        <f aca="false">$E$108*(CHOOSE($L$108,Timing!D$7,Timing!D$8)-CHOOSE($L$108,Timing!C$7,Timing!C$8))</f>
        <v>0.1116</v>
      </c>
      <c r="P111" s="40" t="n">
        <f aca="false">$E$108*(CHOOSE($L$108,Timing!E$7,Timing!E$8)-CHOOSE($L$108,Timing!D$7,Timing!D$8))</f>
        <v>0.093</v>
      </c>
      <c r="Q111" s="40" t="n">
        <f aca="false">$E$108*(CHOOSE($L$108,Timing!F$7,Timing!F$8)-CHOOSE($L$108,Timing!E$7,Timing!E$8))</f>
        <v>0.0837</v>
      </c>
      <c r="R111" s="40" t="n">
        <f aca="false">$E$108*(CHOOSE($L$108,Timing!G$7,Timing!G$8)-CHOOSE($L$108,Timing!F$7,Timing!F$8))</f>
        <v>0.0651</v>
      </c>
      <c r="S111" s="40" t="n">
        <f aca="false">$E$108*(CHOOSE($L$108,Timing!H$7,Timing!H$8)-CHOOSE($L$108,Timing!G$7,Timing!G$8))</f>
        <v>0.0651</v>
      </c>
      <c r="T111" s="40" t="n">
        <f aca="false">$E$108*(CHOOSE($L$108,Timing!I$7,Timing!I$8)-CHOOSE($L$108,Timing!H$7,Timing!H$8))</f>
        <v>0.0651</v>
      </c>
      <c r="U111" s="40" t="n">
        <f aca="false">$E$108*(CHOOSE($L$108,Timing!J$7,Timing!J$8)-CHOOSE($L$108,Timing!I$7,Timing!I$8))</f>
        <v>0.0403</v>
      </c>
      <c r="V111" s="40" t="n">
        <f aca="false">$E$108*(CHOOSE($L$108,Timing!K$7,Timing!K$8)-CHOOSE($L$108,Timing!J$7,Timing!J$8))</f>
        <v>0.0403</v>
      </c>
      <c r="W111" s="40" t="n">
        <f aca="false">$E$108*(CHOOSE($L$108,Timing!L$7,Timing!L$8)-CHOOSE($L$108,Timing!K$7,Timing!K$8))</f>
        <v>0.0403</v>
      </c>
      <c r="X111" s="40" t="n">
        <f aca="false">$E$108*(CHOOSE($L$108,Timing!M$7,Timing!M$8)-CHOOSE($L$108,Timing!L$7,Timing!L$8))</f>
        <v>0.0341</v>
      </c>
      <c r="Y111" s="40" t="n">
        <f aca="false">$E$108*(CHOOSE($L$108,Timing!N$7,Timing!N$8)-CHOOSE($L$108,Timing!M$7,Timing!M$8))</f>
        <v>0.0341000000000001</v>
      </c>
      <c r="Z111" s="40" t="n">
        <f aca="false">$E$108*(CHOOSE($L$108,Timing!O$7,Timing!O$8)-CHOOSE($L$108,Timing!N$7,Timing!N$8))</f>
        <v>0.0341</v>
      </c>
      <c r="AA111" s="40" t="n">
        <f aca="false">$E$108*(CHOOSE($L$108,Timing!P$7,Timing!P$8)-CHOOSE($L$108,Timing!O$7,Timing!O$8))</f>
        <v>0.0217</v>
      </c>
      <c r="AB111" s="40" t="n">
        <f aca="false">$E$108*(CHOOSE($L$108,Timing!Q$7,Timing!Q$8)-CHOOSE($L$108,Timing!P$7,Timing!P$8))</f>
        <v>0.0217</v>
      </c>
      <c r="AC111" s="40" t="n">
        <f aca="false">$E$108*(CHOOSE($L$108,Timing!R$7,Timing!R$8)-CHOOSE($L$108,Timing!Q$7,Timing!Q$8))</f>
        <v>0.0217000000000001</v>
      </c>
      <c r="AD111" s="40" t="n">
        <f aca="false">$E$108*(CHOOSE($L$108,Timing!S$7,Timing!S$8)-CHOOSE($L$108,Timing!R$7,Timing!R$8))</f>
        <v>0.0217</v>
      </c>
      <c r="AE111" s="40" t="n">
        <f aca="false">$E$108*(CHOOSE($L$108,Timing!T$7,Timing!T$8)-CHOOSE($L$108,Timing!S$7,Timing!S$8))</f>
        <v>0.0217</v>
      </c>
      <c r="AF111" s="40" t="n">
        <f aca="false">$E$108*(CHOOSE($L$108,Timing!U$7,Timing!U$8)-CHOOSE($L$108,Timing!T$7,Timing!T$8))</f>
        <v>0.0217</v>
      </c>
      <c r="AG111" s="40" t="n">
        <f aca="false">$E$108*(CHOOSE($L$108,Timing!V$7,Timing!V$8)-CHOOSE($L$108,Timing!U$7,Timing!U$8))</f>
        <v>0.0155</v>
      </c>
      <c r="AH111" s="40" t="n">
        <f aca="false">$E$108*(CHOOSE($L$108,Timing!W$7,Timing!W$8)-CHOOSE($L$108,Timing!V$7,Timing!V$8))</f>
        <v>0.0154999999999999</v>
      </c>
      <c r="AI111" s="40" t="n">
        <f aca="false">$E$108*(CHOOSE($L$108,Timing!X$7,Timing!X$8)-CHOOSE($L$108,Timing!W$7,Timing!W$8))</f>
        <v>0.0154999999999999</v>
      </c>
      <c r="AJ111" s="40" t="n">
        <f aca="false">$E$108*(CHOOSE($L$108,Timing!Y$7,Timing!Y$8)-CHOOSE($L$108,Timing!X$7,Timing!X$8))</f>
        <v>0.0155</v>
      </c>
      <c r="AK111" s="40" t="n">
        <f aca="false">$E$108*(CHOOSE($L$108,Timing!Z$7,Timing!Z$8)-CHOOSE($L$108,Timing!Y$7,Timing!Y$8))</f>
        <v>0.0155</v>
      </c>
      <c r="AL111" s="40" t="n">
        <f aca="false">$E$108*(CHOOSE($L$108,Timing!AA$7,Timing!AA$8)-CHOOSE($L$108,Timing!Z$7,Timing!Z$8))</f>
        <v>0.0154999999999999</v>
      </c>
    </row>
    <row r="112" customFormat="false" ht="15" hidden="false" customHeight="false" outlineLevel="0" collapsed="false">
      <c r="B112" s="9" t="s">
        <v>186</v>
      </c>
      <c r="N112" s="42" t="n">
        <f aca="false">0</f>
        <v>0</v>
      </c>
      <c r="O112" s="42" t="n">
        <f aca="false">$D$108*(1+IF($C$108&lt;=0,0,MAX($C$108*O$5/12,Inputs!$C$8)))+$I$108*(O$5&gt;Inputs!$C$12)*$D$108*(1+Inputs!$C$11*(O$5-Inputs!$C$12)/12)</f>
        <v>3780</v>
      </c>
      <c r="P112" s="42" t="n">
        <f aca="false">$D$108*(1+IF($C$108&lt;=0,0,MAX($C$108*P$5/12,Inputs!$C$8)))+$I$108*(P$5&gt;Inputs!$C$12)*$D$108*(1+Inputs!$C$11*(P$5-Inputs!$C$12)/12)</f>
        <v>3780</v>
      </c>
      <c r="Q112" s="42" t="n">
        <f aca="false">$D$108*(1+IF($C$108&lt;=0,0,MAX($C$108*Q$5/12,Inputs!$C$8)))+$I$108*(Q$5&gt;Inputs!$C$12)*$D$108*(1+Inputs!$C$11*(Q$5-Inputs!$C$12)/12)</f>
        <v>3780</v>
      </c>
      <c r="R112" s="42" t="n">
        <f aca="false">$D$108*(1+IF($C$108&lt;=0,0,MAX($C$108*R$5/12,Inputs!$C$8)))+$I$108*(R$5&gt;Inputs!$C$12)*$D$108*(1+Inputs!$C$11*(R$5-Inputs!$C$12)/12)</f>
        <v>3780</v>
      </c>
      <c r="S112" s="42" t="n">
        <f aca="false">$D$108*(1+IF($C$108&lt;=0,0,MAX($C$108*S$5/12,Inputs!$C$8)))+$I$108*(S$5&gt;Inputs!$C$12)*$D$108*(1+Inputs!$C$11*(S$5-Inputs!$C$12)/12)</f>
        <v>3780</v>
      </c>
      <c r="T112" s="42" t="n">
        <f aca="false">$D$108*(1+IF($C$108&lt;=0,0,MAX($C$108*T$5/12,Inputs!$C$8)))+$I$108*(T$5&gt;Inputs!$C$12)*$D$108*(1+Inputs!$C$11*(T$5-Inputs!$C$12)/12)</f>
        <v>3780</v>
      </c>
      <c r="U112" s="42" t="n">
        <f aca="false">$D$108*(1+IF($C$108&lt;=0,0,MAX($C$108*U$5/12,Inputs!$C$8)))+$I$108*(U$5&gt;Inputs!$C$12)*$D$108*(1+Inputs!$C$11*(U$5-Inputs!$C$12)/12)</f>
        <v>3780</v>
      </c>
      <c r="V112" s="42" t="n">
        <f aca="false">$D$108*(1+IF($C$108&lt;=0,0,MAX($C$108*V$5/12,Inputs!$C$8)))+$I$108*(V$5&gt;Inputs!$C$12)*$D$108*(1+Inputs!$C$11*(V$5-Inputs!$C$12)/12)</f>
        <v>3780</v>
      </c>
      <c r="W112" s="42" t="n">
        <f aca="false">$D$108*(1+IF($C$108&lt;=0,0,MAX($C$108*W$5/12,Inputs!$C$8)))+$I$108*(W$5&gt;Inputs!$C$12)*$D$108*(1+Inputs!$C$11*(W$5-Inputs!$C$12)/12)</f>
        <v>3780</v>
      </c>
      <c r="X112" s="42" t="n">
        <f aca="false">$D$108*(1+IF($C$108&lt;=0,0,MAX($C$108*X$5/12,Inputs!$C$8)))+$I$108*(X$5&gt;Inputs!$C$12)*$D$108*(1+Inputs!$C$11*(X$5-Inputs!$C$12)/12)</f>
        <v>3780</v>
      </c>
      <c r="Y112" s="42" t="n">
        <f aca="false">$D$108*(1+IF($C$108&lt;=0,0,MAX($C$108*Y$5/12,Inputs!$C$8)))+$I$108*(Y$5&gt;Inputs!$C$12)*$D$108*(1+Inputs!$C$11*(Y$5-Inputs!$C$12)/12)</f>
        <v>3780</v>
      </c>
      <c r="Z112" s="42" t="n">
        <f aca="false">$D$108*(1+IF($C$108&lt;=0,0,MAX($C$108*Z$5/12,Inputs!$C$8)))+$I$108*(Z$5&gt;Inputs!$C$12)*$D$108*(1+Inputs!$C$11*(Z$5-Inputs!$C$12)/12)</f>
        <v>3780</v>
      </c>
      <c r="AA112" s="42" t="n">
        <f aca="false">$D$108*(1+IF($C$108&lt;=0,0,MAX($C$108*AA$5/12,Inputs!$C$8)))+$I$108*(AA$5&gt;Inputs!$C$12)*$D$108*(1+Inputs!$C$11*(AA$5-Inputs!$C$12)/12)</f>
        <v>7434</v>
      </c>
      <c r="AB112" s="42" t="n">
        <f aca="false">$D$108*(1+IF($C$108&lt;=0,0,MAX($C$108*AB$5/12,Inputs!$C$8)))+$I$108*(AB$5&gt;Inputs!$C$12)*$D$108*(1+Inputs!$C$11*(AB$5-Inputs!$C$12)/12)</f>
        <v>7488</v>
      </c>
      <c r="AC112" s="42" t="n">
        <f aca="false">$D$108*(1+IF($C$108&lt;=0,0,MAX($C$108*AC$5/12,Inputs!$C$8)))+$I$108*(AC$5&gt;Inputs!$C$12)*$D$108*(1+Inputs!$C$11*(AC$5-Inputs!$C$12)/12)</f>
        <v>7542</v>
      </c>
      <c r="AD112" s="42" t="n">
        <f aca="false">$D$108*(1+IF($C$108&lt;=0,0,MAX($C$108*AD$5/12,Inputs!$C$8)))+$I$108*(AD$5&gt;Inputs!$C$12)*$D$108*(1+Inputs!$C$11*(AD$5-Inputs!$C$12)/12)</f>
        <v>7596</v>
      </c>
      <c r="AE112" s="42" t="n">
        <f aca="false">$D$108*(1+IF($C$108&lt;=0,0,MAX($C$108*AE$5/12,Inputs!$C$8)))+$I$108*(AE$5&gt;Inputs!$C$12)*$D$108*(1+Inputs!$C$11*(AE$5-Inputs!$C$12)/12)</f>
        <v>7650</v>
      </c>
      <c r="AF112" s="42" t="n">
        <f aca="false">$D$108*(1+IF($C$108&lt;=0,0,MAX($C$108*AF$5/12,Inputs!$C$8)))+$I$108*(AF$5&gt;Inputs!$C$12)*$D$108*(1+Inputs!$C$11*(AF$5-Inputs!$C$12)/12)</f>
        <v>7713</v>
      </c>
      <c r="AG112" s="42" t="n">
        <f aca="false">$D$108*(1+IF($C$108&lt;=0,0,MAX($C$108*AG$5/12,Inputs!$C$8)))+$I$108*(AG$5&gt;Inputs!$C$12)*$D$108*(1+Inputs!$C$11*(AG$5-Inputs!$C$12)/12)</f>
        <v>7777.5</v>
      </c>
      <c r="AH112" s="42" t="n">
        <f aca="false">$D$108*(1+IF($C$108&lt;=0,0,MAX($C$108*AH$5/12,Inputs!$C$8)))+$I$108*(AH$5&gt;Inputs!$C$12)*$D$108*(1+Inputs!$C$11*(AH$5-Inputs!$C$12)/12)</f>
        <v>7842</v>
      </c>
      <c r="AI112" s="42" t="n">
        <f aca="false">$D$108*(1+IF($C$108&lt;=0,0,MAX($C$108*AI$5/12,Inputs!$C$8)))+$I$108*(AI$5&gt;Inputs!$C$12)*$D$108*(1+Inputs!$C$11*(AI$5-Inputs!$C$12)/12)</f>
        <v>7906.5</v>
      </c>
      <c r="AJ112" s="42" t="n">
        <f aca="false">$D$108*(1+IF($C$108&lt;=0,0,MAX($C$108*AJ$5/12,Inputs!$C$8)))+$I$108*(AJ$5&gt;Inputs!$C$12)*$D$108*(1+Inputs!$C$11*(AJ$5-Inputs!$C$12)/12)</f>
        <v>7971</v>
      </c>
      <c r="AK112" s="42" t="n">
        <f aca="false">$D$108*(1+IF($C$108&lt;=0,0,MAX($C$108*AK$5/12,Inputs!$C$8)))+$I$108*(AK$5&gt;Inputs!$C$12)*$D$108*(1+Inputs!$C$11*(AK$5-Inputs!$C$12)/12)</f>
        <v>8035.5</v>
      </c>
      <c r="AL112" s="42" t="n">
        <f aca="false">$D$108*(1+IF($C$108&lt;=0,0,MAX($C$108*AL$5/12,Inputs!$C$8)))+$I$108*(AL$5&gt;Inputs!$C$12)*$D$108*(1+Inputs!$C$11*(AL$5-Inputs!$C$12)/12)</f>
        <v>8100</v>
      </c>
    </row>
    <row r="113" customFormat="false" ht="15" hidden="false" customHeight="false" outlineLevel="0" collapsed="false">
      <c r="B113" s="31" t="s">
        <v>187</v>
      </c>
      <c r="N113" s="42" t="n">
        <f aca="false">-($D$108+$J$108)*(N$5=0)+IF(AND(N$5-$K$108&gt;=1,N$5-$K$108&lt;=Inputs!$C$13),INDEX($N$111:$AL$111,1,N$5-$K$108+1)*INDEX($N$112:$AL$112,1,N$5-$K$108+1),0)-$I$108*((N$5=Inputs!$C$12)*$C$110*$D$108+(N$5=Inputs!$C$13)*$D$110*($D$108+Inputs!$C$14))+$I$108*((N$5=Inputs!$C$15+$K$108)*$E$110*$I$110+(N$5=Inputs!$C$16+$K$108)*$F$110*$J$110+(N$5=Inputs!$C$17)*$G$110*$H$108*$H$110)</f>
        <v>-3610</v>
      </c>
      <c r="O113" s="42" t="n">
        <f aca="false">-($D$108+$J$108)*(O$5=0)+IF(AND(O$5-$K$108&gt;=1,O$5-$K$108&lt;=Inputs!$C$13),INDEX($N$111:$AL$111,1,O$5-$K$108+1)*INDEX($N$112:$AL$112,1,O$5-$K$108+1),0)-$I$108*((O$5=Inputs!$C$12)*$C$110*$D$108+(O$5=Inputs!$C$13)*$D$110*($D$108+Inputs!$C$14))+$I$108*((O$5=Inputs!$C$15+$K$108)*$E$110*$I$110+(O$5=Inputs!$C$16+$K$108)*$F$110*$J$110+(O$5=Inputs!$C$17)*$G$110*$H$108*$H$110)</f>
        <v>0</v>
      </c>
      <c r="P113" s="42" t="n">
        <f aca="false">-($D$108+$J$108)*(P$5=0)+IF(AND(P$5-$K$108&gt;=1,P$5-$K$108&lt;=Inputs!$C$13),INDEX($N$111:$AL$111,1,P$5-$K$108+1)*INDEX($N$112:$AL$112,1,P$5-$K$108+1),0)-$I$108*((P$5=Inputs!$C$12)*$C$110*$D$108+(P$5=Inputs!$C$13)*$D$110*($D$108+Inputs!$C$14))+$I$108*((P$5=Inputs!$C$15+$K$108)*$E$110*$I$110+(P$5=Inputs!$C$16+$K$108)*$F$110*$J$110+(P$5=Inputs!$C$17)*$G$110*$H$108*$H$110)</f>
        <v>421.848</v>
      </c>
      <c r="Q113" s="42" t="n">
        <f aca="false">-($D$108+$J$108)*(Q$5=0)+IF(AND(Q$5-$K$108&gt;=1,Q$5-$K$108&lt;=Inputs!$C$13),INDEX($N$111:$AL$111,1,Q$5-$K$108+1)*INDEX($N$112:$AL$112,1,Q$5-$K$108+1),0)-$I$108*((Q$5=Inputs!$C$12)*$C$110*$D$108+(Q$5=Inputs!$C$13)*$D$110*($D$108+Inputs!$C$14))+$I$108*((Q$5=Inputs!$C$15+$K$108)*$E$110*$I$110+(Q$5=Inputs!$C$16+$K$108)*$F$110*$J$110+(Q$5=Inputs!$C$17)*$G$110*$H$108*$H$110)</f>
        <v>351.54</v>
      </c>
      <c r="R113" s="42" t="n">
        <f aca="false">-($D$108+$J$108)*(R$5=0)+IF(AND(R$5-$K$108&gt;=1,R$5-$K$108&lt;=Inputs!$C$13),INDEX($N$111:$AL$111,1,R$5-$K$108+1)*INDEX($N$112:$AL$112,1,R$5-$K$108+1),0)-$I$108*((R$5=Inputs!$C$12)*$C$110*$D$108+(R$5=Inputs!$C$13)*$D$110*($D$108+Inputs!$C$14))+$I$108*((R$5=Inputs!$C$15+$K$108)*$E$110*$I$110+(R$5=Inputs!$C$16+$K$108)*$F$110*$J$110+(R$5=Inputs!$C$17)*$G$110*$H$108*$H$110)</f>
        <v>316.386</v>
      </c>
      <c r="S113" s="42" t="n">
        <f aca="false">-($D$108+$J$108)*(S$5=0)+IF(AND(S$5-$K$108&gt;=1,S$5-$K$108&lt;=Inputs!$C$13),INDEX($N$111:$AL$111,1,S$5-$K$108+1)*INDEX($N$112:$AL$112,1,S$5-$K$108+1),0)-$I$108*((S$5=Inputs!$C$12)*$C$110*$D$108+(S$5=Inputs!$C$13)*$D$110*($D$108+Inputs!$C$14))+$I$108*((S$5=Inputs!$C$15+$K$108)*$E$110*$I$110+(S$5=Inputs!$C$16+$K$108)*$F$110*$J$110+(S$5=Inputs!$C$17)*$G$110*$H$108*$H$110)</f>
        <v>246.078</v>
      </c>
      <c r="T113" s="42" t="n">
        <f aca="false">-($D$108+$J$108)*(T$5=0)+IF(AND(T$5-$K$108&gt;=1,T$5-$K$108&lt;=Inputs!$C$13),INDEX($N$111:$AL$111,1,T$5-$K$108+1)*INDEX($N$112:$AL$112,1,T$5-$K$108+1),0)-$I$108*((T$5=Inputs!$C$12)*$C$110*$D$108+(T$5=Inputs!$C$13)*$D$110*($D$108+Inputs!$C$14))+$I$108*((T$5=Inputs!$C$15+$K$108)*$E$110*$I$110+(T$5=Inputs!$C$16+$K$108)*$F$110*$J$110+(T$5=Inputs!$C$17)*$G$110*$H$108*$H$110)</f>
        <v>246.078</v>
      </c>
      <c r="U113" s="42" t="n">
        <f aca="false">-($D$108+$J$108)*(U$5=0)+IF(AND(U$5-$K$108&gt;=1,U$5-$K$108&lt;=Inputs!$C$13),INDEX($N$111:$AL$111,1,U$5-$K$108+1)*INDEX($N$112:$AL$112,1,U$5-$K$108+1),0)-$I$108*((U$5=Inputs!$C$12)*$C$110*$D$108+(U$5=Inputs!$C$13)*$D$110*($D$108+Inputs!$C$14))+$I$108*((U$5=Inputs!$C$15+$K$108)*$E$110*$I$110+(U$5=Inputs!$C$16+$K$108)*$F$110*$J$110+(U$5=Inputs!$C$17)*$G$110*$H$108*$H$110)</f>
        <v>246.078</v>
      </c>
      <c r="V113" s="42" t="n">
        <f aca="false">-($D$108+$J$108)*(V$5=0)+IF(AND(V$5-$K$108&gt;=1,V$5-$K$108&lt;=Inputs!$C$13),INDEX($N$111:$AL$111,1,V$5-$K$108+1)*INDEX($N$112:$AL$112,1,V$5-$K$108+1),0)-$I$108*((V$5=Inputs!$C$12)*$C$110*$D$108+(V$5=Inputs!$C$13)*$D$110*($D$108+Inputs!$C$14))+$I$108*((V$5=Inputs!$C$15+$K$108)*$E$110*$I$110+(V$5=Inputs!$C$16+$K$108)*$F$110*$J$110+(V$5=Inputs!$C$17)*$G$110*$H$108*$H$110)</f>
        <v>152.334</v>
      </c>
      <c r="W113" s="42" t="n">
        <f aca="false">-($D$108+$J$108)*(W$5=0)+IF(AND(W$5-$K$108&gt;=1,W$5-$K$108&lt;=Inputs!$C$13),INDEX($N$111:$AL$111,1,W$5-$K$108+1)*INDEX($N$112:$AL$112,1,W$5-$K$108+1),0)-$I$108*((W$5=Inputs!$C$12)*$C$110*$D$108+(W$5=Inputs!$C$13)*$D$110*($D$108+Inputs!$C$14))+$I$108*((W$5=Inputs!$C$15+$K$108)*$E$110*$I$110+(W$5=Inputs!$C$16+$K$108)*$F$110*$J$110+(W$5=Inputs!$C$17)*$G$110*$H$108*$H$110)</f>
        <v>152.334</v>
      </c>
      <c r="X113" s="42" t="n">
        <f aca="false">-($D$108+$J$108)*(X$5=0)+IF(AND(X$5-$K$108&gt;=1,X$5-$K$108&lt;=Inputs!$C$13),INDEX($N$111:$AL$111,1,X$5-$K$108+1)*INDEX($N$112:$AL$112,1,X$5-$K$108+1),0)-$I$108*((X$5=Inputs!$C$12)*$C$110*$D$108+(X$5=Inputs!$C$13)*$D$110*($D$108+Inputs!$C$14))+$I$108*((X$5=Inputs!$C$15+$K$108)*$E$110*$I$110+(X$5=Inputs!$C$16+$K$108)*$F$110*$J$110+(X$5=Inputs!$C$17)*$G$110*$H$108*$H$110)</f>
        <v>152.334</v>
      </c>
      <c r="Y113" s="42" t="n">
        <f aca="false">-($D$108+$J$108)*(Y$5=0)+IF(AND(Y$5-$K$108&gt;=1,Y$5-$K$108&lt;=Inputs!$C$13),INDEX($N$111:$AL$111,1,Y$5-$K$108+1)*INDEX($N$112:$AL$112,1,Y$5-$K$108+1),0)-$I$108*((Y$5=Inputs!$C$12)*$C$110*$D$108+(Y$5=Inputs!$C$13)*$D$110*($D$108+Inputs!$C$14))+$I$108*((Y$5=Inputs!$C$15+$K$108)*$E$110*$I$110+(Y$5=Inputs!$C$16+$K$108)*$F$110*$J$110+(Y$5=Inputs!$C$17)*$G$110*$H$108*$H$110)</f>
        <v>128.898</v>
      </c>
      <c r="Z113" s="42" t="n">
        <f aca="false">-($D$108+$J$108)*(Z$5=0)+IF(AND(Z$5-$K$108&gt;=1,Z$5-$K$108&lt;=Inputs!$C$13),INDEX($N$111:$AL$111,1,Z$5-$K$108+1)*INDEX($N$112:$AL$112,1,Z$5-$K$108+1),0)-$I$108*((Z$5=Inputs!$C$12)*$C$110*$D$108+(Z$5=Inputs!$C$13)*$D$110*($D$108+Inputs!$C$14))+$I$108*((Z$5=Inputs!$C$15+$K$108)*$E$110*$I$110+(Z$5=Inputs!$C$16+$K$108)*$F$110*$J$110+(Z$5=Inputs!$C$17)*$G$110*$H$108*$H$110)</f>
        <v>-926.622</v>
      </c>
      <c r="AA113" s="42" t="n">
        <f aca="false">-($D$108+$J$108)*(AA$5=0)+IF(AND(AA$5-$K$108&gt;=1,AA$5-$K$108&lt;=Inputs!$C$13),INDEX($N$111:$AL$111,1,AA$5-$K$108+1)*INDEX($N$112:$AL$112,1,AA$5-$K$108+1),0)-$I$108*((AA$5=Inputs!$C$12)*$C$110*$D$108+(AA$5=Inputs!$C$13)*$D$110*($D$108+Inputs!$C$14))+$I$108*((AA$5=Inputs!$C$15+$K$108)*$E$110*$I$110+(AA$5=Inputs!$C$16+$K$108)*$F$110*$J$110+(AA$5=Inputs!$C$17)*$G$110*$H$108*$H$110)</f>
        <v>128.898</v>
      </c>
      <c r="AB113" s="42" t="n">
        <f aca="false">-($D$108+$J$108)*(AB$5=0)+IF(AND(AB$5-$K$108&gt;=1,AB$5-$K$108&lt;=Inputs!$C$13),INDEX($N$111:$AL$111,1,AB$5-$K$108+1)*INDEX($N$112:$AL$112,1,AB$5-$K$108+1),0)-$I$108*((AB$5=Inputs!$C$12)*$C$110*$D$108+(AB$5=Inputs!$C$13)*$D$110*($D$108+Inputs!$C$14))+$I$108*((AB$5=Inputs!$C$15+$K$108)*$E$110*$I$110+(AB$5=Inputs!$C$16+$K$108)*$F$110*$J$110+(AB$5=Inputs!$C$17)*$G$110*$H$108*$H$110)</f>
        <v>161.3178</v>
      </c>
      <c r="AC113" s="42" t="n">
        <f aca="false">-($D$108+$J$108)*(AC$5=0)+IF(AND(AC$5-$K$108&gt;=1,AC$5-$K$108&lt;=Inputs!$C$13),INDEX($N$111:$AL$111,1,AC$5-$K$108+1)*INDEX($N$112:$AL$112,1,AC$5-$K$108+1),0)-$I$108*((AC$5=Inputs!$C$12)*$C$110*$D$108+(AC$5=Inputs!$C$13)*$D$110*($D$108+Inputs!$C$14))+$I$108*((AC$5=Inputs!$C$15+$K$108)*$E$110*$I$110+(AC$5=Inputs!$C$16+$K$108)*$F$110*$J$110+(AC$5=Inputs!$C$17)*$G$110*$H$108*$H$110)</f>
        <v>162.4896</v>
      </c>
      <c r="AD113" s="42" t="n">
        <f aca="false">-($D$108+$J$108)*(AD$5=0)+IF(AND(AD$5-$K$108&gt;=1,AD$5-$K$108&lt;=Inputs!$C$13),INDEX($N$111:$AL$111,1,AD$5-$K$108+1)*INDEX($N$112:$AL$112,1,AD$5-$K$108+1),0)-$I$108*((AD$5=Inputs!$C$12)*$C$110*$D$108+(AD$5=Inputs!$C$13)*$D$110*($D$108+Inputs!$C$14))+$I$108*((AD$5=Inputs!$C$15+$K$108)*$E$110*$I$110+(AD$5=Inputs!$C$16+$K$108)*$F$110*$J$110+(AD$5=Inputs!$C$17)*$G$110*$H$108*$H$110)</f>
        <v>163.661400000001</v>
      </c>
      <c r="AE113" s="42" t="n">
        <f aca="false">-($D$108+$J$108)*(AE$5=0)+IF(AND(AE$5-$K$108&gt;=1,AE$5-$K$108&lt;=Inputs!$C$13),INDEX($N$111:$AL$111,1,AE$5-$K$108+1)*INDEX($N$112:$AL$112,1,AE$5-$K$108+1),0)-$I$108*((AE$5=Inputs!$C$12)*$C$110*$D$108+(AE$5=Inputs!$C$13)*$D$110*($D$108+Inputs!$C$14))+$I$108*((AE$5=Inputs!$C$15+$K$108)*$E$110*$I$110+(AE$5=Inputs!$C$16+$K$108)*$F$110*$J$110+(AE$5=Inputs!$C$17)*$G$110*$H$108*$H$110)</f>
        <v>164.8332</v>
      </c>
      <c r="AF113" s="42" t="n">
        <f aca="false">-($D$108+$J$108)*(AF$5=0)+IF(AND(AF$5-$K$108&gt;=1,AF$5-$K$108&lt;=Inputs!$C$13),INDEX($N$111:$AL$111,1,AF$5-$K$108+1)*INDEX($N$112:$AL$112,1,AF$5-$K$108+1),0)-$I$108*((AF$5=Inputs!$C$12)*$C$110*$D$108+(AF$5=Inputs!$C$13)*$D$110*($D$108+Inputs!$C$14))+$I$108*((AF$5=Inputs!$C$15+$K$108)*$E$110*$I$110+(AF$5=Inputs!$C$16+$K$108)*$F$110*$J$110+(AF$5=Inputs!$C$17)*$G$110*$H$108*$H$110)</f>
        <v>166.005</v>
      </c>
      <c r="AG113" s="42" t="n">
        <f aca="false">-($D$108+$J$108)*(AG$5=0)+IF(AND(AG$5-$K$108&gt;=1,AG$5-$K$108&lt;=Inputs!$C$13),INDEX($N$111:$AL$111,1,AG$5-$K$108+1)*INDEX($N$112:$AL$112,1,AG$5-$K$108+1),0)-$I$108*((AG$5=Inputs!$C$12)*$C$110*$D$108+(AG$5=Inputs!$C$13)*$D$110*($D$108+Inputs!$C$14))+$I$108*((AG$5=Inputs!$C$15+$K$108)*$E$110*$I$110+(AG$5=Inputs!$C$16+$K$108)*$F$110*$J$110+(AG$5=Inputs!$C$17)*$G$110*$H$108*$H$110)</f>
        <v>167.3721</v>
      </c>
      <c r="AH113" s="42" t="n">
        <f aca="false">-($D$108+$J$108)*(AH$5=0)+IF(AND(AH$5-$K$108&gt;=1,AH$5-$K$108&lt;=Inputs!$C$13),INDEX($N$111:$AL$111,1,AH$5-$K$108+1)*INDEX($N$112:$AL$112,1,AH$5-$K$108+1),0)-$I$108*((AH$5=Inputs!$C$12)*$C$110*$D$108+(AH$5=Inputs!$C$13)*$D$110*($D$108+Inputs!$C$14))+$I$108*((AH$5=Inputs!$C$15+$K$108)*$E$110*$I$110+(AH$5=Inputs!$C$16+$K$108)*$F$110*$J$110+(AH$5=Inputs!$C$17)*$G$110*$H$108*$H$110)</f>
        <v>120.55125</v>
      </c>
      <c r="AI113" s="42" t="n">
        <f aca="false">-($D$108+$J$108)*(AI$5=0)+IF(AND(AI$5-$K$108&gt;=1,AI$5-$K$108&lt;=Inputs!$C$13),INDEX($N$111:$AL$111,1,AI$5-$K$108+1)*INDEX($N$112:$AL$112,1,AI$5-$K$108+1),0)-$I$108*((AI$5=Inputs!$C$12)*$C$110*$D$108+(AI$5=Inputs!$C$13)*$D$110*($D$108+Inputs!$C$14))+$I$108*((AI$5=Inputs!$C$15+$K$108)*$E$110*$I$110+(AI$5=Inputs!$C$16+$K$108)*$F$110*$J$110+(AI$5=Inputs!$C$17)*$G$110*$H$108*$H$110)</f>
        <v>121.551</v>
      </c>
      <c r="AJ113" s="42" t="n">
        <f aca="false">-($D$108+$J$108)*(AJ$5=0)+IF(AND(AJ$5-$K$108&gt;=1,AJ$5-$K$108&lt;=Inputs!$C$13),INDEX($N$111:$AL$111,1,AJ$5-$K$108+1)*INDEX($N$112:$AL$112,1,AJ$5-$K$108+1),0)-$I$108*((AJ$5=Inputs!$C$12)*$C$110*$D$108+(AJ$5=Inputs!$C$13)*$D$110*($D$108+Inputs!$C$14))+$I$108*((AJ$5=Inputs!$C$15+$K$108)*$E$110*$I$110+(AJ$5=Inputs!$C$16+$K$108)*$F$110*$J$110+(AJ$5=Inputs!$C$17)*$G$110*$H$108*$H$110)</f>
        <v>122.55075</v>
      </c>
      <c r="AK113" s="42" t="n">
        <f aca="false">-($D$108+$J$108)*(AK$5=0)+IF(AND(AK$5-$K$108&gt;=1,AK$5-$K$108&lt;=Inputs!$C$13),INDEX($N$111:$AL$111,1,AK$5-$K$108+1)*INDEX($N$112:$AL$112,1,AK$5-$K$108+1),0)-$I$108*((AK$5=Inputs!$C$12)*$C$110*$D$108+(AK$5=Inputs!$C$13)*$D$110*($D$108+Inputs!$C$14))+$I$108*((AK$5=Inputs!$C$15+$K$108)*$E$110*$I$110+(AK$5=Inputs!$C$16+$K$108)*$F$110*$J$110+(AK$5=Inputs!$C$17)*$G$110*$H$108*$H$110)</f>
        <v>123.5505</v>
      </c>
      <c r="AL113" s="42" t="n">
        <f aca="false">-($D$108+$J$108)*(AL$5=0)+IF(AND(AL$5-$K$108&gt;=1,AL$5-$K$108&lt;=Inputs!$C$13),INDEX($N$111:$AL$111,1,AL$5-$K$108+1)*INDEX($N$112:$AL$112,1,AL$5-$K$108+1),0)-$I$108*((AL$5=Inputs!$C$12)*$C$110*$D$108+(AL$5=Inputs!$C$13)*$D$110*($D$108+Inputs!$C$14))+$I$108*((AL$5=Inputs!$C$15+$K$108)*$E$110*$I$110+(AL$5=Inputs!$C$16+$K$108)*$F$110*$J$110+(AL$5=Inputs!$C$17)*$G$110*$H$108*$H$110)</f>
        <v>-253.449749999999</v>
      </c>
      <c r="AM113" s="42" t="n">
        <f aca="false">-($D$108+$J$108)*(AM$5=0)+IF(AND(AM$5-$K$108&gt;=1,AM$5-$K$108&lt;=Inputs!$C$13),INDEX($N$111:$AL$111,1,AM$5-$K$108+1)*INDEX($N$112:$AL$112,1,AM$5-$K$108+1),0)-$I$108*((AM$5=Inputs!$C$12)*$C$110*$D$108+(AM$5=Inputs!$C$13)*$D$110*($D$108+Inputs!$C$14))+$I$108*((AM$5=Inputs!$C$15+$K$108)*$E$110*$I$110+(AM$5=Inputs!$C$16+$K$108)*$F$110*$J$110+(AM$5=Inputs!$C$17)*$G$110*$H$108*$H$110)</f>
        <v>125.55</v>
      </c>
      <c r="AN113" s="42" t="n">
        <f aca="false">-($D$108+$J$108)*(AN$5=0)+IF(AND(AN$5-$K$108&gt;=1,AN$5-$K$108&lt;=Inputs!$C$13),INDEX($N$111:$AL$111,1,AN$5-$K$108+1)*INDEX($N$112:$AL$112,1,AN$5-$K$108+1),0)-$I$108*((AN$5=Inputs!$C$12)*$C$110*$D$108+(AN$5=Inputs!$C$13)*$D$110*($D$108+Inputs!$C$14))+$I$108*((AN$5=Inputs!$C$15+$K$108)*$E$110*$I$110+(AN$5=Inputs!$C$16+$K$108)*$F$110*$J$110+(AN$5=Inputs!$C$17)*$G$110*$H$108*$H$110)</f>
        <v>0</v>
      </c>
      <c r="AO113" s="42" t="n">
        <f aca="false">-($D$108+$J$108)*(AO$5=0)+IF(AND(AO$5-$K$108&gt;=1,AO$5-$K$108&lt;=Inputs!$C$13),INDEX($N$111:$AL$111,1,AO$5-$K$108+1)*INDEX($N$112:$AL$112,1,AO$5-$K$108+1),0)-$I$108*((AO$5=Inputs!$C$12)*$C$110*$D$108+(AO$5=Inputs!$C$13)*$D$110*($D$108+Inputs!$C$14))+$I$108*((AO$5=Inputs!$C$15+$K$108)*$E$110*$I$110+(AO$5=Inputs!$C$16+$K$108)*$F$110*$J$110+(AO$5=Inputs!$C$17)*$G$110*$H$108*$H$110)</f>
        <v>0</v>
      </c>
      <c r="AP113" s="42" t="n">
        <f aca="false">-($D$108+$J$108)*(AP$5=0)+IF(AND(AP$5-$K$108&gt;=1,AP$5-$K$108&lt;=Inputs!$C$13),INDEX($N$111:$AL$111,1,AP$5-$K$108+1)*INDEX($N$112:$AL$112,1,AP$5-$K$108+1),0)-$I$108*((AP$5=Inputs!$C$12)*$C$110*$D$108+(AP$5=Inputs!$C$13)*$D$110*($D$108+Inputs!$C$14))+$I$108*((AP$5=Inputs!$C$15+$K$108)*$E$110*$I$110+(AP$5=Inputs!$C$16+$K$108)*$F$110*$J$110+(AP$5=Inputs!$C$17)*$G$110*$H$108*$H$110)</f>
        <v>581.931</v>
      </c>
      <c r="AQ113" s="42" t="n">
        <f aca="false">-($D$108+$J$108)*(AQ$5=0)+IF(AND(AQ$5-$K$108&gt;=1,AQ$5-$K$108&lt;=Inputs!$C$13),INDEX($N$111:$AL$111,1,AQ$5-$K$108+1)*INDEX($N$112:$AL$112,1,AQ$5-$K$108+1),0)-$I$108*((AQ$5=Inputs!$C$12)*$C$110*$D$108+(AQ$5=Inputs!$C$13)*$D$110*($D$108+Inputs!$C$14))+$I$108*((AQ$5=Inputs!$C$15+$K$108)*$E$110*$I$110+(AQ$5=Inputs!$C$16+$K$108)*$F$110*$J$110+(AQ$5=Inputs!$C$17)*$G$110*$H$108*$H$110)</f>
        <v>0</v>
      </c>
      <c r="AR113" s="42" t="n">
        <f aca="false">-($D$108+$J$108)*(AR$5=0)+IF(AND(AR$5-$K$108&gt;=1,AR$5-$K$108&lt;=Inputs!$C$13),INDEX($N$111:$AL$111,1,AR$5-$K$108+1)*INDEX($N$112:$AL$112,1,AR$5-$K$108+1),0)-$I$108*((AR$5=Inputs!$C$12)*$C$110*$D$108+(AR$5=Inputs!$C$13)*$D$110*($D$108+Inputs!$C$14))+$I$108*((AR$5=Inputs!$C$15+$K$108)*$E$110*$I$110+(AR$5=Inputs!$C$16+$K$108)*$F$110*$J$110+(AR$5=Inputs!$C$17)*$G$110*$H$108*$H$110)</f>
        <v>0</v>
      </c>
      <c r="AS113" s="42" t="n">
        <f aca="false">-($D$108+$J$108)*(AS$5=0)+IF(AND(AS$5-$K$108&gt;=1,AS$5-$K$108&lt;=Inputs!$C$13),INDEX($N$111:$AL$111,1,AS$5-$K$108+1)*INDEX($N$112:$AL$112,1,AS$5-$K$108+1),0)-$I$108*((AS$5=Inputs!$C$12)*$C$110*$D$108+(AS$5=Inputs!$C$13)*$D$110*($D$108+Inputs!$C$14))+$I$108*((AS$5=Inputs!$C$15+$K$108)*$E$110*$I$110+(AS$5=Inputs!$C$16+$K$108)*$F$110*$J$110+(AS$5=Inputs!$C$17)*$G$110*$H$108*$H$110)</f>
        <v>338.2218</v>
      </c>
      <c r="AT113" s="42" t="n">
        <f aca="false">-($D$108+$J$108)*(AT$5=0)+IF(AND(AT$5-$K$108&gt;=1,AT$5-$K$108&lt;=Inputs!$C$13),INDEX($N$111:$AL$111,1,AT$5-$K$108+1)*INDEX($N$112:$AL$112,1,AT$5-$K$108+1),0)-$I$108*((AT$5=Inputs!$C$12)*$C$110*$D$108+(AT$5=Inputs!$C$13)*$D$110*($D$108+Inputs!$C$14))+$I$108*((AT$5=Inputs!$C$15+$K$108)*$E$110*$I$110+(AT$5=Inputs!$C$16+$K$108)*$F$110*$J$110+(AT$5=Inputs!$C$17)*$G$110*$H$108*$H$110)</f>
        <v>0</v>
      </c>
      <c r="AU113" s="42" t="n">
        <f aca="false">-($D$108+$J$108)*(AU$5=0)+IF(AND(AU$5-$K$108&gt;=1,AU$5-$K$108&lt;=Inputs!$C$13),INDEX($N$111:$AL$111,1,AU$5-$K$108+1)*INDEX($N$112:$AL$112,1,AU$5-$K$108+1),0)-$I$108*((AU$5=Inputs!$C$12)*$C$110*$D$108+(AU$5=Inputs!$C$13)*$D$110*($D$108+Inputs!$C$14))+$I$108*((AU$5=Inputs!$C$15+$K$108)*$E$110*$I$110+(AU$5=Inputs!$C$16+$K$108)*$F$110*$J$110+(AU$5=Inputs!$C$17)*$G$110*$H$108*$H$110)</f>
        <v>0</v>
      </c>
      <c r="AV113" s="42" t="n">
        <f aca="false">-($D$108+$J$108)*(AV$5=0)+IF(AND(AV$5-$K$108&gt;=1,AV$5-$K$108&lt;=Inputs!$C$13),INDEX($N$111:$AL$111,1,AV$5-$K$108+1)*INDEX($N$112:$AL$112,1,AV$5-$K$108+1),0)-$I$108*((AV$5=Inputs!$C$12)*$C$110*$D$108+(AV$5=Inputs!$C$13)*$D$110*($D$108+Inputs!$C$14))+$I$108*((AV$5=Inputs!$C$15+$K$108)*$E$110*$I$110+(AV$5=Inputs!$C$16+$K$108)*$F$110*$J$110+(AV$5=Inputs!$C$17)*$G$110*$H$108*$H$110)</f>
        <v>0</v>
      </c>
      <c r="AW113" s="42" t="n">
        <f aca="false">-($D$108+$J$108)*(AW$5=0)+IF(AND(AW$5-$K$108&gt;=1,AW$5-$K$108&lt;=Inputs!$C$13),INDEX($N$111:$AL$111,1,AW$5-$K$108+1)*INDEX($N$112:$AL$112,1,AW$5-$K$108+1),0)-$I$108*((AW$5=Inputs!$C$12)*$C$110*$D$108+(AW$5=Inputs!$C$13)*$D$110*($D$108+Inputs!$C$14))+$I$108*((AW$5=Inputs!$C$15+$K$108)*$E$110*$I$110+(AW$5=Inputs!$C$16+$K$108)*$F$110*$J$110+(AW$5=Inputs!$C$17)*$G$110*$H$108*$H$110)</f>
        <v>0</v>
      </c>
      <c r="AX113" s="42" t="n">
        <f aca="false">-($D$108+$J$108)*(AX$5=0)+IF(AND(AX$5-$K$108&gt;=1,AX$5-$K$108&lt;=Inputs!$C$13),INDEX($N$111:$AL$111,1,AX$5-$K$108+1)*INDEX($N$112:$AL$112,1,AX$5-$K$108+1),0)-$I$108*((AX$5=Inputs!$C$12)*$C$110*$D$108+(AX$5=Inputs!$C$13)*$D$110*($D$108+Inputs!$C$14))+$I$108*((AX$5=Inputs!$C$15+$K$108)*$E$110*$I$110+(AX$5=Inputs!$C$16+$K$108)*$F$110*$J$110+(AX$5=Inputs!$C$17)*$G$110*$H$108*$H$110)</f>
        <v>47.628</v>
      </c>
      <c r="AY113" s="42" t="n">
        <f aca="false">-($D$108+$J$108)*(AY$5=0)+IF(AND(AY$5-$K$108&gt;=1,AY$5-$K$108&lt;=Inputs!$C$13),INDEX($N$111:$AL$111,1,AY$5-$K$108+1)*INDEX($N$112:$AL$112,1,AY$5-$K$108+1),0)-$I$108*((AY$5=Inputs!$C$12)*$C$110*$D$108+(AY$5=Inputs!$C$13)*$D$110*($D$108+Inputs!$C$14))+$I$108*((AY$5=Inputs!$C$15+$K$108)*$E$110*$I$110+(AY$5=Inputs!$C$16+$K$108)*$F$110*$J$110+(AY$5=Inputs!$C$17)*$G$110*$H$108*$H$110)</f>
        <v>0</v>
      </c>
    </row>
    <row r="115" customFormat="false" ht="15" hidden="false" customHeight="false" outlineLevel="0" collapsed="false">
      <c r="B115" s="7" t="s">
        <v>253</v>
      </c>
      <c r="C115" s="8"/>
      <c r="D115" s="8"/>
      <c r="E115" s="8"/>
      <c r="F115" s="8"/>
      <c r="G115" s="8"/>
      <c r="H115" s="8"/>
      <c r="I115" s="8"/>
      <c r="J115" s="8"/>
      <c r="K115" s="8"/>
      <c r="L115" s="8"/>
    </row>
    <row r="116" customFormat="false" ht="30" hidden="false" customHeight="true" outlineLevel="0" collapsed="false">
      <c r="B116" s="37"/>
      <c r="C116" s="38" t="s">
        <v>169</v>
      </c>
      <c r="D116" s="38" t="s">
        <v>170</v>
      </c>
      <c r="E116" s="38" t="s">
        <v>171</v>
      </c>
      <c r="F116" s="38" t="s">
        <v>43</v>
      </c>
      <c r="G116" s="38" t="s">
        <v>44</v>
      </c>
      <c r="H116" s="38" t="s">
        <v>45</v>
      </c>
      <c r="I116" s="38" t="s">
        <v>172</v>
      </c>
      <c r="J116" s="38" t="s">
        <v>90</v>
      </c>
      <c r="K116" s="38" t="s">
        <v>89</v>
      </c>
      <c r="L116" s="38" t="s">
        <v>173</v>
      </c>
    </row>
    <row r="117" customFormat="false" ht="15" hidden="false" customHeight="false" outlineLevel="0" collapsed="false">
      <c r="B117" s="39" t="s">
        <v>174</v>
      </c>
      <c r="C117" s="26" t="n">
        <f aca="false">Inputs!$F$41*Inputs!$E$57</f>
        <v>0.045</v>
      </c>
      <c r="D117" s="30" t="n">
        <f aca="false">Inputs!$E$41</f>
        <v>9500</v>
      </c>
      <c r="E117" s="26" t="n">
        <f aca="false">IF(Inputs!$G$41=1,Inputs!$F$27,MIN(1,MAX(0,INDEX(Inputs!$F$23:$F$27,MATCH(Inputs!$C$41,Inputs!$B$23:$B$27,0))+INDEX(Inputs!$C$48:$C$51,MATCH(Inputs!$D$57,Inputs!$B$48:$B$51,0)))))</f>
        <v>0.9</v>
      </c>
      <c r="F117" s="25" t="n">
        <f aca="false">IF(Inputs!$G$41=1,Inputs!$G$27,INDEX(Inputs!$G$23:$G$27,MATCH(Inputs!$C$41,Inputs!$B$23:$B$27,0)))</f>
        <v>0.6</v>
      </c>
      <c r="G117" s="25" t="n">
        <f aca="false">IF(Inputs!$G$41=1,Inputs!$H$27,INDEX(Inputs!$H$23:$H$27,MATCH(Inputs!$C$41,Inputs!$B$23:$B$27,0)))*INDEX(Inputs!$D$48:$D$51,MATCH(Inputs!$D$57,Inputs!$B$48:$B$51,0))</f>
        <v>0.8</v>
      </c>
      <c r="H117" s="25" t="n">
        <f aca="false">MAX(0,IF(Inputs!$G$41=1,Inputs!$I$27,INDEX(Inputs!$I$23:$I$27,MATCH(Inputs!$C$41,Inputs!$B$23:$B$27,0)))+INDEX(Inputs!$E$48:$E$51,MATCH(Inputs!$D$57,Inputs!$B$48:$B$51,0)))</f>
        <v>0.9</v>
      </c>
      <c r="I117" s="22" t="n">
        <f aca="false">IF(Inputs!$G$41=1,0,INDEX(Inputs!$J$23:$J$27,MATCH(Inputs!$C$41,Inputs!$B$23:$B$27,0)))</f>
        <v>1</v>
      </c>
      <c r="J117" s="23" t="n">
        <f aca="false">Inputs!$G$57</f>
        <v>10</v>
      </c>
      <c r="K117" s="22" t="n">
        <f aca="false">Inputs!$F$57</f>
        <v>1</v>
      </c>
      <c r="L117" s="22" t="n">
        <f aca="false">Inputs!$C$57</f>
        <v>1</v>
      </c>
    </row>
    <row r="118" customFormat="false" ht="30" hidden="false" customHeight="true" outlineLevel="0" collapsed="false">
      <c r="B118" s="37"/>
      <c r="C118" s="38" t="s">
        <v>175</v>
      </c>
      <c r="D118" s="38" t="s">
        <v>176</v>
      </c>
      <c r="E118" s="38" t="s">
        <v>177</v>
      </c>
      <c r="F118" s="38" t="s">
        <v>178</v>
      </c>
      <c r="G118" s="38" t="s">
        <v>112</v>
      </c>
      <c r="H118" s="38" t="s">
        <v>179</v>
      </c>
      <c r="I118" s="38" t="s">
        <v>180</v>
      </c>
      <c r="J118" s="38" t="s">
        <v>181</v>
      </c>
      <c r="K118" s="38" t="s">
        <v>182</v>
      </c>
      <c r="L118" s="38" t="s">
        <v>183</v>
      </c>
    </row>
    <row r="119" customFormat="false" ht="15" hidden="false" customHeight="false" outlineLevel="0" collapsed="false">
      <c r="B119" s="39" t="s">
        <v>184</v>
      </c>
      <c r="C119" s="40" t="n">
        <f aca="false">1-$E$117*CHOOSE($L$117,INDEX(Timing!$C$7:$AA$7,1,Inputs!$C$12+1),INDEX(Timing!$C$8:$AA$8,1,Inputs!$C$12+1))</f>
        <v>0.316</v>
      </c>
      <c r="D119" s="40" t="n">
        <f aca="false">1-$E$117*CHOOSE($L$117,INDEX(Timing!$C$7:$AA$7,1,Inputs!$C$13+1),INDEX(Timing!$C$8:$AA$8,1,Inputs!$C$13+1))</f>
        <v>0.1</v>
      </c>
      <c r="E119" s="40" t="n">
        <f aca="false">$I$117*$D$119*$F$117</f>
        <v>0.06</v>
      </c>
      <c r="F119" s="40" t="n">
        <f aca="false">$I$117*($D$119-$E$119)*$G$117</f>
        <v>0.032</v>
      </c>
      <c r="G119" s="40" t="n">
        <f aca="false">$I$117*($D$119-$E$119-$F$119)</f>
        <v>0.008</v>
      </c>
      <c r="H119" s="23" t="n">
        <f aca="false">$I$117*(3*$D$117+Inputs!$C$14)</f>
        <v>30300</v>
      </c>
      <c r="I119" s="23" t="n">
        <f aca="false">$I$117*($D$117*(1+IF($C$117&lt;=0,0,MAX($C$117*Inputs!$C$15/12,Inputs!$C$8)))+$D$117*(1+Inputs!$C$11*(Inputs!$C$15-Inputs!$C$12)/12)+$D$117*(1+Inputs!$C$11*(Inputs!$C$15-Inputs!$C$13)/12)+Inputs!$C$14)</f>
        <v>33826.875</v>
      </c>
      <c r="J119" s="23" t="n">
        <f aca="false">$I$117*($D$117*(1+IF($C$117&lt;=0,0,MAX($C$117*Inputs!$C$16/12,Inputs!$C$8)))+$D$117*(1+Inputs!$C$11*(Inputs!$C$16-Inputs!$C$12)/12)+$D$117*(1+Inputs!$C$11*(Inputs!$C$16-Inputs!$C$13)/12)+Inputs!$C$14)</f>
        <v>34788.75</v>
      </c>
      <c r="K119" s="40" t="n">
        <f aca="false">IRR($N$122:$AY$122,0.005)</f>
        <v>0.00645613203098003</v>
      </c>
      <c r="L119" s="41" t="n">
        <f aca="false">(1+$K$119)^12-1</f>
        <v>0.0802846440870781</v>
      </c>
    </row>
    <row r="120" customFormat="false" ht="15" hidden="false" customHeight="false" outlineLevel="0" collapsed="false">
      <c r="B120" s="9" t="s">
        <v>185</v>
      </c>
      <c r="N120" s="40" t="n">
        <f aca="false">0</f>
        <v>0</v>
      </c>
      <c r="O120" s="40" t="n">
        <f aca="false">$E$117*(CHOOSE($L$117,Timing!D$7,Timing!D$8)-CHOOSE($L$117,Timing!C$7,Timing!C$8))</f>
        <v>0.108</v>
      </c>
      <c r="P120" s="40" t="n">
        <f aca="false">$E$117*(CHOOSE($L$117,Timing!E$7,Timing!E$8)-CHOOSE($L$117,Timing!D$7,Timing!D$8))</f>
        <v>0.09</v>
      </c>
      <c r="Q120" s="40" t="n">
        <f aca="false">$E$117*(CHOOSE($L$117,Timing!F$7,Timing!F$8)-CHOOSE($L$117,Timing!E$7,Timing!E$8))</f>
        <v>0.081</v>
      </c>
      <c r="R120" s="40" t="n">
        <f aca="false">$E$117*(CHOOSE($L$117,Timing!G$7,Timing!G$8)-CHOOSE($L$117,Timing!F$7,Timing!F$8))</f>
        <v>0.063</v>
      </c>
      <c r="S120" s="40" t="n">
        <f aca="false">$E$117*(CHOOSE($L$117,Timing!H$7,Timing!H$8)-CHOOSE($L$117,Timing!G$7,Timing!G$8))</f>
        <v>0.063</v>
      </c>
      <c r="T120" s="40" t="n">
        <f aca="false">$E$117*(CHOOSE($L$117,Timing!I$7,Timing!I$8)-CHOOSE($L$117,Timing!H$7,Timing!H$8))</f>
        <v>0.063</v>
      </c>
      <c r="U120" s="40" t="n">
        <f aca="false">$E$117*(CHOOSE($L$117,Timing!J$7,Timing!J$8)-CHOOSE($L$117,Timing!I$7,Timing!I$8))</f>
        <v>0.039</v>
      </c>
      <c r="V120" s="40" t="n">
        <f aca="false">$E$117*(CHOOSE($L$117,Timing!K$7,Timing!K$8)-CHOOSE($L$117,Timing!J$7,Timing!J$8))</f>
        <v>0.039</v>
      </c>
      <c r="W120" s="40" t="n">
        <f aca="false">$E$117*(CHOOSE($L$117,Timing!L$7,Timing!L$8)-CHOOSE($L$117,Timing!K$7,Timing!K$8))</f>
        <v>0.039</v>
      </c>
      <c r="X120" s="40" t="n">
        <f aca="false">$E$117*(CHOOSE($L$117,Timing!M$7,Timing!M$8)-CHOOSE($L$117,Timing!L$7,Timing!L$8))</f>
        <v>0.033</v>
      </c>
      <c r="Y120" s="40" t="n">
        <f aca="false">$E$117*(CHOOSE($L$117,Timing!N$7,Timing!N$8)-CHOOSE($L$117,Timing!M$7,Timing!M$8))</f>
        <v>0.0330000000000001</v>
      </c>
      <c r="Z120" s="40" t="n">
        <f aca="false">$E$117*(CHOOSE($L$117,Timing!O$7,Timing!O$8)-CHOOSE($L$117,Timing!N$7,Timing!N$8))</f>
        <v>0.033</v>
      </c>
      <c r="AA120" s="40" t="n">
        <f aca="false">$E$117*(CHOOSE($L$117,Timing!P$7,Timing!P$8)-CHOOSE($L$117,Timing!O$7,Timing!O$8))</f>
        <v>0.021</v>
      </c>
      <c r="AB120" s="40" t="n">
        <f aca="false">$E$117*(CHOOSE($L$117,Timing!Q$7,Timing!Q$8)-CHOOSE($L$117,Timing!P$7,Timing!P$8))</f>
        <v>0.021</v>
      </c>
      <c r="AC120" s="40" t="n">
        <f aca="false">$E$117*(CHOOSE($L$117,Timing!R$7,Timing!R$8)-CHOOSE($L$117,Timing!Q$7,Timing!Q$8))</f>
        <v>0.0210000000000001</v>
      </c>
      <c r="AD120" s="40" t="n">
        <f aca="false">$E$117*(CHOOSE($L$117,Timing!S$7,Timing!S$8)-CHOOSE($L$117,Timing!R$7,Timing!R$8))</f>
        <v>0.021</v>
      </c>
      <c r="AE120" s="40" t="n">
        <f aca="false">$E$117*(CHOOSE($L$117,Timing!T$7,Timing!T$8)-CHOOSE($L$117,Timing!S$7,Timing!S$8))</f>
        <v>0.021</v>
      </c>
      <c r="AF120" s="40" t="n">
        <f aca="false">$E$117*(CHOOSE($L$117,Timing!U$7,Timing!U$8)-CHOOSE($L$117,Timing!T$7,Timing!T$8))</f>
        <v>0.021</v>
      </c>
      <c r="AG120" s="40" t="n">
        <f aca="false">$E$117*(CHOOSE($L$117,Timing!V$7,Timing!V$8)-CHOOSE($L$117,Timing!U$7,Timing!U$8))</f>
        <v>0.015</v>
      </c>
      <c r="AH120" s="40" t="n">
        <f aca="false">$E$117*(CHOOSE($L$117,Timing!W$7,Timing!W$8)-CHOOSE($L$117,Timing!V$7,Timing!V$8))</f>
        <v>0.0149999999999999</v>
      </c>
      <c r="AI120" s="40" t="n">
        <f aca="false">$E$117*(CHOOSE($L$117,Timing!X$7,Timing!X$8)-CHOOSE($L$117,Timing!W$7,Timing!W$8))</f>
        <v>0.0149999999999999</v>
      </c>
      <c r="AJ120" s="40" t="n">
        <f aca="false">$E$117*(CHOOSE($L$117,Timing!Y$7,Timing!Y$8)-CHOOSE($L$117,Timing!X$7,Timing!X$8))</f>
        <v>0.015</v>
      </c>
      <c r="AK120" s="40" t="n">
        <f aca="false">$E$117*(CHOOSE($L$117,Timing!Z$7,Timing!Z$8)-CHOOSE($L$117,Timing!Y$7,Timing!Y$8))</f>
        <v>0.015</v>
      </c>
      <c r="AL120" s="40" t="n">
        <f aca="false">$E$117*(CHOOSE($L$117,Timing!AA$7,Timing!AA$8)-CHOOSE($L$117,Timing!Z$7,Timing!Z$8))</f>
        <v>0.0149999999999999</v>
      </c>
    </row>
    <row r="121" customFormat="false" ht="15" hidden="false" customHeight="false" outlineLevel="0" collapsed="false">
      <c r="B121" s="9" t="s">
        <v>186</v>
      </c>
      <c r="N121" s="42" t="n">
        <f aca="false">0</f>
        <v>0</v>
      </c>
      <c r="O121" s="42" t="n">
        <f aca="false">$D$117*(1+IF($C$117&lt;=0,0,MAX($C$117*O$5/12,Inputs!$C$8)))+$I$117*(O$5&gt;Inputs!$C$12)*$D$117*(1+Inputs!$C$11*(O$5-Inputs!$C$12)/12)</f>
        <v>9975</v>
      </c>
      <c r="P121" s="42" t="n">
        <f aca="false">$D$117*(1+IF($C$117&lt;=0,0,MAX($C$117*P$5/12,Inputs!$C$8)))+$I$117*(P$5&gt;Inputs!$C$12)*$D$117*(1+Inputs!$C$11*(P$5-Inputs!$C$12)/12)</f>
        <v>9975</v>
      </c>
      <c r="Q121" s="42" t="n">
        <f aca="false">$D$117*(1+IF($C$117&lt;=0,0,MAX($C$117*Q$5/12,Inputs!$C$8)))+$I$117*(Q$5&gt;Inputs!$C$12)*$D$117*(1+Inputs!$C$11*(Q$5-Inputs!$C$12)/12)</f>
        <v>9975</v>
      </c>
      <c r="R121" s="42" t="n">
        <f aca="false">$D$117*(1+IF($C$117&lt;=0,0,MAX($C$117*R$5/12,Inputs!$C$8)))+$I$117*(R$5&gt;Inputs!$C$12)*$D$117*(1+Inputs!$C$11*(R$5-Inputs!$C$12)/12)</f>
        <v>9975</v>
      </c>
      <c r="S121" s="42" t="n">
        <f aca="false">$D$117*(1+IF($C$117&lt;=0,0,MAX($C$117*S$5/12,Inputs!$C$8)))+$I$117*(S$5&gt;Inputs!$C$12)*$D$117*(1+Inputs!$C$11*(S$5-Inputs!$C$12)/12)</f>
        <v>9975</v>
      </c>
      <c r="T121" s="42" t="n">
        <f aca="false">$D$117*(1+IF($C$117&lt;=0,0,MAX($C$117*T$5/12,Inputs!$C$8)))+$I$117*(T$5&gt;Inputs!$C$12)*$D$117*(1+Inputs!$C$11*(T$5-Inputs!$C$12)/12)</f>
        <v>9975</v>
      </c>
      <c r="U121" s="42" t="n">
        <f aca="false">$D$117*(1+IF($C$117&lt;=0,0,MAX($C$117*U$5/12,Inputs!$C$8)))+$I$117*(U$5&gt;Inputs!$C$12)*$D$117*(1+Inputs!$C$11*(U$5-Inputs!$C$12)/12)</f>
        <v>9975</v>
      </c>
      <c r="V121" s="42" t="n">
        <f aca="false">$D$117*(1+IF($C$117&lt;=0,0,MAX($C$117*V$5/12,Inputs!$C$8)))+$I$117*(V$5&gt;Inputs!$C$12)*$D$117*(1+Inputs!$C$11*(V$5-Inputs!$C$12)/12)</f>
        <v>9975</v>
      </c>
      <c r="W121" s="42" t="n">
        <f aca="false">$D$117*(1+IF($C$117&lt;=0,0,MAX($C$117*W$5/12,Inputs!$C$8)))+$I$117*(W$5&gt;Inputs!$C$12)*$D$117*(1+Inputs!$C$11*(W$5-Inputs!$C$12)/12)</f>
        <v>9975</v>
      </c>
      <c r="X121" s="42" t="n">
        <f aca="false">$D$117*(1+IF($C$117&lt;=0,0,MAX($C$117*X$5/12,Inputs!$C$8)))+$I$117*(X$5&gt;Inputs!$C$12)*$D$117*(1+Inputs!$C$11*(X$5-Inputs!$C$12)/12)</f>
        <v>9975</v>
      </c>
      <c r="Y121" s="42" t="n">
        <f aca="false">$D$117*(1+IF($C$117&lt;=0,0,MAX($C$117*Y$5/12,Inputs!$C$8)))+$I$117*(Y$5&gt;Inputs!$C$12)*$D$117*(1+Inputs!$C$11*(Y$5-Inputs!$C$12)/12)</f>
        <v>9975</v>
      </c>
      <c r="Z121" s="42" t="n">
        <f aca="false">$D$117*(1+IF($C$117&lt;=0,0,MAX($C$117*Z$5/12,Inputs!$C$8)))+$I$117*(Z$5&gt;Inputs!$C$12)*$D$117*(1+Inputs!$C$11*(Z$5-Inputs!$C$12)/12)</f>
        <v>9975</v>
      </c>
      <c r="AA121" s="42" t="n">
        <f aca="false">$D$117*(1+IF($C$117&lt;=0,0,MAX($C$117*AA$5/12,Inputs!$C$8)))+$I$117*(AA$5&gt;Inputs!$C$12)*$D$117*(1+Inputs!$C$11*(AA$5-Inputs!$C$12)/12)</f>
        <v>19617.5</v>
      </c>
      <c r="AB121" s="42" t="n">
        <f aca="false">$D$117*(1+IF($C$117&lt;=0,0,MAX($C$117*AB$5/12,Inputs!$C$8)))+$I$117*(AB$5&gt;Inputs!$C$12)*$D$117*(1+Inputs!$C$11*(AB$5-Inputs!$C$12)/12)</f>
        <v>19783.75</v>
      </c>
      <c r="AC121" s="42" t="n">
        <f aca="false">$D$117*(1+IF($C$117&lt;=0,0,MAX($C$117*AC$5/12,Inputs!$C$8)))+$I$117*(AC$5&gt;Inputs!$C$12)*$D$117*(1+Inputs!$C$11*(AC$5-Inputs!$C$12)/12)</f>
        <v>19961.875</v>
      </c>
      <c r="AD121" s="42" t="n">
        <f aca="false">$D$117*(1+IF($C$117&lt;=0,0,MAX($C$117*AD$5/12,Inputs!$C$8)))+$I$117*(AD$5&gt;Inputs!$C$12)*$D$117*(1+Inputs!$C$11*(AD$5-Inputs!$C$12)/12)</f>
        <v>20140</v>
      </c>
      <c r="AE121" s="42" t="n">
        <f aca="false">$D$117*(1+IF($C$117&lt;=0,0,MAX($C$117*AE$5/12,Inputs!$C$8)))+$I$117*(AE$5&gt;Inputs!$C$12)*$D$117*(1+Inputs!$C$11*(AE$5-Inputs!$C$12)/12)</f>
        <v>20318.125</v>
      </c>
      <c r="AF121" s="42" t="n">
        <f aca="false">$D$117*(1+IF($C$117&lt;=0,0,MAX($C$117*AF$5/12,Inputs!$C$8)))+$I$117*(AF$5&gt;Inputs!$C$12)*$D$117*(1+Inputs!$C$11*(AF$5-Inputs!$C$12)/12)</f>
        <v>20496.25</v>
      </c>
      <c r="AG121" s="42" t="n">
        <f aca="false">$D$117*(1+IF($C$117&lt;=0,0,MAX($C$117*AG$5/12,Inputs!$C$8)))+$I$117*(AG$5&gt;Inputs!$C$12)*$D$117*(1+Inputs!$C$11*(AG$5-Inputs!$C$12)/12)</f>
        <v>20674.375</v>
      </c>
      <c r="AH121" s="42" t="n">
        <f aca="false">$D$117*(1+IF($C$117&lt;=0,0,MAX($C$117*AH$5/12,Inputs!$C$8)))+$I$117*(AH$5&gt;Inputs!$C$12)*$D$117*(1+Inputs!$C$11*(AH$5-Inputs!$C$12)/12)</f>
        <v>20852.5</v>
      </c>
      <c r="AI121" s="42" t="n">
        <f aca="false">$D$117*(1+IF($C$117&lt;=0,0,MAX($C$117*AI$5/12,Inputs!$C$8)))+$I$117*(AI$5&gt;Inputs!$C$12)*$D$117*(1+Inputs!$C$11*(AI$5-Inputs!$C$12)/12)</f>
        <v>21030.625</v>
      </c>
      <c r="AJ121" s="42" t="n">
        <f aca="false">$D$117*(1+IF($C$117&lt;=0,0,MAX($C$117*AJ$5/12,Inputs!$C$8)))+$I$117*(AJ$5&gt;Inputs!$C$12)*$D$117*(1+Inputs!$C$11*(AJ$5-Inputs!$C$12)/12)</f>
        <v>21208.75</v>
      </c>
      <c r="AK121" s="42" t="n">
        <f aca="false">$D$117*(1+IF($C$117&lt;=0,0,MAX($C$117*AK$5/12,Inputs!$C$8)))+$I$117*(AK$5&gt;Inputs!$C$12)*$D$117*(1+Inputs!$C$11*(AK$5-Inputs!$C$12)/12)</f>
        <v>21386.875</v>
      </c>
      <c r="AL121" s="42" t="n">
        <f aca="false">$D$117*(1+IF($C$117&lt;=0,0,MAX($C$117*AL$5/12,Inputs!$C$8)))+$I$117*(AL$5&gt;Inputs!$C$12)*$D$117*(1+Inputs!$C$11*(AL$5-Inputs!$C$12)/12)</f>
        <v>21565</v>
      </c>
    </row>
    <row r="122" customFormat="false" ht="15" hidden="false" customHeight="false" outlineLevel="0" collapsed="false">
      <c r="B122" s="31" t="s">
        <v>187</v>
      </c>
      <c r="N122" s="42" t="n">
        <f aca="false">-($D$117+$J$117)*(N$5=0)+IF(AND(N$5-$K$117&gt;=1,N$5-$K$117&lt;=Inputs!$C$13),INDEX($N$120:$AL$120,1,N$5-$K$117+1)*INDEX($N$121:$AL$121,1,N$5-$K$117+1),0)-$I$117*((N$5=Inputs!$C$12)*$C$119*$D$117+(N$5=Inputs!$C$13)*$D$119*($D$117+Inputs!$C$14))+$I$117*((N$5=Inputs!$C$15+$K$117)*$E$119*$I$119+(N$5=Inputs!$C$16+$K$117)*$F$119*$J$119+(N$5=Inputs!$C$17)*$G$119*$H$117*$H$119)</f>
        <v>-9510</v>
      </c>
      <c r="O122" s="42" t="n">
        <f aca="false">-($D$117+$J$117)*(O$5=0)+IF(AND(O$5-$K$117&gt;=1,O$5-$K$117&lt;=Inputs!$C$13),INDEX($N$120:$AL$120,1,O$5-$K$117+1)*INDEX($N$121:$AL$121,1,O$5-$K$117+1),0)-$I$117*((O$5=Inputs!$C$12)*$C$119*$D$117+(O$5=Inputs!$C$13)*$D$119*($D$117+Inputs!$C$14))+$I$117*((O$5=Inputs!$C$15+$K$117)*$E$119*$I$119+(O$5=Inputs!$C$16+$K$117)*$F$119*$J$119+(O$5=Inputs!$C$17)*$G$119*$H$117*$H$119)</f>
        <v>0</v>
      </c>
      <c r="P122" s="42" t="n">
        <f aca="false">-($D$117+$J$117)*(P$5=0)+IF(AND(P$5-$K$117&gt;=1,P$5-$K$117&lt;=Inputs!$C$13),INDEX($N$120:$AL$120,1,P$5-$K$117+1)*INDEX($N$121:$AL$121,1,P$5-$K$117+1),0)-$I$117*((P$5=Inputs!$C$12)*$C$119*$D$117+(P$5=Inputs!$C$13)*$D$119*($D$117+Inputs!$C$14))+$I$117*((P$5=Inputs!$C$15+$K$117)*$E$119*$I$119+(P$5=Inputs!$C$16+$K$117)*$F$119*$J$119+(P$5=Inputs!$C$17)*$G$119*$H$117*$H$119)</f>
        <v>1077.3</v>
      </c>
      <c r="Q122" s="42" t="n">
        <f aca="false">-($D$117+$J$117)*(Q$5=0)+IF(AND(Q$5-$K$117&gt;=1,Q$5-$K$117&lt;=Inputs!$C$13),INDEX($N$120:$AL$120,1,Q$5-$K$117+1)*INDEX($N$121:$AL$121,1,Q$5-$K$117+1),0)-$I$117*((Q$5=Inputs!$C$12)*$C$119*$D$117+(Q$5=Inputs!$C$13)*$D$119*($D$117+Inputs!$C$14))+$I$117*((Q$5=Inputs!$C$15+$K$117)*$E$119*$I$119+(Q$5=Inputs!$C$16+$K$117)*$F$119*$J$119+(Q$5=Inputs!$C$17)*$G$119*$H$117*$H$119)</f>
        <v>897.75</v>
      </c>
      <c r="R122" s="42" t="n">
        <f aca="false">-($D$117+$J$117)*(R$5=0)+IF(AND(R$5-$K$117&gt;=1,R$5-$K$117&lt;=Inputs!$C$13),INDEX($N$120:$AL$120,1,R$5-$K$117+1)*INDEX($N$121:$AL$121,1,R$5-$K$117+1),0)-$I$117*((R$5=Inputs!$C$12)*$C$119*$D$117+(R$5=Inputs!$C$13)*$D$119*($D$117+Inputs!$C$14))+$I$117*((R$5=Inputs!$C$15+$K$117)*$E$119*$I$119+(R$5=Inputs!$C$16+$K$117)*$F$119*$J$119+(R$5=Inputs!$C$17)*$G$119*$H$117*$H$119)</f>
        <v>807.975</v>
      </c>
      <c r="S122" s="42" t="n">
        <f aca="false">-($D$117+$J$117)*(S$5=0)+IF(AND(S$5-$K$117&gt;=1,S$5-$K$117&lt;=Inputs!$C$13),INDEX($N$120:$AL$120,1,S$5-$K$117+1)*INDEX($N$121:$AL$121,1,S$5-$K$117+1),0)-$I$117*((S$5=Inputs!$C$12)*$C$119*$D$117+(S$5=Inputs!$C$13)*$D$119*($D$117+Inputs!$C$14))+$I$117*((S$5=Inputs!$C$15+$K$117)*$E$119*$I$119+(S$5=Inputs!$C$16+$K$117)*$F$119*$J$119+(S$5=Inputs!$C$17)*$G$119*$H$117*$H$119)</f>
        <v>628.425</v>
      </c>
      <c r="T122" s="42" t="n">
        <f aca="false">-($D$117+$J$117)*(T$5=0)+IF(AND(T$5-$K$117&gt;=1,T$5-$K$117&lt;=Inputs!$C$13),INDEX($N$120:$AL$120,1,T$5-$K$117+1)*INDEX($N$121:$AL$121,1,T$5-$K$117+1),0)-$I$117*((T$5=Inputs!$C$12)*$C$119*$D$117+(T$5=Inputs!$C$13)*$D$119*($D$117+Inputs!$C$14))+$I$117*((T$5=Inputs!$C$15+$K$117)*$E$119*$I$119+(T$5=Inputs!$C$16+$K$117)*$F$119*$J$119+(T$5=Inputs!$C$17)*$G$119*$H$117*$H$119)</f>
        <v>628.425</v>
      </c>
      <c r="U122" s="42" t="n">
        <f aca="false">-($D$117+$J$117)*(U$5=0)+IF(AND(U$5-$K$117&gt;=1,U$5-$K$117&lt;=Inputs!$C$13),INDEX($N$120:$AL$120,1,U$5-$K$117+1)*INDEX($N$121:$AL$121,1,U$5-$K$117+1),0)-$I$117*((U$5=Inputs!$C$12)*$C$119*$D$117+(U$5=Inputs!$C$13)*$D$119*($D$117+Inputs!$C$14))+$I$117*((U$5=Inputs!$C$15+$K$117)*$E$119*$I$119+(U$5=Inputs!$C$16+$K$117)*$F$119*$J$119+(U$5=Inputs!$C$17)*$G$119*$H$117*$H$119)</f>
        <v>628.425</v>
      </c>
      <c r="V122" s="42" t="n">
        <f aca="false">-($D$117+$J$117)*(V$5=0)+IF(AND(V$5-$K$117&gt;=1,V$5-$K$117&lt;=Inputs!$C$13),INDEX($N$120:$AL$120,1,V$5-$K$117+1)*INDEX($N$121:$AL$121,1,V$5-$K$117+1),0)-$I$117*((V$5=Inputs!$C$12)*$C$119*$D$117+(V$5=Inputs!$C$13)*$D$119*($D$117+Inputs!$C$14))+$I$117*((V$5=Inputs!$C$15+$K$117)*$E$119*$I$119+(V$5=Inputs!$C$16+$K$117)*$F$119*$J$119+(V$5=Inputs!$C$17)*$G$119*$H$117*$H$119)</f>
        <v>389.025</v>
      </c>
      <c r="W122" s="42" t="n">
        <f aca="false">-($D$117+$J$117)*(W$5=0)+IF(AND(W$5-$K$117&gt;=1,W$5-$K$117&lt;=Inputs!$C$13),INDEX($N$120:$AL$120,1,W$5-$K$117+1)*INDEX($N$121:$AL$121,1,W$5-$K$117+1),0)-$I$117*((W$5=Inputs!$C$12)*$C$119*$D$117+(W$5=Inputs!$C$13)*$D$119*($D$117+Inputs!$C$14))+$I$117*((W$5=Inputs!$C$15+$K$117)*$E$119*$I$119+(W$5=Inputs!$C$16+$K$117)*$F$119*$J$119+(W$5=Inputs!$C$17)*$G$119*$H$117*$H$119)</f>
        <v>389.025</v>
      </c>
      <c r="X122" s="42" t="n">
        <f aca="false">-($D$117+$J$117)*(X$5=0)+IF(AND(X$5-$K$117&gt;=1,X$5-$K$117&lt;=Inputs!$C$13),INDEX($N$120:$AL$120,1,X$5-$K$117+1)*INDEX($N$121:$AL$121,1,X$5-$K$117+1),0)-$I$117*((X$5=Inputs!$C$12)*$C$119*$D$117+(X$5=Inputs!$C$13)*$D$119*($D$117+Inputs!$C$14))+$I$117*((X$5=Inputs!$C$15+$K$117)*$E$119*$I$119+(X$5=Inputs!$C$16+$K$117)*$F$119*$J$119+(X$5=Inputs!$C$17)*$G$119*$H$117*$H$119)</f>
        <v>389.025</v>
      </c>
      <c r="Y122" s="42" t="n">
        <f aca="false">-($D$117+$J$117)*(Y$5=0)+IF(AND(Y$5-$K$117&gt;=1,Y$5-$K$117&lt;=Inputs!$C$13),INDEX($N$120:$AL$120,1,Y$5-$K$117+1)*INDEX($N$121:$AL$121,1,Y$5-$K$117+1),0)-$I$117*((Y$5=Inputs!$C$12)*$C$119*$D$117+(Y$5=Inputs!$C$13)*$D$119*($D$117+Inputs!$C$14))+$I$117*((Y$5=Inputs!$C$15+$K$117)*$E$119*$I$119+(Y$5=Inputs!$C$16+$K$117)*$F$119*$J$119+(Y$5=Inputs!$C$17)*$G$119*$H$117*$H$119)</f>
        <v>329.175</v>
      </c>
      <c r="Z122" s="42" t="n">
        <f aca="false">-($D$117+$J$117)*(Z$5=0)+IF(AND(Z$5-$K$117&gt;=1,Z$5-$K$117&lt;=Inputs!$C$13),INDEX($N$120:$AL$120,1,Z$5-$K$117+1)*INDEX($N$121:$AL$121,1,Z$5-$K$117+1),0)-$I$117*((Z$5=Inputs!$C$12)*$C$119*$D$117+(Z$5=Inputs!$C$13)*$D$119*($D$117+Inputs!$C$14))+$I$117*((Z$5=Inputs!$C$15+$K$117)*$E$119*$I$119+(Z$5=Inputs!$C$16+$K$117)*$F$119*$J$119+(Z$5=Inputs!$C$17)*$G$119*$H$117*$H$119)</f>
        <v>-2672.825</v>
      </c>
      <c r="AA122" s="42" t="n">
        <f aca="false">-($D$117+$J$117)*(AA$5=0)+IF(AND(AA$5-$K$117&gt;=1,AA$5-$K$117&lt;=Inputs!$C$13),INDEX($N$120:$AL$120,1,AA$5-$K$117+1)*INDEX($N$121:$AL$121,1,AA$5-$K$117+1),0)-$I$117*((AA$5=Inputs!$C$12)*$C$119*$D$117+(AA$5=Inputs!$C$13)*$D$119*($D$117+Inputs!$C$14))+$I$117*((AA$5=Inputs!$C$15+$K$117)*$E$119*$I$119+(AA$5=Inputs!$C$16+$K$117)*$F$119*$J$119+(AA$5=Inputs!$C$17)*$G$119*$H$117*$H$119)</f>
        <v>329.175</v>
      </c>
      <c r="AB122" s="42" t="n">
        <f aca="false">-($D$117+$J$117)*(AB$5=0)+IF(AND(AB$5-$K$117&gt;=1,AB$5-$K$117&lt;=Inputs!$C$13),INDEX($N$120:$AL$120,1,AB$5-$K$117+1)*INDEX($N$121:$AL$121,1,AB$5-$K$117+1),0)-$I$117*((AB$5=Inputs!$C$12)*$C$119*$D$117+(AB$5=Inputs!$C$13)*$D$119*($D$117+Inputs!$C$14))+$I$117*((AB$5=Inputs!$C$15+$K$117)*$E$119*$I$119+(AB$5=Inputs!$C$16+$K$117)*$F$119*$J$119+(AB$5=Inputs!$C$17)*$G$119*$H$117*$H$119)</f>
        <v>411.9675</v>
      </c>
      <c r="AC122" s="42" t="n">
        <f aca="false">-($D$117+$J$117)*(AC$5=0)+IF(AND(AC$5-$K$117&gt;=1,AC$5-$K$117&lt;=Inputs!$C$13),INDEX($N$120:$AL$120,1,AC$5-$K$117+1)*INDEX($N$121:$AL$121,1,AC$5-$K$117+1),0)-$I$117*((AC$5=Inputs!$C$12)*$C$119*$D$117+(AC$5=Inputs!$C$13)*$D$119*($D$117+Inputs!$C$14))+$I$117*((AC$5=Inputs!$C$15+$K$117)*$E$119*$I$119+(AC$5=Inputs!$C$16+$K$117)*$F$119*$J$119+(AC$5=Inputs!$C$17)*$G$119*$H$117*$H$119)</f>
        <v>415.45875</v>
      </c>
      <c r="AD122" s="42" t="n">
        <f aca="false">-($D$117+$J$117)*(AD$5=0)+IF(AND(AD$5-$K$117&gt;=1,AD$5-$K$117&lt;=Inputs!$C$13),INDEX($N$120:$AL$120,1,AD$5-$K$117+1)*INDEX($N$121:$AL$121,1,AD$5-$K$117+1),0)-$I$117*((AD$5=Inputs!$C$12)*$C$119*$D$117+(AD$5=Inputs!$C$13)*$D$119*($D$117+Inputs!$C$14))+$I$117*((AD$5=Inputs!$C$15+$K$117)*$E$119*$I$119+(AD$5=Inputs!$C$16+$K$117)*$F$119*$J$119+(AD$5=Inputs!$C$17)*$G$119*$H$117*$H$119)</f>
        <v>419.199375000002</v>
      </c>
      <c r="AE122" s="42" t="n">
        <f aca="false">-($D$117+$J$117)*(AE$5=0)+IF(AND(AE$5-$K$117&gt;=1,AE$5-$K$117&lt;=Inputs!$C$13),INDEX($N$120:$AL$120,1,AE$5-$K$117+1)*INDEX($N$121:$AL$121,1,AE$5-$K$117+1),0)-$I$117*((AE$5=Inputs!$C$12)*$C$119*$D$117+(AE$5=Inputs!$C$13)*$D$119*($D$117+Inputs!$C$14))+$I$117*((AE$5=Inputs!$C$15+$K$117)*$E$119*$I$119+(AE$5=Inputs!$C$16+$K$117)*$F$119*$J$119+(AE$5=Inputs!$C$17)*$G$119*$H$117*$H$119)</f>
        <v>422.94</v>
      </c>
      <c r="AF122" s="42" t="n">
        <f aca="false">-($D$117+$J$117)*(AF$5=0)+IF(AND(AF$5-$K$117&gt;=1,AF$5-$K$117&lt;=Inputs!$C$13),INDEX($N$120:$AL$120,1,AF$5-$K$117+1)*INDEX($N$121:$AL$121,1,AF$5-$K$117+1),0)-$I$117*((AF$5=Inputs!$C$12)*$C$119*$D$117+(AF$5=Inputs!$C$13)*$D$119*($D$117+Inputs!$C$14))+$I$117*((AF$5=Inputs!$C$15+$K$117)*$E$119*$I$119+(AF$5=Inputs!$C$16+$K$117)*$F$119*$J$119+(AF$5=Inputs!$C$17)*$G$119*$H$117*$H$119)</f>
        <v>426.680625</v>
      </c>
      <c r="AG122" s="42" t="n">
        <f aca="false">-($D$117+$J$117)*(AG$5=0)+IF(AND(AG$5-$K$117&gt;=1,AG$5-$K$117&lt;=Inputs!$C$13),INDEX($N$120:$AL$120,1,AG$5-$K$117+1)*INDEX($N$121:$AL$121,1,AG$5-$K$117+1),0)-$I$117*((AG$5=Inputs!$C$12)*$C$119*$D$117+(AG$5=Inputs!$C$13)*$D$119*($D$117+Inputs!$C$14))+$I$117*((AG$5=Inputs!$C$15+$K$117)*$E$119*$I$119+(AG$5=Inputs!$C$16+$K$117)*$F$119*$J$119+(AG$5=Inputs!$C$17)*$G$119*$H$117*$H$119)</f>
        <v>430.42125</v>
      </c>
      <c r="AH122" s="42" t="n">
        <f aca="false">-($D$117+$J$117)*(AH$5=0)+IF(AND(AH$5-$K$117&gt;=1,AH$5-$K$117&lt;=Inputs!$C$13),INDEX($N$120:$AL$120,1,AH$5-$K$117+1)*INDEX($N$121:$AL$121,1,AH$5-$K$117+1),0)-$I$117*((AH$5=Inputs!$C$12)*$C$119*$D$117+(AH$5=Inputs!$C$13)*$D$119*($D$117+Inputs!$C$14))+$I$117*((AH$5=Inputs!$C$15+$K$117)*$E$119*$I$119+(AH$5=Inputs!$C$16+$K$117)*$F$119*$J$119+(AH$5=Inputs!$C$17)*$G$119*$H$117*$H$119)</f>
        <v>310.115625000001</v>
      </c>
      <c r="AI122" s="42" t="n">
        <f aca="false">-($D$117+$J$117)*(AI$5=0)+IF(AND(AI$5-$K$117&gt;=1,AI$5-$K$117&lt;=Inputs!$C$13),INDEX($N$120:$AL$120,1,AI$5-$K$117+1)*INDEX($N$121:$AL$121,1,AI$5-$K$117+1),0)-$I$117*((AI$5=Inputs!$C$12)*$C$119*$D$117+(AI$5=Inputs!$C$13)*$D$119*($D$117+Inputs!$C$14))+$I$117*((AI$5=Inputs!$C$15+$K$117)*$E$119*$I$119+(AI$5=Inputs!$C$16+$K$117)*$F$119*$J$119+(AI$5=Inputs!$C$17)*$G$119*$H$117*$H$119)</f>
        <v>312.787499999999</v>
      </c>
      <c r="AJ122" s="42" t="n">
        <f aca="false">-($D$117+$J$117)*(AJ$5=0)+IF(AND(AJ$5-$K$117&gt;=1,AJ$5-$K$117&lt;=Inputs!$C$13),INDEX($N$120:$AL$120,1,AJ$5-$K$117+1)*INDEX($N$121:$AL$121,1,AJ$5-$K$117+1),0)-$I$117*((AJ$5=Inputs!$C$12)*$C$119*$D$117+(AJ$5=Inputs!$C$13)*$D$119*($D$117+Inputs!$C$14))+$I$117*((AJ$5=Inputs!$C$15+$K$117)*$E$119*$I$119+(AJ$5=Inputs!$C$16+$K$117)*$F$119*$J$119+(AJ$5=Inputs!$C$17)*$G$119*$H$117*$H$119)</f>
        <v>315.459374999999</v>
      </c>
      <c r="AK122" s="42" t="n">
        <f aca="false">-($D$117+$J$117)*(AK$5=0)+IF(AND(AK$5-$K$117&gt;=1,AK$5-$K$117&lt;=Inputs!$C$13),INDEX($N$120:$AL$120,1,AK$5-$K$117+1)*INDEX($N$121:$AL$121,1,AK$5-$K$117+1),0)-$I$117*((AK$5=Inputs!$C$12)*$C$119*$D$117+(AK$5=Inputs!$C$13)*$D$119*($D$117+Inputs!$C$14))+$I$117*((AK$5=Inputs!$C$15+$K$117)*$E$119*$I$119+(AK$5=Inputs!$C$16+$K$117)*$F$119*$J$119+(AK$5=Inputs!$C$17)*$G$119*$H$117*$H$119)</f>
        <v>318.131250000001</v>
      </c>
      <c r="AL122" s="42" t="n">
        <f aca="false">-($D$117+$J$117)*(AL$5=0)+IF(AND(AL$5-$K$117&gt;=1,AL$5-$K$117&lt;=Inputs!$C$13),INDEX($N$120:$AL$120,1,AL$5-$K$117+1)*INDEX($N$121:$AL$121,1,AL$5-$K$117+1),0)-$I$117*((AL$5=Inputs!$C$12)*$C$119*$D$117+(AL$5=Inputs!$C$13)*$D$119*($D$117+Inputs!$C$14))+$I$117*((AL$5=Inputs!$C$15+$K$117)*$E$119*$I$119+(AL$5=Inputs!$C$16+$K$117)*$F$119*$J$119+(AL$5=Inputs!$C$17)*$G$119*$H$117*$H$119)</f>
        <v>-809.196874999999</v>
      </c>
      <c r="AM122" s="42" t="n">
        <f aca="false">-($D$117+$J$117)*(AM$5=0)+IF(AND(AM$5-$K$117&gt;=1,AM$5-$K$117&lt;=Inputs!$C$13),INDEX($N$120:$AL$120,1,AM$5-$K$117+1)*INDEX($N$121:$AL$121,1,AM$5-$K$117+1),0)-$I$117*((AM$5=Inputs!$C$12)*$C$119*$D$117+(AM$5=Inputs!$C$13)*$D$119*($D$117+Inputs!$C$14))+$I$117*((AM$5=Inputs!$C$15+$K$117)*$E$119*$I$119+(AM$5=Inputs!$C$16+$K$117)*$F$119*$J$119+(AM$5=Inputs!$C$17)*$G$119*$H$117*$H$119)</f>
        <v>323.474999999999</v>
      </c>
      <c r="AN122" s="42" t="n">
        <f aca="false">-($D$117+$J$117)*(AN$5=0)+IF(AND(AN$5-$K$117&gt;=1,AN$5-$K$117&lt;=Inputs!$C$13),INDEX($N$120:$AL$120,1,AN$5-$K$117+1)*INDEX($N$121:$AL$121,1,AN$5-$K$117+1),0)-$I$117*((AN$5=Inputs!$C$12)*$C$119*$D$117+(AN$5=Inputs!$C$13)*$D$119*($D$117+Inputs!$C$14))+$I$117*((AN$5=Inputs!$C$15+$K$117)*$E$119*$I$119+(AN$5=Inputs!$C$16+$K$117)*$F$119*$J$119+(AN$5=Inputs!$C$17)*$G$119*$H$117*$H$119)</f>
        <v>0</v>
      </c>
      <c r="AO122" s="42" t="n">
        <f aca="false">-($D$117+$J$117)*(AO$5=0)+IF(AND(AO$5-$K$117&gt;=1,AO$5-$K$117&lt;=Inputs!$C$13),INDEX($N$120:$AL$120,1,AO$5-$K$117+1)*INDEX($N$121:$AL$121,1,AO$5-$K$117+1),0)-$I$117*((AO$5=Inputs!$C$12)*$C$119*$D$117+(AO$5=Inputs!$C$13)*$D$119*($D$117+Inputs!$C$14))+$I$117*((AO$5=Inputs!$C$15+$K$117)*$E$119*$I$119+(AO$5=Inputs!$C$16+$K$117)*$F$119*$J$119+(AO$5=Inputs!$C$17)*$G$119*$H$117*$H$119)</f>
        <v>0</v>
      </c>
      <c r="AP122" s="42" t="n">
        <f aca="false">-($D$117+$J$117)*(AP$5=0)+IF(AND(AP$5-$K$117&gt;=1,AP$5-$K$117&lt;=Inputs!$C$13),INDEX($N$120:$AL$120,1,AP$5-$K$117+1)*INDEX($N$121:$AL$121,1,AP$5-$K$117+1),0)-$I$117*((AP$5=Inputs!$C$12)*$C$119*$D$117+(AP$5=Inputs!$C$13)*$D$119*($D$117+Inputs!$C$14))+$I$117*((AP$5=Inputs!$C$15+$K$117)*$E$119*$I$119+(AP$5=Inputs!$C$16+$K$117)*$F$119*$J$119+(AP$5=Inputs!$C$17)*$G$119*$H$117*$H$119)</f>
        <v>2029.6125</v>
      </c>
      <c r="AQ122" s="42" t="n">
        <f aca="false">-($D$117+$J$117)*(AQ$5=0)+IF(AND(AQ$5-$K$117&gt;=1,AQ$5-$K$117&lt;=Inputs!$C$13),INDEX($N$120:$AL$120,1,AQ$5-$K$117+1)*INDEX($N$121:$AL$121,1,AQ$5-$K$117+1),0)-$I$117*((AQ$5=Inputs!$C$12)*$C$119*$D$117+(AQ$5=Inputs!$C$13)*$D$119*($D$117+Inputs!$C$14))+$I$117*((AQ$5=Inputs!$C$15+$K$117)*$E$119*$I$119+(AQ$5=Inputs!$C$16+$K$117)*$F$119*$J$119+(AQ$5=Inputs!$C$17)*$G$119*$H$117*$H$119)</f>
        <v>0</v>
      </c>
      <c r="AR122" s="42" t="n">
        <f aca="false">-($D$117+$J$117)*(AR$5=0)+IF(AND(AR$5-$K$117&gt;=1,AR$5-$K$117&lt;=Inputs!$C$13),INDEX($N$120:$AL$120,1,AR$5-$K$117+1)*INDEX($N$121:$AL$121,1,AR$5-$K$117+1),0)-$I$117*((AR$5=Inputs!$C$12)*$C$119*$D$117+(AR$5=Inputs!$C$13)*$D$119*($D$117+Inputs!$C$14))+$I$117*((AR$5=Inputs!$C$15+$K$117)*$E$119*$I$119+(AR$5=Inputs!$C$16+$K$117)*$F$119*$J$119+(AR$5=Inputs!$C$17)*$G$119*$H$117*$H$119)</f>
        <v>0</v>
      </c>
      <c r="AS122" s="42" t="n">
        <f aca="false">-($D$117+$J$117)*(AS$5=0)+IF(AND(AS$5-$K$117&gt;=1,AS$5-$K$117&lt;=Inputs!$C$13),INDEX($N$120:$AL$120,1,AS$5-$K$117+1)*INDEX($N$121:$AL$121,1,AS$5-$K$117+1),0)-$I$117*((AS$5=Inputs!$C$12)*$C$119*$D$117+(AS$5=Inputs!$C$13)*$D$119*($D$117+Inputs!$C$14))+$I$117*((AS$5=Inputs!$C$15+$K$117)*$E$119*$I$119+(AS$5=Inputs!$C$16+$K$117)*$F$119*$J$119+(AS$5=Inputs!$C$17)*$G$119*$H$117*$H$119)</f>
        <v>1113.24</v>
      </c>
      <c r="AT122" s="42" t="n">
        <f aca="false">-($D$117+$J$117)*(AT$5=0)+IF(AND(AT$5-$K$117&gt;=1,AT$5-$K$117&lt;=Inputs!$C$13),INDEX($N$120:$AL$120,1,AT$5-$K$117+1)*INDEX($N$121:$AL$121,1,AT$5-$K$117+1),0)-$I$117*((AT$5=Inputs!$C$12)*$C$119*$D$117+(AT$5=Inputs!$C$13)*$D$119*($D$117+Inputs!$C$14))+$I$117*((AT$5=Inputs!$C$15+$K$117)*$E$119*$I$119+(AT$5=Inputs!$C$16+$K$117)*$F$119*$J$119+(AT$5=Inputs!$C$17)*$G$119*$H$117*$H$119)</f>
        <v>0</v>
      </c>
      <c r="AU122" s="42" t="n">
        <f aca="false">-($D$117+$J$117)*(AU$5=0)+IF(AND(AU$5-$K$117&gt;=1,AU$5-$K$117&lt;=Inputs!$C$13),INDEX($N$120:$AL$120,1,AU$5-$K$117+1)*INDEX($N$121:$AL$121,1,AU$5-$K$117+1),0)-$I$117*((AU$5=Inputs!$C$12)*$C$119*$D$117+(AU$5=Inputs!$C$13)*$D$119*($D$117+Inputs!$C$14))+$I$117*((AU$5=Inputs!$C$15+$K$117)*$E$119*$I$119+(AU$5=Inputs!$C$16+$K$117)*$F$119*$J$119+(AU$5=Inputs!$C$17)*$G$119*$H$117*$H$119)</f>
        <v>0</v>
      </c>
      <c r="AV122" s="42" t="n">
        <f aca="false">-($D$117+$J$117)*(AV$5=0)+IF(AND(AV$5-$K$117&gt;=1,AV$5-$K$117&lt;=Inputs!$C$13),INDEX($N$120:$AL$120,1,AV$5-$K$117+1)*INDEX($N$121:$AL$121,1,AV$5-$K$117+1),0)-$I$117*((AV$5=Inputs!$C$12)*$C$119*$D$117+(AV$5=Inputs!$C$13)*$D$119*($D$117+Inputs!$C$14))+$I$117*((AV$5=Inputs!$C$15+$K$117)*$E$119*$I$119+(AV$5=Inputs!$C$16+$K$117)*$F$119*$J$119+(AV$5=Inputs!$C$17)*$G$119*$H$117*$H$119)</f>
        <v>0</v>
      </c>
      <c r="AW122" s="42" t="n">
        <f aca="false">-($D$117+$J$117)*(AW$5=0)+IF(AND(AW$5-$K$117&gt;=1,AW$5-$K$117&lt;=Inputs!$C$13),INDEX($N$120:$AL$120,1,AW$5-$K$117+1)*INDEX($N$121:$AL$121,1,AW$5-$K$117+1),0)-$I$117*((AW$5=Inputs!$C$12)*$C$119*$D$117+(AW$5=Inputs!$C$13)*$D$119*($D$117+Inputs!$C$14))+$I$117*((AW$5=Inputs!$C$15+$K$117)*$E$119*$I$119+(AW$5=Inputs!$C$16+$K$117)*$F$119*$J$119+(AW$5=Inputs!$C$17)*$G$119*$H$117*$H$119)</f>
        <v>0</v>
      </c>
      <c r="AX122" s="42" t="n">
        <f aca="false">-($D$117+$J$117)*(AX$5=0)+IF(AND(AX$5-$K$117&gt;=1,AX$5-$K$117&lt;=Inputs!$C$13),INDEX($N$120:$AL$120,1,AX$5-$K$117+1)*INDEX($N$121:$AL$121,1,AX$5-$K$117+1),0)-$I$117*((AX$5=Inputs!$C$12)*$C$119*$D$117+(AX$5=Inputs!$C$13)*$D$119*($D$117+Inputs!$C$14))+$I$117*((AX$5=Inputs!$C$15+$K$117)*$E$119*$I$119+(AX$5=Inputs!$C$16+$K$117)*$F$119*$J$119+(AX$5=Inputs!$C$17)*$G$119*$H$117*$H$119)</f>
        <v>218.16</v>
      </c>
      <c r="AY122" s="42" t="n">
        <f aca="false">-($D$117+$J$117)*(AY$5=0)+IF(AND(AY$5-$K$117&gt;=1,AY$5-$K$117&lt;=Inputs!$C$13),INDEX($N$120:$AL$120,1,AY$5-$K$117+1)*INDEX($N$121:$AL$121,1,AY$5-$K$117+1),0)-$I$117*((AY$5=Inputs!$C$12)*$C$119*$D$117+(AY$5=Inputs!$C$13)*$D$119*($D$117+Inputs!$C$14))+$I$117*((AY$5=Inputs!$C$15+$K$117)*$E$119*$I$119+(AY$5=Inputs!$C$16+$K$117)*$F$119*$J$119+(AY$5=Inputs!$C$17)*$G$119*$H$117*$H$119)</f>
        <v>0</v>
      </c>
    </row>
    <row r="124" customFormat="false" ht="15" hidden="false" customHeight="false" outlineLevel="0" collapsed="false">
      <c r="B124" s="7" t="s">
        <v>254</v>
      </c>
      <c r="C124" s="8"/>
      <c r="D124" s="8"/>
      <c r="E124" s="8"/>
      <c r="F124" s="8"/>
      <c r="G124" s="8"/>
      <c r="H124" s="8"/>
      <c r="I124" s="8"/>
      <c r="J124" s="8"/>
      <c r="K124" s="8"/>
      <c r="L124" s="8"/>
    </row>
    <row r="125" customFormat="false" ht="30" hidden="false" customHeight="true" outlineLevel="0" collapsed="false">
      <c r="B125" s="37"/>
      <c r="C125" s="38" t="s">
        <v>169</v>
      </c>
      <c r="D125" s="38" t="s">
        <v>170</v>
      </c>
      <c r="E125" s="38" t="s">
        <v>171</v>
      </c>
      <c r="F125" s="38" t="s">
        <v>43</v>
      </c>
      <c r="G125" s="38" t="s">
        <v>44</v>
      </c>
      <c r="H125" s="38" t="s">
        <v>45</v>
      </c>
      <c r="I125" s="38" t="s">
        <v>172</v>
      </c>
      <c r="J125" s="38" t="s">
        <v>90</v>
      </c>
      <c r="K125" s="38" t="s">
        <v>89</v>
      </c>
      <c r="L125" s="38" t="s">
        <v>173</v>
      </c>
    </row>
    <row r="126" customFormat="false" ht="15" hidden="false" customHeight="false" outlineLevel="0" collapsed="false">
      <c r="B126" s="39" t="s">
        <v>174</v>
      </c>
      <c r="C126" s="26" t="n">
        <f aca="false">Inputs!$F$42*Inputs!$E$57</f>
        <v>0.065</v>
      </c>
      <c r="D126" s="30" t="n">
        <f aca="false">Inputs!$E$42</f>
        <v>1600</v>
      </c>
      <c r="E126" s="26" t="n">
        <f aca="false">IF(Inputs!$G$42=1,Inputs!$F$27,MIN(1,MAX(0,INDEX(Inputs!$F$23:$F$27,MATCH(Inputs!$C$42,Inputs!$B$23:$B$27,0))+INDEX(Inputs!$C$48:$C$51,MATCH(Inputs!$D$57,Inputs!$B$48:$B$51,0)))))</f>
        <v>0.8</v>
      </c>
      <c r="F126" s="25" t="n">
        <f aca="false">IF(Inputs!$G$42=1,Inputs!$G$27,INDEX(Inputs!$G$23:$G$27,MATCH(Inputs!$C$42,Inputs!$B$23:$B$27,0)))</f>
        <v>0.4</v>
      </c>
      <c r="G126" s="25" t="n">
        <f aca="false">IF(Inputs!$G$42=1,Inputs!$H$27,INDEX(Inputs!$H$23:$H$27,MATCH(Inputs!$C$42,Inputs!$B$23:$B$27,0)))*INDEX(Inputs!$D$48:$D$51,MATCH(Inputs!$D$57,Inputs!$B$48:$B$51,0))</f>
        <v>0.5</v>
      </c>
      <c r="H126" s="25" t="n">
        <f aca="false">MAX(0,IF(Inputs!$G$42=1,Inputs!$I$27,INDEX(Inputs!$I$23:$I$27,MATCH(Inputs!$C$42,Inputs!$B$23:$B$27,0)))+INDEX(Inputs!$E$48:$E$51,MATCH(Inputs!$D$57,Inputs!$B$48:$B$51,0)))</f>
        <v>0.7</v>
      </c>
      <c r="I126" s="22" t="n">
        <f aca="false">IF(Inputs!$G$42=1,0,INDEX(Inputs!$J$23:$J$27,MATCH(Inputs!$C$42,Inputs!$B$23:$B$27,0)))</f>
        <v>1</v>
      </c>
      <c r="J126" s="23" t="n">
        <f aca="false">Inputs!$G$57</f>
        <v>10</v>
      </c>
      <c r="K126" s="22" t="n">
        <f aca="false">Inputs!$F$57</f>
        <v>1</v>
      </c>
      <c r="L126" s="22" t="n">
        <f aca="false">Inputs!$C$57</f>
        <v>1</v>
      </c>
    </row>
    <row r="127" customFormat="false" ht="30" hidden="false" customHeight="true" outlineLevel="0" collapsed="false">
      <c r="B127" s="37"/>
      <c r="C127" s="38" t="s">
        <v>175</v>
      </c>
      <c r="D127" s="38" t="s">
        <v>176</v>
      </c>
      <c r="E127" s="38" t="s">
        <v>177</v>
      </c>
      <c r="F127" s="38" t="s">
        <v>178</v>
      </c>
      <c r="G127" s="38" t="s">
        <v>112</v>
      </c>
      <c r="H127" s="38" t="s">
        <v>179</v>
      </c>
      <c r="I127" s="38" t="s">
        <v>180</v>
      </c>
      <c r="J127" s="38" t="s">
        <v>181</v>
      </c>
      <c r="K127" s="38" t="s">
        <v>182</v>
      </c>
      <c r="L127" s="38" t="s">
        <v>183</v>
      </c>
    </row>
    <row r="128" customFormat="false" ht="15" hidden="false" customHeight="false" outlineLevel="0" collapsed="false">
      <c r="B128" s="39" t="s">
        <v>184</v>
      </c>
      <c r="C128" s="40" t="n">
        <f aca="false">1-$E$126*CHOOSE($L$126,INDEX(Timing!$C$7:$AA$7,1,Inputs!$C$12+1),INDEX(Timing!$C$8:$AA$8,1,Inputs!$C$12+1))</f>
        <v>0.392</v>
      </c>
      <c r="D128" s="40" t="n">
        <f aca="false">1-$E$126*CHOOSE($L$126,INDEX(Timing!$C$7:$AA$7,1,Inputs!$C$13+1),INDEX(Timing!$C$8:$AA$8,1,Inputs!$C$13+1))</f>
        <v>0.2</v>
      </c>
      <c r="E128" s="40" t="n">
        <f aca="false">$I$126*$D$128*$F$126</f>
        <v>0.08</v>
      </c>
      <c r="F128" s="40" t="n">
        <f aca="false">$I$126*($D$128-$E$128)*$G$126</f>
        <v>0.06</v>
      </c>
      <c r="G128" s="40" t="n">
        <f aca="false">$I$126*($D$128-$E$128-$F$128)</f>
        <v>0.06</v>
      </c>
      <c r="H128" s="23" t="n">
        <f aca="false">$I$126*(3*$D$126+Inputs!$C$14)</f>
        <v>6600</v>
      </c>
      <c r="I128" s="23" t="n">
        <f aca="false">$I$126*($D$126*(1+IF($C$126&lt;=0,0,MAX($C$126*Inputs!$C$15/12,Inputs!$C$8)))+$D$126*(1+Inputs!$C$11*(Inputs!$C$15-Inputs!$C$12)/12)+$D$126*(1+Inputs!$C$11*(Inputs!$C$15-Inputs!$C$13)/12)+Inputs!$C$14)</f>
        <v>7266</v>
      </c>
      <c r="J128" s="23" t="n">
        <f aca="false">$I$126*($D$126*(1+IF($C$126&lt;=0,0,MAX($C$126*Inputs!$C$16/12,Inputs!$C$8)))+$D$126*(1+Inputs!$C$11*(Inputs!$C$16-Inputs!$C$12)/12)+$D$126*(1+Inputs!$C$11*(Inputs!$C$16-Inputs!$C$13)/12)+Inputs!$C$14)</f>
        <v>7436</v>
      </c>
      <c r="K128" s="40" t="n">
        <f aca="false">IRR($N$131:$AY$131,0.005)</f>
        <v>0.00241466464979836</v>
      </c>
      <c r="L128" s="41" t="n">
        <f aca="false">(1+$K$128)^12-1</f>
        <v>0.0293639100157328</v>
      </c>
    </row>
    <row r="129" customFormat="false" ht="15" hidden="false" customHeight="false" outlineLevel="0" collapsed="false">
      <c r="B129" s="9" t="s">
        <v>185</v>
      </c>
      <c r="N129" s="40" t="n">
        <f aca="false">0</f>
        <v>0</v>
      </c>
      <c r="O129" s="40" t="n">
        <f aca="false">$E$126*(CHOOSE($L$126,Timing!D$7,Timing!D$8)-CHOOSE($L$126,Timing!C$7,Timing!C$8))</f>
        <v>0.096</v>
      </c>
      <c r="P129" s="40" t="n">
        <f aca="false">$E$126*(CHOOSE($L$126,Timing!E$7,Timing!E$8)-CHOOSE($L$126,Timing!D$7,Timing!D$8))</f>
        <v>0.08</v>
      </c>
      <c r="Q129" s="40" t="n">
        <f aca="false">$E$126*(CHOOSE($L$126,Timing!F$7,Timing!F$8)-CHOOSE($L$126,Timing!E$7,Timing!E$8))</f>
        <v>0.072</v>
      </c>
      <c r="R129" s="40" t="n">
        <f aca="false">$E$126*(CHOOSE($L$126,Timing!G$7,Timing!G$8)-CHOOSE($L$126,Timing!F$7,Timing!F$8))</f>
        <v>0.056</v>
      </c>
      <c r="S129" s="40" t="n">
        <f aca="false">$E$126*(CHOOSE($L$126,Timing!H$7,Timing!H$8)-CHOOSE($L$126,Timing!G$7,Timing!G$8))</f>
        <v>0.056</v>
      </c>
      <c r="T129" s="40" t="n">
        <f aca="false">$E$126*(CHOOSE($L$126,Timing!I$7,Timing!I$8)-CHOOSE($L$126,Timing!H$7,Timing!H$8))</f>
        <v>0.056</v>
      </c>
      <c r="U129" s="40" t="n">
        <f aca="false">$E$126*(CHOOSE($L$126,Timing!J$7,Timing!J$8)-CHOOSE($L$126,Timing!I$7,Timing!I$8))</f>
        <v>0.0346666666666667</v>
      </c>
      <c r="V129" s="40" t="n">
        <f aca="false">$E$126*(CHOOSE($L$126,Timing!K$7,Timing!K$8)-CHOOSE($L$126,Timing!J$7,Timing!J$8))</f>
        <v>0.0346666666666667</v>
      </c>
      <c r="W129" s="40" t="n">
        <f aca="false">$E$126*(CHOOSE($L$126,Timing!L$7,Timing!L$8)-CHOOSE($L$126,Timing!K$7,Timing!K$8))</f>
        <v>0.0346666666666667</v>
      </c>
      <c r="X129" s="40" t="n">
        <f aca="false">$E$126*(CHOOSE($L$126,Timing!M$7,Timing!M$8)-CHOOSE($L$126,Timing!L$7,Timing!L$8))</f>
        <v>0.0293333333333333</v>
      </c>
      <c r="Y129" s="40" t="n">
        <f aca="false">$E$126*(CHOOSE($L$126,Timing!N$7,Timing!N$8)-CHOOSE($L$126,Timing!M$7,Timing!M$8))</f>
        <v>0.0293333333333334</v>
      </c>
      <c r="Z129" s="40" t="n">
        <f aca="false">$E$126*(CHOOSE($L$126,Timing!O$7,Timing!O$8)-CHOOSE($L$126,Timing!N$7,Timing!N$8))</f>
        <v>0.0293333333333333</v>
      </c>
      <c r="AA129" s="40" t="n">
        <f aca="false">$E$126*(CHOOSE($L$126,Timing!P$7,Timing!P$8)-CHOOSE($L$126,Timing!O$7,Timing!O$8))</f>
        <v>0.0186666666666667</v>
      </c>
      <c r="AB129" s="40" t="n">
        <f aca="false">$E$126*(CHOOSE($L$126,Timing!Q$7,Timing!Q$8)-CHOOSE($L$126,Timing!P$7,Timing!P$8))</f>
        <v>0.0186666666666667</v>
      </c>
      <c r="AC129" s="40" t="n">
        <f aca="false">$E$126*(CHOOSE($L$126,Timing!R$7,Timing!R$8)-CHOOSE($L$126,Timing!Q$7,Timing!Q$8))</f>
        <v>0.0186666666666667</v>
      </c>
      <c r="AD129" s="40" t="n">
        <f aca="false">$E$126*(CHOOSE($L$126,Timing!S$7,Timing!S$8)-CHOOSE($L$126,Timing!R$7,Timing!R$8))</f>
        <v>0.0186666666666667</v>
      </c>
      <c r="AE129" s="40" t="n">
        <f aca="false">$E$126*(CHOOSE($L$126,Timing!T$7,Timing!T$8)-CHOOSE($L$126,Timing!S$7,Timing!S$8))</f>
        <v>0.0186666666666667</v>
      </c>
      <c r="AF129" s="40" t="n">
        <f aca="false">$E$126*(CHOOSE($L$126,Timing!U$7,Timing!U$8)-CHOOSE($L$126,Timing!T$7,Timing!T$8))</f>
        <v>0.0186666666666667</v>
      </c>
      <c r="AG129" s="40" t="n">
        <f aca="false">$E$126*(CHOOSE($L$126,Timing!V$7,Timing!V$8)-CHOOSE($L$126,Timing!U$7,Timing!U$8))</f>
        <v>0.0133333333333334</v>
      </c>
      <c r="AH129" s="40" t="n">
        <f aca="false">$E$126*(CHOOSE($L$126,Timing!W$7,Timing!W$8)-CHOOSE($L$126,Timing!V$7,Timing!V$8))</f>
        <v>0.0133333333333333</v>
      </c>
      <c r="AI129" s="40" t="n">
        <f aca="false">$E$126*(CHOOSE($L$126,Timing!X$7,Timing!X$8)-CHOOSE($L$126,Timing!W$7,Timing!W$8))</f>
        <v>0.0133333333333333</v>
      </c>
      <c r="AJ129" s="40" t="n">
        <f aca="false">$E$126*(CHOOSE($L$126,Timing!Y$7,Timing!Y$8)-CHOOSE($L$126,Timing!X$7,Timing!X$8))</f>
        <v>0.0133333333333334</v>
      </c>
      <c r="AK129" s="40" t="n">
        <f aca="false">$E$126*(CHOOSE($L$126,Timing!Z$7,Timing!Z$8)-CHOOSE($L$126,Timing!Y$7,Timing!Y$8))</f>
        <v>0.0133333333333334</v>
      </c>
      <c r="AL129" s="40" t="n">
        <f aca="false">$E$126*(CHOOSE($L$126,Timing!AA$7,Timing!AA$8)-CHOOSE($L$126,Timing!Z$7,Timing!Z$8))</f>
        <v>0.0133333333333333</v>
      </c>
    </row>
    <row r="130" customFormat="false" ht="15" hidden="false" customHeight="false" outlineLevel="0" collapsed="false">
      <c r="B130" s="9" t="s">
        <v>186</v>
      </c>
      <c r="N130" s="42" t="n">
        <f aca="false">0</f>
        <v>0</v>
      </c>
      <c r="O130" s="42" t="n">
        <f aca="false">$D$126*(1+IF($C$126&lt;=0,0,MAX($C$126*O$5/12,Inputs!$C$8)))+$I$126*(O$5&gt;Inputs!$C$12)*$D$126*(1+Inputs!$C$11*(O$5-Inputs!$C$12)/12)</f>
        <v>1680</v>
      </c>
      <c r="P130" s="42" t="n">
        <f aca="false">$D$126*(1+IF($C$126&lt;=0,0,MAX($C$126*P$5/12,Inputs!$C$8)))+$I$126*(P$5&gt;Inputs!$C$12)*$D$126*(1+Inputs!$C$11*(P$5-Inputs!$C$12)/12)</f>
        <v>1680</v>
      </c>
      <c r="Q130" s="42" t="n">
        <f aca="false">$D$126*(1+IF($C$126&lt;=0,0,MAX($C$126*Q$5/12,Inputs!$C$8)))+$I$126*(Q$5&gt;Inputs!$C$12)*$D$126*(1+Inputs!$C$11*(Q$5-Inputs!$C$12)/12)</f>
        <v>1680</v>
      </c>
      <c r="R130" s="42" t="n">
        <f aca="false">$D$126*(1+IF($C$126&lt;=0,0,MAX($C$126*R$5/12,Inputs!$C$8)))+$I$126*(R$5&gt;Inputs!$C$12)*$D$126*(1+Inputs!$C$11*(R$5-Inputs!$C$12)/12)</f>
        <v>1680</v>
      </c>
      <c r="S130" s="42" t="n">
        <f aca="false">$D$126*(1+IF($C$126&lt;=0,0,MAX($C$126*S$5/12,Inputs!$C$8)))+$I$126*(S$5&gt;Inputs!$C$12)*$D$126*(1+Inputs!$C$11*(S$5-Inputs!$C$12)/12)</f>
        <v>1680</v>
      </c>
      <c r="T130" s="42" t="n">
        <f aca="false">$D$126*(1+IF($C$126&lt;=0,0,MAX($C$126*T$5/12,Inputs!$C$8)))+$I$126*(T$5&gt;Inputs!$C$12)*$D$126*(1+Inputs!$C$11*(T$5-Inputs!$C$12)/12)</f>
        <v>1680</v>
      </c>
      <c r="U130" s="42" t="n">
        <f aca="false">$D$126*(1+IF($C$126&lt;=0,0,MAX($C$126*U$5/12,Inputs!$C$8)))+$I$126*(U$5&gt;Inputs!$C$12)*$D$126*(1+Inputs!$C$11*(U$5-Inputs!$C$12)/12)</f>
        <v>1680</v>
      </c>
      <c r="V130" s="42" t="n">
        <f aca="false">$D$126*(1+IF($C$126&lt;=0,0,MAX($C$126*V$5/12,Inputs!$C$8)))+$I$126*(V$5&gt;Inputs!$C$12)*$D$126*(1+Inputs!$C$11*(V$5-Inputs!$C$12)/12)</f>
        <v>1680</v>
      </c>
      <c r="W130" s="42" t="n">
        <f aca="false">$D$126*(1+IF($C$126&lt;=0,0,MAX($C$126*W$5/12,Inputs!$C$8)))+$I$126*(W$5&gt;Inputs!$C$12)*$D$126*(1+Inputs!$C$11*(W$5-Inputs!$C$12)/12)</f>
        <v>1680</v>
      </c>
      <c r="X130" s="42" t="n">
        <f aca="false">$D$126*(1+IF($C$126&lt;=0,0,MAX($C$126*X$5/12,Inputs!$C$8)))+$I$126*(X$5&gt;Inputs!$C$12)*$D$126*(1+Inputs!$C$11*(X$5-Inputs!$C$12)/12)</f>
        <v>1686.66666666667</v>
      </c>
      <c r="Y130" s="42" t="n">
        <f aca="false">$D$126*(1+IF($C$126&lt;=0,0,MAX($C$126*Y$5/12,Inputs!$C$8)))+$I$126*(Y$5&gt;Inputs!$C$12)*$D$126*(1+Inputs!$C$11*(Y$5-Inputs!$C$12)/12)</f>
        <v>1695.33333333333</v>
      </c>
      <c r="Z130" s="42" t="n">
        <f aca="false">$D$126*(1+IF($C$126&lt;=0,0,MAX($C$126*Z$5/12,Inputs!$C$8)))+$I$126*(Z$5&gt;Inputs!$C$12)*$D$126*(1+Inputs!$C$11*(Z$5-Inputs!$C$12)/12)</f>
        <v>1704</v>
      </c>
      <c r="AA130" s="42" t="n">
        <f aca="false">$D$126*(1+IF($C$126&lt;=0,0,MAX($C$126*AA$5/12,Inputs!$C$8)))+$I$126*(AA$5&gt;Inputs!$C$12)*$D$126*(1+Inputs!$C$11*(AA$5-Inputs!$C$12)/12)</f>
        <v>3336.66666666667</v>
      </c>
      <c r="AB130" s="42" t="n">
        <f aca="false">$D$126*(1+IF($C$126&lt;=0,0,MAX($C$126*AB$5/12,Inputs!$C$8)))+$I$126*(AB$5&gt;Inputs!$C$12)*$D$126*(1+Inputs!$C$11*(AB$5-Inputs!$C$12)/12)</f>
        <v>3369.33333333333</v>
      </c>
      <c r="AC130" s="42" t="n">
        <f aca="false">$D$126*(1+IF($C$126&lt;=0,0,MAX($C$126*AC$5/12,Inputs!$C$8)))+$I$126*(AC$5&gt;Inputs!$C$12)*$D$126*(1+Inputs!$C$11*(AC$5-Inputs!$C$12)/12)</f>
        <v>3402</v>
      </c>
      <c r="AD130" s="42" t="n">
        <f aca="false">$D$126*(1+IF($C$126&lt;=0,0,MAX($C$126*AD$5/12,Inputs!$C$8)))+$I$126*(AD$5&gt;Inputs!$C$12)*$D$126*(1+Inputs!$C$11*(AD$5-Inputs!$C$12)/12)</f>
        <v>3434.66666666667</v>
      </c>
      <c r="AE130" s="42" t="n">
        <f aca="false">$D$126*(1+IF($C$126&lt;=0,0,MAX($C$126*AE$5/12,Inputs!$C$8)))+$I$126*(AE$5&gt;Inputs!$C$12)*$D$126*(1+Inputs!$C$11*(AE$5-Inputs!$C$12)/12)</f>
        <v>3467.33333333333</v>
      </c>
      <c r="AF130" s="42" t="n">
        <f aca="false">$D$126*(1+IF($C$126&lt;=0,0,MAX($C$126*AF$5/12,Inputs!$C$8)))+$I$126*(AF$5&gt;Inputs!$C$12)*$D$126*(1+Inputs!$C$11*(AF$5-Inputs!$C$12)/12)</f>
        <v>3500</v>
      </c>
      <c r="AG130" s="42" t="n">
        <f aca="false">$D$126*(1+IF($C$126&lt;=0,0,MAX($C$126*AG$5/12,Inputs!$C$8)))+$I$126*(AG$5&gt;Inputs!$C$12)*$D$126*(1+Inputs!$C$11*(AG$5-Inputs!$C$12)/12)</f>
        <v>3532.66666666667</v>
      </c>
      <c r="AH130" s="42" t="n">
        <f aca="false">$D$126*(1+IF($C$126&lt;=0,0,MAX($C$126*AH$5/12,Inputs!$C$8)))+$I$126*(AH$5&gt;Inputs!$C$12)*$D$126*(1+Inputs!$C$11*(AH$5-Inputs!$C$12)/12)</f>
        <v>3565.33333333333</v>
      </c>
      <c r="AI130" s="42" t="n">
        <f aca="false">$D$126*(1+IF($C$126&lt;=0,0,MAX($C$126*AI$5/12,Inputs!$C$8)))+$I$126*(AI$5&gt;Inputs!$C$12)*$D$126*(1+Inputs!$C$11*(AI$5-Inputs!$C$12)/12)</f>
        <v>3598</v>
      </c>
      <c r="AJ130" s="42" t="n">
        <f aca="false">$D$126*(1+IF($C$126&lt;=0,0,MAX($C$126*AJ$5/12,Inputs!$C$8)))+$I$126*(AJ$5&gt;Inputs!$C$12)*$D$126*(1+Inputs!$C$11*(AJ$5-Inputs!$C$12)/12)</f>
        <v>3630.66666666667</v>
      </c>
      <c r="AK130" s="42" t="n">
        <f aca="false">$D$126*(1+IF($C$126&lt;=0,0,MAX($C$126*AK$5/12,Inputs!$C$8)))+$I$126*(AK$5&gt;Inputs!$C$12)*$D$126*(1+Inputs!$C$11*(AK$5-Inputs!$C$12)/12)</f>
        <v>3663.33333333333</v>
      </c>
      <c r="AL130" s="42" t="n">
        <f aca="false">$D$126*(1+IF($C$126&lt;=0,0,MAX($C$126*AL$5/12,Inputs!$C$8)))+$I$126*(AL$5&gt;Inputs!$C$12)*$D$126*(1+Inputs!$C$11*(AL$5-Inputs!$C$12)/12)</f>
        <v>3696</v>
      </c>
    </row>
    <row r="131" customFormat="false" ht="15" hidden="false" customHeight="false" outlineLevel="0" collapsed="false">
      <c r="B131" s="31" t="s">
        <v>187</v>
      </c>
      <c r="N131" s="42" t="n">
        <f aca="false">-($D$126+$J$126)*(N$5=0)+IF(AND(N$5-$K$126&gt;=1,N$5-$K$126&lt;=Inputs!$C$13),INDEX($N$129:$AL$129,1,N$5-$K$126+1)*INDEX($N$130:$AL$130,1,N$5-$K$126+1),0)-$I$126*((N$5=Inputs!$C$12)*$C$128*$D$126+(N$5=Inputs!$C$13)*$D$128*($D$126+Inputs!$C$14))+$I$126*((N$5=Inputs!$C$15+$K$126)*$E$128*$I$128+(N$5=Inputs!$C$16+$K$126)*$F$128*$J$128+(N$5=Inputs!$C$17)*$G$128*$H$126*$H$128)</f>
        <v>-1610</v>
      </c>
      <c r="O131" s="42" t="n">
        <f aca="false">-($D$126+$J$126)*(O$5=0)+IF(AND(O$5-$K$126&gt;=1,O$5-$K$126&lt;=Inputs!$C$13),INDEX($N$129:$AL$129,1,O$5-$K$126+1)*INDEX($N$130:$AL$130,1,O$5-$K$126+1),0)-$I$126*((O$5=Inputs!$C$12)*$C$128*$D$126+(O$5=Inputs!$C$13)*$D$128*($D$126+Inputs!$C$14))+$I$126*((O$5=Inputs!$C$15+$K$126)*$E$128*$I$128+(O$5=Inputs!$C$16+$K$126)*$F$128*$J$128+(O$5=Inputs!$C$17)*$G$128*$H$126*$H$128)</f>
        <v>0</v>
      </c>
      <c r="P131" s="42" t="n">
        <f aca="false">-($D$126+$J$126)*(P$5=0)+IF(AND(P$5-$K$126&gt;=1,P$5-$K$126&lt;=Inputs!$C$13),INDEX($N$129:$AL$129,1,P$5-$K$126+1)*INDEX($N$130:$AL$130,1,P$5-$K$126+1),0)-$I$126*((P$5=Inputs!$C$12)*$C$128*$D$126+(P$5=Inputs!$C$13)*$D$128*($D$126+Inputs!$C$14))+$I$126*((P$5=Inputs!$C$15+$K$126)*$E$128*$I$128+(P$5=Inputs!$C$16+$K$126)*$F$128*$J$128+(P$5=Inputs!$C$17)*$G$128*$H$126*$H$128)</f>
        <v>161.28</v>
      </c>
      <c r="Q131" s="42" t="n">
        <f aca="false">-($D$126+$J$126)*(Q$5=0)+IF(AND(Q$5-$K$126&gt;=1,Q$5-$K$126&lt;=Inputs!$C$13),INDEX($N$129:$AL$129,1,Q$5-$K$126+1)*INDEX($N$130:$AL$130,1,Q$5-$K$126+1),0)-$I$126*((Q$5=Inputs!$C$12)*$C$128*$D$126+(Q$5=Inputs!$C$13)*$D$128*($D$126+Inputs!$C$14))+$I$126*((Q$5=Inputs!$C$15+$K$126)*$E$128*$I$128+(Q$5=Inputs!$C$16+$K$126)*$F$128*$J$128+(Q$5=Inputs!$C$17)*$G$128*$H$126*$H$128)</f>
        <v>134.4</v>
      </c>
      <c r="R131" s="42" t="n">
        <f aca="false">-($D$126+$J$126)*(R$5=0)+IF(AND(R$5-$K$126&gt;=1,R$5-$K$126&lt;=Inputs!$C$13),INDEX($N$129:$AL$129,1,R$5-$K$126+1)*INDEX($N$130:$AL$130,1,R$5-$K$126+1),0)-$I$126*((R$5=Inputs!$C$12)*$C$128*$D$126+(R$5=Inputs!$C$13)*$D$128*($D$126+Inputs!$C$14))+$I$126*((R$5=Inputs!$C$15+$K$126)*$E$128*$I$128+(R$5=Inputs!$C$16+$K$126)*$F$128*$J$128+(R$5=Inputs!$C$17)*$G$128*$H$126*$H$128)</f>
        <v>120.96</v>
      </c>
      <c r="S131" s="42" t="n">
        <f aca="false">-($D$126+$J$126)*(S$5=0)+IF(AND(S$5-$K$126&gt;=1,S$5-$K$126&lt;=Inputs!$C$13),INDEX($N$129:$AL$129,1,S$5-$K$126+1)*INDEX($N$130:$AL$130,1,S$5-$K$126+1),0)-$I$126*((S$5=Inputs!$C$12)*$C$128*$D$126+(S$5=Inputs!$C$13)*$D$128*($D$126+Inputs!$C$14))+$I$126*((S$5=Inputs!$C$15+$K$126)*$E$128*$I$128+(S$5=Inputs!$C$16+$K$126)*$F$128*$J$128+(S$5=Inputs!$C$17)*$G$128*$H$126*$H$128)</f>
        <v>94.08</v>
      </c>
      <c r="T131" s="42" t="n">
        <f aca="false">-($D$126+$J$126)*(T$5=0)+IF(AND(T$5-$K$126&gt;=1,T$5-$K$126&lt;=Inputs!$C$13),INDEX($N$129:$AL$129,1,T$5-$K$126+1)*INDEX($N$130:$AL$130,1,T$5-$K$126+1),0)-$I$126*((T$5=Inputs!$C$12)*$C$128*$D$126+(T$5=Inputs!$C$13)*$D$128*($D$126+Inputs!$C$14))+$I$126*((T$5=Inputs!$C$15+$K$126)*$E$128*$I$128+(T$5=Inputs!$C$16+$K$126)*$F$128*$J$128+(T$5=Inputs!$C$17)*$G$128*$H$126*$H$128)</f>
        <v>94.08</v>
      </c>
      <c r="U131" s="42" t="n">
        <f aca="false">-($D$126+$J$126)*(U$5=0)+IF(AND(U$5-$K$126&gt;=1,U$5-$K$126&lt;=Inputs!$C$13),INDEX($N$129:$AL$129,1,U$5-$K$126+1)*INDEX($N$130:$AL$130,1,U$5-$K$126+1),0)-$I$126*((U$5=Inputs!$C$12)*$C$128*$D$126+(U$5=Inputs!$C$13)*$D$128*($D$126+Inputs!$C$14))+$I$126*((U$5=Inputs!$C$15+$K$126)*$E$128*$I$128+(U$5=Inputs!$C$16+$K$126)*$F$128*$J$128+(U$5=Inputs!$C$17)*$G$128*$H$126*$H$128)</f>
        <v>94.08</v>
      </c>
      <c r="V131" s="42" t="n">
        <f aca="false">-($D$126+$J$126)*(V$5=0)+IF(AND(V$5-$K$126&gt;=1,V$5-$K$126&lt;=Inputs!$C$13),INDEX($N$129:$AL$129,1,V$5-$K$126+1)*INDEX($N$130:$AL$130,1,V$5-$K$126+1),0)-$I$126*((V$5=Inputs!$C$12)*$C$128*$D$126+(V$5=Inputs!$C$13)*$D$128*($D$126+Inputs!$C$14))+$I$126*((V$5=Inputs!$C$15+$K$126)*$E$128*$I$128+(V$5=Inputs!$C$16+$K$126)*$F$128*$J$128+(V$5=Inputs!$C$17)*$G$128*$H$126*$H$128)</f>
        <v>58.24</v>
      </c>
      <c r="W131" s="42" t="n">
        <f aca="false">-($D$126+$J$126)*(W$5=0)+IF(AND(W$5-$K$126&gt;=1,W$5-$K$126&lt;=Inputs!$C$13),INDEX($N$129:$AL$129,1,W$5-$K$126+1)*INDEX($N$130:$AL$130,1,W$5-$K$126+1),0)-$I$126*((W$5=Inputs!$C$12)*$C$128*$D$126+(W$5=Inputs!$C$13)*$D$128*($D$126+Inputs!$C$14))+$I$126*((W$5=Inputs!$C$15+$K$126)*$E$128*$I$128+(W$5=Inputs!$C$16+$K$126)*$F$128*$J$128+(W$5=Inputs!$C$17)*$G$128*$H$126*$H$128)</f>
        <v>58.24</v>
      </c>
      <c r="X131" s="42" t="n">
        <f aca="false">-($D$126+$J$126)*(X$5=0)+IF(AND(X$5-$K$126&gt;=1,X$5-$K$126&lt;=Inputs!$C$13),INDEX($N$129:$AL$129,1,X$5-$K$126+1)*INDEX($N$130:$AL$130,1,X$5-$K$126+1),0)-$I$126*((X$5=Inputs!$C$12)*$C$128*$D$126+(X$5=Inputs!$C$13)*$D$128*($D$126+Inputs!$C$14))+$I$126*((X$5=Inputs!$C$15+$K$126)*$E$128*$I$128+(X$5=Inputs!$C$16+$K$126)*$F$128*$J$128+(X$5=Inputs!$C$17)*$G$128*$H$126*$H$128)</f>
        <v>58.24</v>
      </c>
      <c r="Y131" s="42" t="n">
        <f aca="false">-($D$126+$J$126)*(Y$5=0)+IF(AND(Y$5-$K$126&gt;=1,Y$5-$K$126&lt;=Inputs!$C$13),INDEX($N$129:$AL$129,1,Y$5-$K$126+1)*INDEX($N$130:$AL$130,1,Y$5-$K$126+1),0)-$I$126*((Y$5=Inputs!$C$12)*$C$128*$D$126+(Y$5=Inputs!$C$13)*$D$128*($D$126+Inputs!$C$14))+$I$126*((Y$5=Inputs!$C$15+$K$126)*$E$128*$I$128+(Y$5=Inputs!$C$16+$K$126)*$F$128*$J$128+(Y$5=Inputs!$C$17)*$G$128*$H$126*$H$128)</f>
        <v>49.4755555555555</v>
      </c>
      <c r="Z131" s="42" t="n">
        <f aca="false">-($D$126+$J$126)*(Z$5=0)+IF(AND(Z$5-$K$126&gt;=1,Z$5-$K$126&lt;=Inputs!$C$13),INDEX($N$129:$AL$129,1,Z$5-$K$126+1)*INDEX($N$130:$AL$130,1,Z$5-$K$126+1),0)-$I$126*((Z$5=Inputs!$C$12)*$C$128*$D$126+(Z$5=Inputs!$C$13)*$D$128*($D$126+Inputs!$C$14))+$I$126*((Z$5=Inputs!$C$15+$K$126)*$E$128*$I$128+(Z$5=Inputs!$C$16+$K$126)*$F$128*$J$128+(Z$5=Inputs!$C$17)*$G$128*$H$126*$H$128)</f>
        <v>-577.470222222222</v>
      </c>
      <c r="AA131" s="42" t="n">
        <f aca="false">-($D$126+$J$126)*(AA$5=0)+IF(AND(AA$5-$K$126&gt;=1,AA$5-$K$126&lt;=Inputs!$C$13),INDEX($N$129:$AL$129,1,AA$5-$K$126+1)*INDEX($N$130:$AL$130,1,AA$5-$K$126+1),0)-$I$126*((AA$5=Inputs!$C$12)*$C$128*$D$126+(AA$5=Inputs!$C$13)*$D$128*($D$126+Inputs!$C$14))+$I$126*((AA$5=Inputs!$C$15+$K$126)*$E$128*$I$128+(AA$5=Inputs!$C$16+$K$126)*$F$128*$J$128+(AA$5=Inputs!$C$17)*$G$128*$H$126*$H$128)</f>
        <v>49.9839999999999</v>
      </c>
      <c r="AB131" s="42" t="n">
        <f aca="false">-($D$126+$J$126)*(AB$5=0)+IF(AND(AB$5-$K$126&gt;=1,AB$5-$K$126&lt;=Inputs!$C$13),INDEX($N$129:$AL$129,1,AB$5-$K$126+1)*INDEX($N$130:$AL$130,1,AB$5-$K$126+1),0)-$I$126*((AB$5=Inputs!$C$12)*$C$128*$D$126+(AB$5=Inputs!$C$13)*$D$128*($D$126+Inputs!$C$14))+$I$126*((AB$5=Inputs!$C$15+$K$126)*$E$128*$I$128+(AB$5=Inputs!$C$16+$K$126)*$F$128*$J$128+(AB$5=Inputs!$C$17)*$G$128*$H$126*$H$128)</f>
        <v>62.2844444444444</v>
      </c>
      <c r="AC131" s="42" t="n">
        <f aca="false">-($D$126+$J$126)*(AC$5=0)+IF(AND(AC$5-$K$126&gt;=1,AC$5-$K$126&lt;=Inputs!$C$13),INDEX($N$129:$AL$129,1,AC$5-$K$126+1)*INDEX($N$130:$AL$130,1,AC$5-$K$126+1),0)-$I$126*((AC$5=Inputs!$C$12)*$C$128*$D$126+(AC$5=Inputs!$C$13)*$D$128*($D$126+Inputs!$C$14))+$I$126*((AC$5=Inputs!$C$15+$K$126)*$E$128*$I$128+(AC$5=Inputs!$C$16+$K$126)*$F$128*$J$128+(AC$5=Inputs!$C$17)*$G$128*$H$126*$H$128)</f>
        <v>62.8942222222222</v>
      </c>
      <c r="AD131" s="42" t="n">
        <f aca="false">-($D$126+$J$126)*(AD$5=0)+IF(AND(AD$5-$K$126&gt;=1,AD$5-$K$126&lt;=Inputs!$C$13),INDEX($N$129:$AL$129,1,AD$5-$K$126+1)*INDEX($N$130:$AL$130,1,AD$5-$K$126+1),0)-$I$126*((AD$5=Inputs!$C$12)*$C$128*$D$126+(AD$5=Inputs!$C$13)*$D$128*($D$126+Inputs!$C$14))+$I$126*((AD$5=Inputs!$C$15+$K$126)*$E$128*$I$128+(AD$5=Inputs!$C$16+$K$126)*$F$128*$J$128+(AD$5=Inputs!$C$17)*$G$128*$H$126*$H$128)</f>
        <v>63.5040000000003</v>
      </c>
      <c r="AE131" s="42" t="n">
        <f aca="false">-($D$126+$J$126)*(AE$5=0)+IF(AND(AE$5-$K$126&gt;=1,AE$5-$K$126&lt;=Inputs!$C$13),INDEX($N$129:$AL$129,1,AE$5-$K$126+1)*INDEX($N$130:$AL$130,1,AE$5-$K$126+1),0)-$I$126*((AE$5=Inputs!$C$12)*$C$128*$D$126+(AE$5=Inputs!$C$13)*$D$128*($D$126+Inputs!$C$14))+$I$126*((AE$5=Inputs!$C$15+$K$126)*$E$128*$I$128+(AE$5=Inputs!$C$16+$K$126)*$F$128*$J$128+(AE$5=Inputs!$C$17)*$G$128*$H$126*$H$128)</f>
        <v>64.1137777777777</v>
      </c>
      <c r="AF131" s="42" t="n">
        <f aca="false">-($D$126+$J$126)*(AF$5=0)+IF(AND(AF$5-$K$126&gt;=1,AF$5-$K$126&lt;=Inputs!$C$13),INDEX($N$129:$AL$129,1,AF$5-$K$126+1)*INDEX($N$130:$AL$130,1,AF$5-$K$126+1),0)-$I$126*((AF$5=Inputs!$C$12)*$C$128*$D$126+(AF$5=Inputs!$C$13)*$D$128*($D$126+Inputs!$C$14))+$I$126*((AF$5=Inputs!$C$15+$K$126)*$E$128*$I$128+(AF$5=Inputs!$C$16+$K$126)*$F$128*$J$128+(AF$5=Inputs!$C$17)*$G$128*$H$126*$H$128)</f>
        <v>64.7235555555555</v>
      </c>
      <c r="AG131" s="42" t="n">
        <f aca="false">-($D$126+$J$126)*(AG$5=0)+IF(AND(AG$5-$K$126&gt;=1,AG$5-$K$126&lt;=Inputs!$C$13),INDEX($N$129:$AL$129,1,AG$5-$K$126+1)*INDEX($N$130:$AL$130,1,AG$5-$K$126+1),0)-$I$126*((AG$5=Inputs!$C$12)*$C$128*$D$126+(AG$5=Inputs!$C$13)*$D$128*($D$126+Inputs!$C$14))+$I$126*((AG$5=Inputs!$C$15+$K$126)*$E$128*$I$128+(AG$5=Inputs!$C$16+$K$126)*$F$128*$J$128+(AG$5=Inputs!$C$17)*$G$128*$H$126*$H$128)</f>
        <v>65.3333333333333</v>
      </c>
      <c r="AH131" s="42" t="n">
        <f aca="false">-($D$126+$J$126)*(AH$5=0)+IF(AND(AH$5-$K$126&gt;=1,AH$5-$K$126&lt;=Inputs!$C$13),INDEX($N$129:$AL$129,1,AH$5-$K$126+1)*INDEX($N$130:$AL$130,1,AH$5-$K$126+1),0)-$I$126*((AH$5=Inputs!$C$12)*$C$128*$D$126+(AH$5=Inputs!$C$13)*$D$128*($D$126+Inputs!$C$14))+$I$126*((AH$5=Inputs!$C$15+$K$126)*$E$128*$I$128+(AH$5=Inputs!$C$16+$K$126)*$F$128*$J$128+(AH$5=Inputs!$C$17)*$G$128*$H$126*$H$128)</f>
        <v>47.1022222222224</v>
      </c>
      <c r="AI131" s="42" t="n">
        <f aca="false">-($D$126+$J$126)*(AI$5=0)+IF(AND(AI$5-$K$126&gt;=1,AI$5-$K$126&lt;=Inputs!$C$13),INDEX($N$129:$AL$129,1,AI$5-$K$126+1)*INDEX($N$130:$AL$130,1,AI$5-$K$126+1),0)-$I$126*((AI$5=Inputs!$C$12)*$C$128*$D$126+(AI$5=Inputs!$C$13)*$D$128*($D$126+Inputs!$C$14))+$I$126*((AI$5=Inputs!$C$15+$K$126)*$E$128*$I$128+(AI$5=Inputs!$C$16+$K$126)*$F$128*$J$128+(AI$5=Inputs!$C$17)*$G$128*$H$126*$H$128)</f>
        <v>47.5377777777776</v>
      </c>
      <c r="AJ131" s="42" t="n">
        <f aca="false">-($D$126+$J$126)*(AJ$5=0)+IF(AND(AJ$5-$K$126&gt;=1,AJ$5-$K$126&lt;=Inputs!$C$13),INDEX($N$129:$AL$129,1,AJ$5-$K$126+1)*INDEX($N$130:$AL$130,1,AJ$5-$K$126+1),0)-$I$126*((AJ$5=Inputs!$C$12)*$C$128*$D$126+(AJ$5=Inputs!$C$13)*$D$128*($D$126+Inputs!$C$14))+$I$126*((AJ$5=Inputs!$C$15+$K$126)*$E$128*$I$128+(AJ$5=Inputs!$C$16+$K$126)*$F$128*$J$128+(AJ$5=Inputs!$C$17)*$G$128*$H$126*$H$128)</f>
        <v>47.9733333333332</v>
      </c>
      <c r="AK131" s="42" t="n">
        <f aca="false">-($D$126+$J$126)*(AK$5=0)+IF(AND(AK$5-$K$126&gt;=1,AK$5-$K$126&lt;=Inputs!$C$13),INDEX($N$129:$AL$129,1,AK$5-$K$126+1)*INDEX($N$130:$AL$130,1,AK$5-$K$126+1),0)-$I$126*((AK$5=Inputs!$C$12)*$C$128*$D$126+(AK$5=Inputs!$C$13)*$D$128*($D$126+Inputs!$C$14))+$I$126*((AK$5=Inputs!$C$15+$K$126)*$E$128*$I$128+(AK$5=Inputs!$C$16+$K$126)*$F$128*$J$128+(AK$5=Inputs!$C$17)*$G$128*$H$126*$H$128)</f>
        <v>48.408888888889</v>
      </c>
      <c r="AL131" s="42" t="n">
        <f aca="false">-($D$126+$J$126)*(AL$5=0)+IF(AND(AL$5-$K$126&gt;=1,AL$5-$K$126&lt;=Inputs!$C$13),INDEX($N$129:$AL$129,1,AL$5-$K$126+1)*INDEX($N$130:$AL$130,1,AL$5-$K$126+1),0)-$I$126*((AL$5=Inputs!$C$12)*$C$128*$D$126+(AL$5=Inputs!$C$13)*$D$128*($D$126+Inputs!$C$14))+$I$126*((AL$5=Inputs!$C$15+$K$126)*$E$128*$I$128+(AL$5=Inputs!$C$16+$K$126)*$F$128*$J$128+(AL$5=Inputs!$C$17)*$G$128*$H$126*$H$128)</f>
        <v>-631.155555555555</v>
      </c>
      <c r="AM131" s="42" t="n">
        <f aca="false">-($D$126+$J$126)*(AM$5=0)+IF(AND(AM$5-$K$126&gt;=1,AM$5-$K$126&lt;=Inputs!$C$13),INDEX($N$129:$AL$129,1,AM$5-$K$126+1)*INDEX($N$130:$AL$130,1,AM$5-$K$126+1),0)-$I$126*((AM$5=Inputs!$C$12)*$C$128*$D$126+(AM$5=Inputs!$C$13)*$D$128*($D$126+Inputs!$C$14))+$I$126*((AM$5=Inputs!$C$15+$K$126)*$E$128*$I$128+(AM$5=Inputs!$C$16+$K$126)*$F$128*$J$128+(AM$5=Inputs!$C$17)*$G$128*$H$126*$H$128)</f>
        <v>49.2799999999998</v>
      </c>
      <c r="AN131" s="42" t="n">
        <f aca="false">-($D$126+$J$126)*(AN$5=0)+IF(AND(AN$5-$K$126&gt;=1,AN$5-$K$126&lt;=Inputs!$C$13),INDEX($N$129:$AL$129,1,AN$5-$K$126+1)*INDEX($N$130:$AL$130,1,AN$5-$K$126+1),0)-$I$126*((AN$5=Inputs!$C$12)*$C$128*$D$126+(AN$5=Inputs!$C$13)*$D$128*($D$126+Inputs!$C$14))+$I$126*((AN$5=Inputs!$C$15+$K$126)*$E$128*$I$128+(AN$5=Inputs!$C$16+$K$126)*$F$128*$J$128+(AN$5=Inputs!$C$17)*$G$128*$H$126*$H$128)</f>
        <v>0</v>
      </c>
      <c r="AO131" s="42" t="n">
        <f aca="false">-($D$126+$J$126)*(AO$5=0)+IF(AND(AO$5-$K$126&gt;=1,AO$5-$K$126&lt;=Inputs!$C$13),INDEX($N$129:$AL$129,1,AO$5-$K$126+1)*INDEX($N$130:$AL$130,1,AO$5-$K$126+1),0)-$I$126*((AO$5=Inputs!$C$12)*$C$128*$D$126+(AO$5=Inputs!$C$13)*$D$128*($D$126+Inputs!$C$14))+$I$126*((AO$5=Inputs!$C$15+$K$126)*$E$128*$I$128+(AO$5=Inputs!$C$16+$K$126)*$F$128*$J$128+(AO$5=Inputs!$C$17)*$G$128*$H$126*$H$128)</f>
        <v>0</v>
      </c>
      <c r="AP131" s="42" t="n">
        <f aca="false">-($D$126+$J$126)*(AP$5=0)+IF(AND(AP$5-$K$126&gt;=1,AP$5-$K$126&lt;=Inputs!$C$13),INDEX($N$129:$AL$129,1,AP$5-$K$126+1)*INDEX($N$130:$AL$130,1,AP$5-$K$126+1),0)-$I$126*((AP$5=Inputs!$C$12)*$C$128*$D$126+(AP$5=Inputs!$C$13)*$D$128*($D$126+Inputs!$C$14))+$I$126*((AP$5=Inputs!$C$15+$K$126)*$E$128*$I$128+(AP$5=Inputs!$C$16+$K$126)*$F$128*$J$128+(AP$5=Inputs!$C$17)*$G$128*$H$126*$H$128)</f>
        <v>581.28</v>
      </c>
      <c r="AQ131" s="42" t="n">
        <f aca="false">-($D$126+$J$126)*(AQ$5=0)+IF(AND(AQ$5-$K$126&gt;=1,AQ$5-$K$126&lt;=Inputs!$C$13),INDEX($N$129:$AL$129,1,AQ$5-$K$126+1)*INDEX($N$130:$AL$130,1,AQ$5-$K$126+1),0)-$I$126*((AQ$5=Inputs!$C$12)*$C$128*$D$126+(AQ$5=Inputs!$C$13)*$D$128*($D$126+Inputs!$C$14))+$I$126*((AQ$5=Inputs!$C$15+$K$126)*$E$128*$I$128+(AQ$5=Inputs!$C$16+$K$126)*$F$128*$J$128+(AQ$5=Inputs!$C$17)*$G$128*$H$126*$H$128)</f>
        <v>0</v>
      </c>
      <c r="AR131" s="42" t="n">
        <f aca="false">-($D$126+$J$126)*(AR$5=0)+IF(AND(AR$5-$K$126&gt;=1,AR$5-$K$126&lt;=Inputs!$C$13),INDEX($N$129:$AL$129,1,AR$5-$K$126+1)*INDEX($N$130:$AL$130,1,AR$5-$K$126+1),0)-$I$126*((AR$5=Inputs!$C$12)*$C$128*$D$126+(AR$5=Inputs!$C$13)*$D$128*($D$126+Inputs!$C$14))+$I$126*((AR$5=Inputs!$C$15+$K$126)*$E$128*$I$128+(AR$5=Inputs!$C$16+$K$126)*$F$128*$J$128+(AR$5=Inputs!$C$17)*$G$128*$H$126*$H$128)</f>
        <v>0</v>
      </c>
      <c r="AS131" s="42" t="n">
        <f aca="false">-($D$126+$J$126)*(AS$5=0)+IF(AND(AS$5-$K$126&gt;=1,AS$5-$K$126&lt;=Inputs!$C$13),INDEX($N$129:$AL$129,1,AS$5-$K$126+1)*INDEX($N$130:$AL$130,1,AS$5-$K$126+1),0)-$I$126*((AS$5=Inputs!$C$12)*$C$128*$D$126+(AS$5=Inputs!$C$13)*$D$128*($D$126+Inputs!$C$14))+$I$126*((AS$5=Inputs!$C$15+$K$126)*$E$128*$I$128+(AS$5=Inputs!$C$16+$K$126)*$F$128*$J$128+(AS$5=Inputs!$C$17)*$G$128*$H$126*$H$128)</f>
        <v>446.16</v>
      </c>
      <c r="AT131" s="42" t="n">
        <f aca="false">-($D$126+$J$126)*(AT$5=0)+IF(AND(AT$5-$K$126&gt;=1,AT$5-$K$126&lt;=Inputs!$C$13),INDEX($N$129:$AL$129,1,AT$5-$K$126+1)*INDEX($N$130:$AL$130,1,AT$5-$K$126+1),0)-$I$126*((AT$5=Inputs!$C$12)*$C$128*$D$126+(AT$5=Inputs!$C$13)*$D$128*($D$126+Inputs!$C$14))+$I$126*((AT$5=Inputs!$C$15+$K$126)*$E$128*$I$128+(AT$5=Inputs!$C$16+$K$126)*$F$128*$J$128+(AT$5=Inputs!$C$17)*$G$128*$H$126*$H$128)</f>
        <v>0</v>
      </c>
      <c r="AU131" s="42" t="n">
        <f aca="false">-($D$126+$J$126)*(AU$5=0)+IF(AND(AU$5-$K$126&gt;=1,AU$5-$K$126&lt;=Inputs!$C$13),INDEX($N$129:$AL$129,1,AU$5-$K$126+1)*INDEX($N$130:$AL$130,1,AU$5-$K$126+1),0)-$I$126*((AU$5=Inputs!$C$12)*$C$128*$D$126+(AU$5=Inputs!$C$13)*$D$128*($D$126+Inputs!$C$14))+$I$126*((AU$5=Inputs!$C$15+$K$126)*$E$128*$I$128+(AU$5=Inputs!$C$16+$K$126)*$F$128*$J$128+(AU$5=Inputs!$C$17)*$G$128*$H$126*$H$128)</f>
        <v>0</v>
      </c>
      <c r="AV131" s="42" t="n">
        <f aca="false">-($D$126+$J$126)*(AV$5=0)+IF(AND(AV$5-$K$126&gt;=1,AV$5-$K$126&lt;=Inputs!$C$13),INDEX($N$129:$AL$129,1,AV$5-$K$126+1)*INDEX($N$130:$AL$130,1,AV$5-$K$126+1),0)-$I$126*((AV$5=Inputs!$C$12)*$C$128*$D$126+(AV$5=Inputs!$C$13)*$D$128*($D$126+Inputs!$C$14))+$I$126*((AV$5=Inputs!$C$15+$K$126)*$E$128*$I$128+(AV$5=Inputs!$C$16+$K$126)*$F$128*$J$128+(AV$5=Inputs!$C$17)*$G$128*$H$126*$H$128)</f>
        <v>0</v>
      </c>
      <c r="AW131" s="42" t="n">
        <f aca="false">-($D$126+$J$126)*(AW$5=0)+IF(AND(AW$5-$K$126&gt;=1,AW$5-$K$126&lt;=Inputs!$C$13),INDEX($N$129:$AL$129,1,AW$5-$K$126+1)*INDEX($N$130:$AL$130,1,AW$5-$K$126+1),0)-$I$126*((AW$5=Inputs!$C$12)*$C$128*$D$126+(AW$5=Inputs!$C$13)*$D$128*($D$126+Inputs!$C$14))+$I$126*((AW$5=Inputs!$C$15+$K$126)*$E$128*$I$128+(AW$5=Inputs!$C$16+$K$126)*$F$128*$J$128+(AW$5=Inputs!$C$17)*$G$128*$H$126*$H$128)</f>
        <v>0</v>
      </c>
      <c r="AX131" s="42" t="n">
        <f aca="false">-($D$126+$J$126)*(AX$5=0)+IF(AND(AX$5-$K$126&gt;=1,AX$5-$K$126&lt;=Inputs!$C$13),INDEX($N$129:$AL$129,1,AX$5-$K$126+1)*INDEX($N$130:$AL$130,1,AX$5-$K$126+1),0)-$I$126*((AX$5=Inputs!$C$12)*$C$128*$D$126+(AX$5=Inputs!$C$13)*$D$128*($D$126+Inputs!$C$14))+$I$126*((AX$5=Inputs!$C$15+$K$126)*$E$128*$I$128+(AX$5=Inputs!$C$16+$K$126)*$F$128*$J$128+(AX$5=Inputs!$C$17)*$G$128*$H$126*$H$128)</f>
        <v>277.2</v>
      </c>
      <c r="AY131" s="42" t="n">
        <f aca="false">-($D$126+$J$126)*(AY$5=0)+IF(AND(AY$5-$K$126&gt;=1,AY$5-$K$126&lt;=Inputs!$C$13),INDEX($N$129:$AL$129,1,AY$5-$K$126+1)*INDEX($N$130:$AL$130,1,AY$5-$K$126+1),0)-$I$126*((AY$5=Inputs!$C$12)*$C$128*$D$126+(AY$5=Inputs!$C$13)*$D$128*($D$126+Inputs!$C$14))+$I$126*((AY$5=Inputs!$C$15+$K$126)*$E$128*$I$128+(AY$5=Inputs!$C$16+$K$126)*$F$128*$J$128+(AY$5=Inputs!$C$17)*$G$128*$H$126*$H$128)</f>
        <v>0</v>
      </c>
    </row>
    <row r="133" customFormat="false" ht="15" hidden="false" customHeight="false" outlineLevel="0" collapsed="false">
      <c r="B133" s="7" t="s">
        <v>255</v>
      </c>
      <c r="C133" s="8"/>
      <c r="D133" s="8"/>
      <c r="E133" s="8"/>
      <c r="F133" s="8"/>
      <c r="G133" s="8"/>
      <c r="H133" s="8"/>
      <c r="I133" s="8"/>
      <c r="J133" s="8"/>
      <c r="K133" s="8"/>
      <c r="L133" s="8"/>
    </row>
    <row r="134" customFormat="false" ht="30" hidden="false" customHeight="true" outlineLevel="0" collapsed="false">
      <c r="B134" s="37"/>
      <c r="C134" s="38" t="s">
        <v>169</v>
      </c>
      <c r="D134" s="38" t="s">
        <v>170</v>
      </c>
      <c r="E134" s="38" t="s">
        <v>171</v>
      </c>
      <c r="F134" s="38" t="s">
        <v>43</v>
      </c>
      <c r="G134" s="38" t="s">
        <v>44</v>
      </c>
      <c r="H134" s="38" t="s">
        <v>45</v>
      </c>
      <c r="I134" s="38" t="s">
        <v>172</v>
      </c>
      <c r="J134" s="38" t="s">
        <v>90</v>
      </c>
      <c r="K134" s="38" t="s">
        <v>89</v>
      </c>
      <c r="L134" s="38" t="s">
        <v>173</v>
      </c>
    </row>
    <row r="135" customFormat="false" ht="15" hidden="false" customHeight="false" outlineLevel="0" collapsed="false">
      <c r="B135" s="39" t="s">
        <v>174</v>
      </c>
      <c r="C135" s="26" t="n">
        <f aca="false">Inputs!$F$43*Inputs!$E$57</f>
        <v>0.065</v>
      </c>
      <c r="D135" s="30" t="n">
        <f aca="false">Inputs!$E$43</f>
        <v>1600</v>
      </c>
      <c r="E135" s="26" t="n">
        <f aca="false">IF(Inputs!$G$43=1,Inputs!$F$27,MIN(1,MAX(0,INDEX(Inputs!$F$23:$F$27,MATCH(Inputs!$C$43,Inputs!$B$23:$B$27,0))+INDEX(Inputs!$C$48:$C$51,MATCH(Inputs!$D$57,Inputs!$B$48:$B$51,0)))))</f>
        <v>0.35</v>
      </c>
      <c r="F135" s="25" t="n">
        <f aca="false">IF(Inputs!$G$43=1,Inputs!$G$27,INDEX(Inputs!$G$23:$G$27,MATCH(Inputs!$C$43,Inputs!$B$23:$B$27,0)))</f>
        <v>0.1</v>
      </c>
      <c r="G135" s="25" t="n">
        <f aca="false">IF(Inputs!$G$43=1,Inputs!$H$27,INDEX(Inputs!$H$23:$H$27,MATCH(Inputs!$C$43,Inputs!$B$23:$B$27,0)))*INDEX(Inputs!$D$48:$D$51,MATCH(Inputs!$D$57,Inputs!$B$48:$B$51,0))</f>
        <v>0.05</v>
      </c>
      <c r="H135" s="25" t="n">
        <f aca="false">MAX(0,IF(Inputs!$G$43=1,Inputs!$I$27,INDEX(Inputs!$I$23:$I$27,MATCH(Inputs!$C$43,Inputs!$B$23:$B$27,0)))+INDEX(Inputs!$E$48:$E$51,MATCH(Inputs!$D$57,Inputs!$B$48:$B$51,0)))</f>
        <v>0</v>
      </c>
      <c r="I135" s="22" t="n">
        <f aca="false">IF(Inputs!$G$43=1,0,INDEX(Inputs!$J$23:$J$27,MATCH(Inputs!$C$43,Inputs!$B$23:$B$27,0)))</f>
        <v>0</v>
      </c>
      <c r="J135" s="23" t="n">
        <f aca="false">Inputs!$G$57</f>
        <v>10</v>
      </c>
      <c r="K135" s="22" t="n">
        <f aca="false">Inputs!$F$57</f>
        <v>1</v>
      </c>
      <c r="L135" s="22" t="n">
        <f aca="false">Inputs!$C$57</f>
        <v>1</v>
      </c>
    </row>
    <row r="136" customFormat="false" ht="30" hidden="false" customHeight="true" outlineLevel="0" collapsed="false">
      <c r="B136" s="37"/>
      <c r="C136" s="38" t="s">
        <v>175</v>
      </c>
      <c r="D136" s="38" t="s">
        <v>176</v>
      </c>
      <c r="E136" s="38" t="s">
        <v>177</v>
      </c>
      <c r="F136" s="38" t="s">
        <v>178</v>
      </c>
      <c r="G136" s="38" t="s">
        <v>112</v>
      </c>
      <c r="H136" s="38" t="s">
        <v>179</v>
      </c>
      <c r="I136" s="38" t="s">
        <v>180</v>
      </c>
      <c r="J136" s="38" t="s">
        <v>181</v>
      </c>
      <c r="K136" s="38" t="s">
        <v>182</v>
      </c>
      <c r="L136" s="38" t="s">
        <v>183</v>
      </c>
    </row>
    <row r="137" customFormat="false" ht="15" hidden="false" customHeight="false" outlineLevel="0" collapsed="false">
      <c r="B137" s="39" t="s">
        <v>184</v>
      </c>
      <c r="C137" s="40" t="n">
        <f aca="false">1-$E$135*CHOOSE($L$135,INDEX(Timing!$C$7:$AA$7,1,Inputs!$C$12+1),INDEX(Timing!$C$8:$AA$8,1,Inputs!$C$12+1))</f>
        <v>0.734</v>
      </c>
      <c r="D137" s="40" t="n">
        <f aca="false">1-$E$135*CHOOSE($L$135,INDEX(Timing!$C$7:$AA$7,1,Inputs!$C$13+1),INDEX(Timing!$C$8:$AA$8,1,Inputs!$C$13+1))</f>
        <v>0.65</v>
      </c>
      <c r="E137" s="40" t="n">
        <f aca="false">$I$135*$D$137*$F$135</f>
        <v>0</v>
      </c>
      <c r="F137" s="40" t="n">
        <f aca="false">$I$135*($D$137-$E$137)*$G$135</f>
        <v>0</v>
      </c>
      <c r="G137" s="40" t="n">
        <f aca="false">$I$135*($D$137-$E$137-$F$137)</f>
        <v>0</v>
      </c>
      <c r="H137" s="23" t="n">
        <f aca="false">$I$135*(3*$D$135+Inputs!$C$14)</f>
        <v>0</v>
      </c>
      <c r="I137" s="23" t="n">
        <f aca="false">$I$135*($D$135*(1+IF($C$135&lt;=0,0,MAX($C$135*Inputs!$C$15/12,Inputs!$C$8)))+$D$135*(1+Inputs!$C$11*(Inputs!$C$15-Inputs!$C$12)/12)+$D$135*(1+Inputs!$C$11*(Inputs!$C$15-Inputs!$C$13)/12)+Inputs!$C$14)</f>
        <v>0</v>
      </c>
      <c r="J137" s="23" t="n">
        <f aca="false">$I$135*($D$135*(1+IF($C$135&lt;=0,0,MAX($C$135*Inputs!$C$16/12,Inputs!$C$8)))+$D$135*(1+Inputs!$C$11*(Inputs!$C$16-Inputs!$C$12)/12)+$D$135*(1+Inputs!$C$11*(Inputs!$C$16-Inputs!$C$13)/12)+Inputs!$C$14)</f>
        <v>0</v>
      </c>
      <c r="K137" s="40" t="n">
        <f aca="false">IRR($N$140:$AY$140,-0.05)</f>
        <v>-0.083440256998601</v>
      </c>
      <c r="L137" s="41" t="n">
        <f aca="false">(1+$K$137)^12-1</f>
        <v>-0.648496754152152</v>
      </c>
    </row>
    <row r="138" customFormat="false" ht="15" hidden="false" customHeight="false" outlineLevel="0" collapsed="false">
      <c r="B138" s="9" t="s">
        <v>185</v>
      </c>
      <c r="N138" s="40" t="n">
        <f aca="false">0</f>
        <v>0</v>
      </c>
      <c r="O138" s="40" t="n">
        <f aca="false">$E$135*(CHOOSE($L$135,Timing!D$7,Timing!D$8)-CHOOSE($L$135,Timing!C$7,Timing!C$8))</f>
        <v>0.042</v>
      </c>
      <c r="P138" s="40" t="n">
        <f aca="false">$E$135*(CHOOSE($L$135,Timing!E$7,Timing!E$8)-CHOOSE($L$135,Timing!D$7,Timing!D$8))</f>
        <v>0.035</v>
      </c>
      <c r="Q138" s="40" t="n">
        <f aca="false">$E$135*(CHOOSE($L$135,Timing!F$7,Timing!F$8)-CHOOSE($L$135,Timing!E$7,Timing!E$8))</f>
        <v>0.0315</v>
      </c>
      <c r="R138" s="40" t="n">
        <f aca="false">$E$135*(CHOOSE($L$135,Timing!G$7,Timing!G$8)-CHOOSE($L$135,Timing!F$7,Timing!F$8))</f>
        <v>0.0245</v>
      </c>
      <c r="S138" s="40" t="n">
        <f aca="false">$E$135*(CHOOSE($L$135,Timing!H$7,Timing!H$8)-CHOOSE($L$135,Timing!G$7,Timing!G$8))</f>
        <v>0.0245</v>
      </c>
      <c r="T138" s="40" t="n">
        <f aca="false">$E$135*(CHOOSE($L$135,Timing!I$7,Timing!I$8)-CHOOSE($L$135,Timing!H$7,Timing!H$8))</f>
        <v>0.0245</v>
      </c>
      <c r="U138" s="40" t="n">
        <f aca="false">$E$135*(CHOOSE($L$135,Timing!J$7,Timing!J$8)-CHOOSE($L$135,Timing!I$7,Timing!I$8))</f>
        <v>0.0151666666666667</v>
      </c>
      <c r="V138" s="40" t="n">
        <f aca="false">$E$135*(CHOOSE($L$135,Timing!K$7,Timing!K$8)-CHOOSE($L$135,Timing!J$7,Timing!J$8))</f>
        <v>0.0151666666666667</v>
      </c>
      <c r="W138" s="40" t="n">
        <f aca="false">$E$135*(CHOOSE($L$135,Timing!L$7,Timing!L$8)-CHOOSE($L$135,Timing!K$7,Timing!K$8))</f>
        <v>0.0151666666666667</v>
      </c>
      <c r="X138" s="40" t="n">
        <f aca="false">$E$135*(CHOOSE($L$135,Timing!M$7,Timing!M$8)-CHOOSE($L$135,Timing!L$7,Timing!L$8))</f>
        <v>0.0128333333333333</v>
      </c>
      <c r="Y138" s="40" t="n">
        <f aca="false">$E$135*(CHOOSE($L$135,Timing!N$7,Timing!N$8)-CHOOSE($L$135,Timing!M$7,Timing!M$8))</f>
        <v>0.0128333333333334</v>
      </c>
      <c r="Z138" s="40" t="n">
        <f aca="false">$E$135*(CHOOSE($L$135,Timing!O$7,Timing!O$8)-CHOOSE($L$135,Timing!N$7,Timing!N$8))</f>
        <v>0.0128333333333333</v>
      </c>
      <c r="AA138" s="40" t="n">
        <f aca="false">$E$135*(CHOOSE($L$135,Timing!P$7,Timing!P$8)-CHOOSE($L$135,Timing!O$7,Timing!O$8))</f>
        <v>0.00816666666666666</v>
      </c>
      <c r="AB138" s="40" t="n">
        <f aca="false">$E$135*(CHOOSE($L$135,Timing!Q$7,Timing!Q$8)-CHOOSE($L$135,Timing!P$7,Timing!P$8))</f>
        <v>0.00816666666666666</v>
      </c>
      <c r="AC138" s="40" t="n">
        <f aca="false">$E$135*(CHOOSE($L$135,Timing!R$7,Timing!R$8)-CHOOSE($L$135,Timing!Q$7,Timing!Q$8))</f>
        <v>0.0081666666666667</v>
      </c>
      <c r="AD138" s="40" t="n">
        <f aca="false">$E$135*(CHOOSE($L$135,Timing!S$7,Timing!S$8)-CHOOSE($L$135,Timing!R$7,Timing!R$8))</f>
        <v>0.00816666666666666</v>
      </c>
      <c r="AE138" s="40" t="n">
        <f aca="false">$E$135*(CHOOSE($L$135,Timing!T$7,Timing!T$8)-CHOOSE($L$135,Timing!S$7,Timing!S$8))</f>
        <v>0.00816666666666666</v>
      </c>
      <c r="AF138" s="40" t="n">
        <f aca="false">$E$135*(CHOOSE($L$135,Timing!U$7,Timing!U$8)-CHOOSE($L$135,Timing!T$7,Timing!T$8))</f>
        <v>0.00816666666666666</v>
      </c>
      <c r="AG138" s="40" t="n">
        <f aca="false">$E$135*(CHOOSE($L$135,Timing!V$7,Timing!V$8)-CHOOSE($L$135,Timing!U$7,Timing!U$8))</f>
        <v>0.00583333333333335</v>
      </c>
      <c r="AH138" s="40" t="n">
        <f aca="false">$E$135*(CHOOSE($L$135,Timing!W$7,Timing!W$8)-CHOOSE($L$135,Timing!V$7,Timing!V$8))</f>
        <v>0.00583333333333331</v>
      </c>
      <c r="AI138" s="40" t="n">
        <f aca="false">$E$135*(CHOOSE($L$135,Timing!X$7,Timing!X$8)-CHOOSE($L$135,Timing!W$7,Timing!W$8))</f>
        <v>0.00583333333333331</v>
      </c>
      <c r="AJ138" s="40" t="n">
        <f aca="false">$E$135*(CHOOSE($L$135,Timing!Y$7,Timing!Y$8)-CHOOSE($L$135,Timing!X$7,Timing!X$8))</f>
        <v>0.00583333333333335</v>
      </c>
      <c r="AK138" s="40" t="n">
        <f aca="false">$E$135*(CHOOSE($L$135,Timing!Z$7,Timing!Z$8)-CHOOSE($L$135,Timing!Y$7,Timing!Y$8))</f>
        <v>0.00583333333333335</v>
      </c>
      <c r="AL138" s="40" t="n">
        <f aca="false">$E$135*(CHOOSE($L$135,Timing!AA$7,Timing!AA$8)-CHOOSE($L$135,Timing!Z$7,Timing!Z$8))</f>
        <v>0.00583333333333331</v>
      </c>
    </row>
    <row r="139" customFormat="false" ht="15" hidden="false" customHeight="false" outlineLevel="0" collapsed="false">
      <c r="B139" s="9" t="s">
        <v>186</v>
      </c>
      <c r="N139" s="42" t="n">
        <f aca="false">0</f>
        <v>0</v>
      </c>
      <c r="O139" s="42" t="n">
        <f aca="false">$D$135*(1+IF($C$135&lt;=0,0,MAX($C$135*O$5/12,Inputs!$C$8)))+$I$135*(O$5&gt;Inputs!$C$12)*$D$135*(1+Inputs!$C$11*(O$5-Inputs!$C$12)/12)</f>
        <v>1680</v>
      </c>
      <c r="P139" s="42" t="n">
        <f aca="false">$D$135*(1+IF($C$135&lt;=0,0,MAX($C$135*P$5/12,Inputs!$C$8)))+$I$135*(P$5&gt;Inputs!$C$12)*$D$135*(1+Inputs!$C$11*(P$5-Inputs!$C$12)/12)</f>
        <v>1680</v>
      </c>
      <c r="Q139" s="42" t="n">
        <f aca="false">$D$135*(1+IF($C$135&lt;=0,0,MAX($C$135*Q$5/12,Inputs!$C$8)))+$I$135*(Q$5&gt;Inputs!$C$12)*$D$135*(1+Inputs!$C$11*(Q$5-Inputs!$C$12)/12)</f>
        <v>1680</v>
      </c>
      <c r="R139" s="42" t="n">
        <f aca="false">$D$135*(1+IF($C$135&lt;=0,0,MAX($C$135*R$5/12,Inputs!$C$8)))+$I$135*(R$5&gt;Inputs!$C$12)*$D$135*(1+Inputs!$C$11*(R$5-Inputs!$C$12)/12)</f>
        <v>1680</v>
      </c>
      <c r="S139" s="42" t="n">
        <f aca="false">$D$135*(1+IF($C$135&lt;=0,0,MAX($C$135*S$5/12,Inputs!$C$8)))+$I$135*(S$5&gt;Inputs!$C$12)*$D$135*(1+Inputs!$C$11*(S$5-Inputs!$C$12)/12)</f>
        <v>1680</v>
      </c>
      <c r="T139" s="42" t="n">
        <f aca="false">$D$135*(1+IF($C$135&lt;=0,0,MAX($C$135*T$5/12,Inputs!$C$8)))+$I$135*(T$5&gt;Inputs!$C$12)*$D$135*(1+Inputs!$C$11*(T$5-Inputs!$C$12)/12)</f>
        <v>1680</v>
      </c>
      <c r="U139" s="42" t="n">
        <f aca="false">$D$135*(1+IF($C$135&lt;=0,0,MAX($C$135*U$5/12,Inputs!$C$8)))+$I$135*(U$5&gt;Inputs!$C$12)*$D$135*(1+Inputs!$C$11*(U$5-Inputs!$C$12)/12)</f>
        <v>1680</v>
      </c>
      <c r="V139" s="42" t="n">
        <f aca="false">$D$135*(1+IF($C$135&lt;=0,0,MAX($C$135*V$5/12,Inputs!$C$8)))+$I$135*(V$5&gt;Inputs!$C$12)*$D$135*(1+Inputs!$C$11*(V$5-Inputs!$C$12)/12)</f>
        <v>1680</v>
      </c>
      <c r="W139" s="42" t="n">
        <f aca="false">$D$135*(1+IF($C$135&lt;=0,0,MAX($C$135*W$5/12,Inputs!$C$8)))+$I$135*(W$5&gt;Inputs!$C$12)*$D$135*(1+Inputs!$C$11*(W$5-Inputs!$C$12)/12)</f>
        <v>1680</v>
      </c>
      <c r="X139" s="42" t="n">
        <f aca="false">$D$135*(1+IF($C$135&lt;=0,0,MAX($C$135*X$5/12,Inputs!$C$8)))+$I$135*(X$5&gt;Inputs!$C$12)*$D$135*(1+Inputs!$C$11*(X$5-Inputs!$C$12)/12)</f>
        <v>1686.66666666667</v>
      </c>
      <c r="Y139" s="42" t="n">
        <f aca="false">$D$135*(1+IF($C$135&lt;=0,0,MAX($C$135*Y$5/12,Inputs!$C$8)))+$I$135*(Y$5&gt;Inputs!$C$12)*$D$135*(1+Inputs!$C$11*(Y$5-Inputs!$C$12)/12)</f>
        <v>1695.33333333333</v>
      </c>
      <c r="Z139" s="42" t="n">
        <f aca="false">$D$135*(1+IF($C$135&lt;=0,0,MAX($C$135*Z$5/12,Inputs!$C$8)))+$I$135*(Z$5&gt;Inputs!$C$12)*$D$135*(1+Inputs!$C$11*(Z$5-Inputs!$C$12)/12)</f>
        <v>1704</v>
      </c>
      <c r="AA139" s="42" t="n">
        <f aca="false">$D$135*(1+IF($C$135&lt;=0,0,MAX($C$135*AA$5/12,Inputs!$C$8)))+$I$135*(AA$5&gt;Inputs!$C$12)*$D$135*(1+Inputs!$C$11*(AA$5-Inputs!$C$12)/12)</f>
        <v>1712.66666666667</v>
      </c>
      <c r="AB139" s="42" t="n">
        <f aca="false">$D$135*(1+IF($C$135&lt;=0,0,MAX($C$135*AB$5/12,Inputs!$C$8)))+$I$135*(AB$5&gt;Inputs!$C$12)*$D$135*(1+Inputs!$C$11*(AB$5-Inputs!$C$12)/12)</f>
        <v>1721.33333333333</v>
      </c>
      <c r="AC139" s="42" t="n">
        <f aca="false">$D$135*(1+IF($C$135&lt;=0,0,MAX($C$135*AC$5/12,Inputs!$C$8)))+$I$135*(AC$5&gt;Inputs!$C$12)*$D$135*(1+Inputs!$C$11*(AC$5-Inputs!$C$12)/12)</f>
        <v>1730</v>
      </c>
      <c r="AD139" s="42" t="n">
        <f aca="false">$D$135*(1+IF($C$135&lt;=0,0,MAX($C$135*AD$5/12,Inputs!$C$8)))+$I$135*(AD$5&gt;Inputs!$C$12)*$D$135*(1+Inputs!$C$11*(AD$5-Inputs!$C$12)/12)</f>
        <v>1738.66666666667</v>
      </c>
      <c r="AE139" s="42" t="n">
        <f aca="false">$D$135*(1+IF($C$135&lt;=0,0,MAX($C$135*AE$5/12,Inputs!$C$8)))+$I$135*(AE$5&gt;Inputs!$C$12)*$D$135*(1+Inputs!$C$11*(AE$5-Inputs!$C$12)/12)</f>
        <v>1747.33333333333</v>
      </c>
      <c r="AF139" s="42" t="n">
        <f aca="false">$D$135*(1+IF($C$135&lt;=0,0,MAX($C$135*AF$5/12,Inputs!$C$8)))+$I$135*(AF$5&gt;Inputs!$C$12)*$D$135*(1+Inputs!$C$11*(AF$5-Inputs!$C$12)/12)</f>
        <v>1756</v>
      </c>
      <c r="AG139" s="42" t="n">
        <f aca="false">$D$135*(1+IF($C$135&lt;=0,0,MAX($C$135*AG$5/12,Inputs!$C$8)))+$I$135*(AG$5&gt;Inputs!$C$12)*$D$135*(1+Inputs!$C$11*(AG$5-Inputs!$C$12)/12)</f>
        <v>1764.66666666667</v>
      </c>
      <c r="AH139" s="42" t="n">
        <f aca="false">$D$135*(1+IF($C$135&lt;=0,0,MAX($C$135*AH$5/12,Inputs!$C$8)))+$I$135*(AH$5&gt;Inputs!$C$12)*$D$135*(1+Inputs!$C$11*(AH$5-Inputs!$C$12)/12)</f>
        <v>1773.33333333333</v>
      </c>
      <c r="AI139" s="42" t="n">
        <f aca="false">$D$135*(1+IF($C$135&lt;=0,0,MAX($C$135*AI$5/12,Inputs!$C$8)))+$I$135*(AI$5&gt;Inputs!$C$12)*$D$135*(1+Inputs!$C$11*(AI$5-Inputs!$C$12)/12)</f>
        <v>1782</v>
      </c>
      <c r="AJ139" s="42" t="n">
        <f aca="false">$D$135*(1+IF($C$135&lt;=0,0,MAX($C$135*AJ$5/12,Inputs!$C$8)))+$I$135*(AJ$5&gt;Inputs!$C$12)*$D$135*(1+Inputs!$C$11*(AJ$5-Inputs!$C$12)/12)</f>
        <v>1790.66666666667</v>
      </c>
      <c r="AK139" s="42" t="n">
        <f aca="false">$D$135*(1+IF($C$135&lt;=0,0,MAX($C$135*AK$5/12,Inputs!$C$8)))+$I$135*(AK$5&gt;Inputs!$C$12)*$D$135*(1+Inputs!$C$11*(AK$5-Inputs!$C$12)/12)</f>
        <v>1799.33333333333</v>
      </c>
      <c r="AL139" s="42" t="n">
        <f aca="false">$D$135*(1+IF($C$135&lt;=0,0,MAX($C$135*AL$5/12,Inputs!$C$8)))+$I$135*(AL$5&gt;Inputs!$C$12)*$D$135*(1+Inputs!$C$11*(AL$5-Inputs!$C$12)/12)</f>
        <v>1808</v>
      </c>
    </row>
    <row r="140" customFormat="false" ht="15" hidden="false" customHeight="false" outlineLevel="0" collapsed="false">
      <c r="B140" s="31" t="s">
        <v>187</v>
      </c>
      <c r="N140" s="42" t="n">
        <f aca="false">-($D$135+$J$135)*(N$5=0)+IF(AND(N$5-$K$135&gt;=1,N$5-$K$135&lt;=Inputs!$C$13),INDEX($N$138:$AL$138,1,N$5-$K$135+1)*INDEX($N$139:$AL$139,1,N$5-$K$135+1),0)-$I$135*((N$5=Inputs!$C$12)*$C$137*$D$135+(N$5=Inputs!$C$13)*$D$137*($D$135+Inputs!$C$14))+$I$135*((N$5=Inputs!$C$15+$K$135)*$E$137*$I$137+(N$5=Inputs!$C$16+$K$135)*$F$137*$J$137+(N$5=Inputs!$C$17)*$G$137*$H$135*$H$137)</f>
        <v>-1610</v>
      </c>
      <c r="O140" s="42" t="n">
        <f aca="false">-($D$135+$J$135)*(O$5=0)+IF(AND(O$5-$K$135&gt;=1,O$5-$K$135&lt;=Inputs!$C$13),INDEX($N$138:$AL$138,1,O$5-$K$135+1)*INDEX($N$139:$AL$139,1,O$5-$K$135+1),0)-$I$135*((O$5=Inputs!$C$12)*$C$137*$D$135+(O$5=Inputs!$C$13)*$D$137*($D$135+Inputs!$C$14))+$I$135*((O$5=Inputs!$C$15+$K$135)*$E$137*$I$137+(O$5=Inputs!$C$16+$K$135)*$F$137*$J$137+(O$5=Inputs!$C$17)*$G$137*$H$135*$H$137)</f>
        <v>0</v>
      </c>
      <c r="P140" s="42" t="n">
        <f aca="false">-($D$135+$J$135)*(P$5=0)+IF(AND(P$5-$K$135&gt;=1,P$5-$K$135&lt;=Inputs!$C$13),INDEX($N$138:$AL$138,1,P$5-$K$135+1)*INDEX($N$139:$AL$139,1,P$5-$K$135+1),0)-$I$135*((P$5=Inputs!$C$12)*$C$137*$D$135+(P$5=Inputs!$C$13)*$D$137*($D$135+Inputs!$C$14))+$I$135*((P$5=Inputs!$C$15+$K$135)*$E$137*$I$137+(P$5=Inputs!$C$16+$K$135)*$F$137*$J$137+(P$5=Inputs!$C$17)*$G$137*$H$135*$H$137)</f>
        <v>70.56</v>
      </c>
      <c r="Q140" s="42" t="n">
        <f aca="false">-($D$135+$J$135)*(Q$5=0)+IF(AND(Q$5-$K$135&gt;=1,Q$5-$K$135&lt;=Inputs!$C$13),INDEX($N$138:$AL$138,1,Q$5-$K$135+1)*INDEX($N$139:$AL$139,1,Q$5-$K$135+1),0)-$I$135*((Q$5=Inputs!$C$12)*$C$137*$D$135+(Q$5=Inputs!$C$13)*$D$137*($D$135+Inputs!$C$14))+$I$135*((Q$5=Inputs!$C$15+$K$135)*$E$137*$I$137+(Q$5=Inputs!$C$16+$K$135)*$F$137*$J$137+(Q$5=Inputs!$C$17)*$G$137*$H$135*$H$137)</f>
        <v>58.8</v>
      </c>
      <c r="R140" s="42" t="n">
        <f aca="false">-($D$135+$J$135)*(R$5=0)+IF(AND(R$5-$K$135&gt;=1,R$5-$K$135&lt;=Inputs!$C$13),INDEX($N$138:$AL$138,1,R$5-$K$135+1)*INDEX($N$139:$AL$139,1,R$5-$K$135+1),0)-$I$135*((R$5=Inputs!$C$12)*$C$137*$D$135+(R$5=Inputs!$C$13)*$D$137*($D$135+Inputs!$C$14))+$I$135*((R$5=Inputs!$C$15+$K$135)*$E$137*$I$137+(R$5=Inputs!$C$16+$K$135)*$F$137*$J$137+(R$5=Inputs!$C$17)*$G$137*$H$135*$H$137)</f>
        <v>52.92</v>
      </c>
      <c r="S140" s="42" t="n">
        <f aca="false">-($D$135+$J$135)*(S$5=0)+IF(AND(S$5-$K$135&gt;=1,S$5-$K$135&lt;=Inputs!$C$13),INDEX($N$138:$AL$138,1,S$5-$K$135+1)*INDEX($N$139:$AL$139,1,S$5-$K$135+1),0)-$I$135*((S$5=Inputs!$C$12)*$C$137*$D$135+(S$5=Inputs!$C$13)*$D$137*($D$135+Inputs!$C$14))+$I$135*((S$5=Inputs!$C$15+$K$135)*$E$137*$I$137+(S$5=Inputs!$C$16+$K$135)*$F$137*$J$137+(S$5=Inputs!$C$17)*$G$137*$H$135*$H$137)</f>
        <v>41.16</v>
      </c>
      <c r="T140" s="42" t="n">
        <f aca="false">-($D$135+$J$135)*(T$5=0)+IF(AND(T$5-$K$135&gt;=1,T$5-$K$135&lt;=Inputs!$C$13),INDEX($N$138:$AL$138,1,T$5-$K$135+1)*INDEX($N$139:$AL$139,1,T$5-$K$135+1),0)-$I$135*((T$5=Inputs!$C$12)*$C$137*$D$135+(T$5=Inputs!$C$13)*$D$137*($D$135+Inputs!$C$14))+$I$135*((T$5=Inputs!$C$15+$K$135)*$E$137*$I$137+(T$5=Inputs!$C$16+$K$135)*$F$137*$J$137+(T$5=Inputs!$C$17)*$G$137*$H$135*$H$137)</f>
        <v>41.16</v>
      </c>
      <c r="U140" s="42" t="n">
        <f aca="false">-($D$135+$J$135)*(U$5=0)+IF(AND(U$5-$K$135&gt;=1,U$5-$K$135&lt;=Inputs!$C$13),INDEX($N$138:$AL$138,1,U$5-$K$135+1)*INDEX($N$139:$AL$139,1,U$5-$K$135+1),0)-$I$135*((U$5=Inputs!$C$12)*$C$137*$D$135+(U$5=Inputs!$C$13)*$D$137*($D$135+Inputs!$C$14))+$I$135*((U$5=Inputs!$C$15+$K$135)*$E$137*$I$137+(U$5=Inputs!$C$16+$K$135)*$F$137*$J$137+(U$5=Inputs!$C$17)*$G$137*$H$135*$H$137)</f>
        <v>41.16</v>
      </c>
      <c r="V140" s="42" t="n">
        <f aca="false">-($D$135+$J$135)*(V$5=0)+IF(AND(V$5-$K$135&gt;=1,V$5-$K$135&lt;=Inputs!$C$13),INDEX($N$138:$AL$138,1,V$5-$K$135+1)*INDEX($N$139:$AL$139,1,V$5-$K$135+1),0)-$I$135*((V$5=Inputs!$C$12)*$C$137*$D$135+(V$5=Inputs!$C$13)*$D$137*($D$135+Inputs!$C$14))+$I$135*((V$5=Inputs!$C$15+$K$135)*$E$137*$I$137+(V$5=Inputs!$C$16+$K$135)*$F$137*$J$137+(V$5=Inputs!$C$17)*$G$137*$H$135*$H$137)</f>
        <v>25.48</v>
      </c>
      <c r="W140" s="42" t="n">
        <f aca="false">-($D$135+$J$135)*(W$5=0)+IF(AND(W$5-$K$135&gt;=1,W$5-$K$135&lt;=Inputs!$C$13),INDEX($N$138:$AL$138,1,W$5-$K$135+1)*INDEX($N$139:$AL$139,1,W$5-$K$135+1),0)-$I$135*((W$5=Inputs!$C$12)*$C$137*$D$135+(W$5=Inputs!$C$13)*$D$137*($D$135+Inputs!$C$14))+$I$135*((W$5=Inputs!$C$15+$K$135)*$E$137*$I$137+(W$5=Inputs!$C$16+$K$135)*$F$137*$J$137+(W$5=Inputs!$C$17)*$G$137*$H$135*$H$137)</f>
        <v>25.48</v>
      </c>
      <c r="X140" s="42" t="n">
        <f aca="false">-($D$135+$J$135)*(X$5=0)+IF(AND(X$5-$K$135&gt;=1,X$5-$K$135&lt;=Inputs!$C$13),INDEX($N$138:$AL$138,1,X$5-$K$135+1)*INDEX($N$139:$AL$139,1,X$5-$K$135+1),0)-$I$135*((X$5=Inputs!$C$12)*$C$137*$D$135+(X$5=Inputs!$C$13)*$D$137*($D$135+Inputs!$C$14))+$I$135*((X$5=Inputs!$C$15+$K$135)*$E$137*$I$137+(X$5=Inputs!$C$16+$K$135)*$F$137*$J$137+(X$5=Inputs!$C$17)*$G$137*$H$135*$H$137)</f>
        <v>25.48</v>
      </c>
      <c r="Y140" s="42" t="n">
        <f aca="false">-($D$135+$J$135)*(Y$5=0)+IF(AND(Y$5-$K$135&gt;=1,Y$5-$K$135&lt;=Inputs!$C$13),INDEX($N$138:$AL$138,1,Y$5-$K$135+1)*INDEX($N$139:$AL$139,1,Y$5-$K$135+1),0)-$I$135*((Y$5=Inputs!$C$12)*$C$137*$D$135+(Y$5=Inputs!$C$13)*$D$137*($D$135+Inputs!$C$14))+$I$135*((Y$5=Inputs!$C$15+$K$135)*$E$137*$I$137+(Y$5=Inputs!$C$16+$K$135)*$F$137*$J$137+(Y$5=Inputs!$C$17)*$G$137*$H$135*$H$137)</f>
        <v>21.6455555555555</v>
      </c>
      <c r="Z140" s="42" t="n">
        <f aca="false">-($D$135+$J$135)*(Z$5=0)+IF(AND(Z$5-$K$135&gt;=1,Z$5-$K$135&lt;=Inputs!$C$13),INDEX($N$138:$AL$138,1,Z$5-$K$135+1)*INDEX($N$139:$AL$139,1,Z$5-$K$135+1),0)-$I$135*((Z$5=Inputs!$C$12)*$C$137*$D$135+(Z$5=Inputs!$C$13)*$D$137*($D$135+Inputs!$C$14))+$I$135*((Z$5=Inputs!$C$15+$K$135)*$E$137*$I$137+(Z$5=Inputs!$C$16+$K$135)*$F$137*$J$137+(Z$5=Inputs!$C$17)*$G$137*$H$135*$H$137)</f>
        <v>21.7567777777778</v>
      </c>
      <c r="AA140" s="42" t="n">
        <f aca="false">-($D$135+$J$135)*(AA$5=0)+IF(AND(AA$5-$K$135&gt;=1,AA$5-$K$135&lt;=Inputs!$C$13),INDEX($N$138:$AL$138,1,AA$5-$K$135+1)*INDEX($N$139:$AL$139,1,AA$5-$K$135+1),0)-$I$135*((AA$5=Inputs!$C$12)*$C$137*$D$135+(AA$5=Inputs!$C$13)*$D$137*($D$135+Inputs!$C$14))+$I$135*((AA$5=Inputs!$C$15+$K$135)*$E$137*$I$137+(AA$5=Inputs!$C$16+$K$135)*$F$137*$J$137+(AA$5=Inputs!$C$17)*$G$137*$H$135*$H$137)</f>
        <v>21.868</v>
      </c>
      <c r="AB140" s="42" t="n">
        <f aca="false">-($D$135+$J$135)*(AB$5=0)+IF(AND(AB$5-$K$135&gt;=1,AB$5-$K$135&lt;=Inputs!$C$13),INDEX($N$138:$AL$138,1,AB$5-$K$135+1)*INDEX($N$139:$AL$139,1,AB$5-$K$135+1),0)-$I$135*((AB$5=Inputs!$C$12)*$C$137*$D$135+(AB$5=Inputs!$C$13)*$D$137*($D$135+Inputs!$C$14))+$I$135*((AB$5=Inputs!$C$15+$K$135)*$E$137*$I$137+(AB$5=Inputs!$C$16+$K$135)*$F$137*$J$137+(AB$5=Inputs!$C$17)*$G$137*$H$135*$H$137)</f>
        <v>13.9867777777778</v>
      </c>
      <c r="AC140" s="42" t="n">
        <f aca="false">-($D$135+$J$135)*(AC$5=0)+IF(AND(AC$5-$K$135&gt;=1,AC$5-$K$135&lt;=Inputs!$C$13),INDEX($N$138:$AL$138,1,AC$5-$K$135+1)*INDEX($N$139:$AL$139,1,AC$5-$K$135+1),0)-$I$135*((AC$5=Inputs!$C$12)*$C$137*$D$135+(AC$5=Inputs!$C$13)*$D$137*($D$135+Inputs!$C$14))+$I$135*((AC$5=Inputs!$C$15+$K$135)*$E$137*$I$137+(AC$5=Inputs!$C$16+$K$135)*$F$137*$J$137+(AC$5=Inputs!$C$17)*$G$137*$H$135*$H$137)</f>
        <v>14.0575555555555</v>
      </c>
      <c r="AD140" s="42" t="n">
        <f aca="false">-($D$135+$J$135)*(AD$5=0)+IF(AND(AD$5-$K$135&gt;=1,AD$5-$K$135&lt;=Inputs!$C$13),INDEX($N$138:$AL$138,1,AD$5-$K$135+1)*INDEX($N$139:$AL$139,1,AD$5-$K$135+1),0)-$I$135*((AD$5=Inputs!$C$12)*$C$137*$D$135+(AD$5=Inputs!$C$13)*$D$137*($D$135+Inputs!$C$14))+$I$135*((AD$5=Inputs!$C$15+$K$135)*$E$137*$I$137+(AD$5=Inputs!$C$16+$K$135)*$F$137*$J$137+(AD$5=Inputs!$C$17)*$G$137*$H$135*$H$137)</f>
        <v>14.1283333333334</v>
      </c>
      <c r="AE140" s="42" t="n">
        <f aca="false">-($D$135+$J$135)*(AE$5=0)+IF(AND(AE$5-$K$135&gt;=1,AE$5-$K$135&lt;=Inputs!$C$13),INDEX($N$138:$AL$138,1,AE$5-$K$135+1)*INDEX($N$139:$AL$139,1,AE$5-$K$135+1),0)-$I$135*((AE$5=Inputs!$C$12)*$C$137*$D$135+(AE$5=Inputs!$C$13)*$D$137*($D$135+Inputs!$C$14))+$I$135*((AE$5=Inputs!$C$15+$K$135)*$E$137*$I$137+(AE$5=Inputs!$C$16+$K$135)*$F$137*$J$137+(AE$5=Inputs!$C$17)*$G$137*$H$135*$H$137)</f>
        <v>14.1991111111111</v>
      </c>
      <c r="AF140" s="42" t="n">
        <f aca="false">-($D$135+$J$135)*(AF$5=0)+IF(AND(AF$5-$K$135&gt;=1,AF$5-$K$135&lt;=Inputs!$C$13),INDEX($N$138:$AL$138,1,AF$5-$K$135+1)*INDEX($N$139:$AL$139,1,AF$5-$K$135+1),0)-$I$135*((AF$5=Inputs!$C$12)*$C$137*$D$135+(AF$5=Inputs!$C$13)*$D$137*($D$135+Inputs!$C$14))+$I$135*((AF$5=Inputs!$C$15+$K$135)*$E$137*$I$137+(AF$5=Inputs!$C$16+$K$135)*$F$137*$J$137+(AF$5=Inputs!$C$17)*$G$137*$H$135*$H$137)</f>
        <v>14.2698888888889</v>
      </c>
      <c r="AG140" s="42" t="n">
        <f aca="false">-($D$135+$J$135)*(AG$5=0)+IF(AND(AG$5-$K$135&gt;=1,AG$5-$K$135&lt;=Inputs!$C$13),INDEX($N$138:$AL$138,1,AG$5-$K$135+1)*INDEX($N$139:$AL$139,1,AG$5-$K$135+1),0)-$I$135*((AG$5=Inputs!$C$12)*$C$137*$D$135+(AG$5=Inputs!$C$13)*$D$137*($D$135+Inputs!$C$14))+$I$135*((AG$5=Inputs!$C$15+$K$135)*$E$137*$I$137+(AG$5=Inputs!$C$16+$K$135)*$F$137*$J$137+(AG$5=Inputs!$C$17)*$G$137*$H$135*$H$137)</f>
        <v>14.3406666666667</v>
      </c>
      <c r="AH140" s="42" t="n">
        <f aca="false">-($D$135+$J$135)*(AH$5=0)+IF(AND(AH$5-$K$135&gt;=1,AH$5-$K$135&lt;=Inputs!$C$13),INDEX($N$138:$AL$138,1,AH$5-$K$135+1)*INDEX($N$139:$AL$139,1,AH$5-$K$135+1),0)-$I$135*((AH$5=Inputs!$C$12)*$C$137*$D$135+(AH$5=Inputs!$C$13)*$D$137*($D$135+Inputs!$C$14))+$I$135*((AH$5=Inputs!$C$15+$K$135)*$E$137*$I$137+(AH$5=Inputs!$C$16+$K$135)*$F$137*$J$137+(AH$5=Inputs!$C$17)*$G$137*$H$135*$H$137)</f>
        <v>10.2938888888889</v>
      </c>
      <c r="AI140" s="42" t="n">
        <f aca="false">-($D$135+$J$135)*(AI$5=0)+IF(AND(AI$5-$K$135&gt;=1,AI$5-$K$135&lt;=Inputs!$C$13),INDEX($N$138:$AL$138,1,AI$5-$K$135+1)*INDEX($N$139:$AL$139,1,AI$5-$K$135+1),0)-$I$135*((AI$5=Inputs!$C$12)*$C$137*$D$135+(AI$5=Inputs!$C$13)*$D$137*($D$135+Inputs!$C$14))+$I$135*((AI$5=Inputs!$C$15+$K$135)*$E$137*$I$137+(AI$5=Inputs!$C$16+$K$135)*$F$137*$J$137+(AI$5=Inputs!$C$17)*$G$137*$H$135*$H$137)</f>
        <v>10.3444444444444</v>
      </c>
      <c r="AJ140" s="42" t="n">
        <f aca="false">-($D$135+$J$135)*(AJ$5=0)+IF(AND(AJ$5-$K$135&gt;=1,AJ$5-$K$135&lt;=Inputs!$C$13),INDEX($N$138:$AL$138,1,AJ$5-$K$135+1)*INDEX($N$139:$AL$139,1,AJ$5-$K$135+1),0)-$I$135*((AJ$5=Inputs!$C$12)*$C$137*$D$135+(AJ$5=Inputs!$C$13)*$D$137*($D$135+Inputs!$C$14))+$I$135*((AJ$5=Inputs!$C$15+$K$135)*$E$137*$I$137+(AJ$5=Inputs!$C$16+$K$135)*$F$137*$J$137+(AJ$5=Inputs!$C$17)*$G$137*$H$135*$H$137)</f>
        <v>10.395</v>
      </c>
      <c r="AK140" s="42" t="n">
        <f aca="false">-($D$135+$J$135)*(AK$5=0)+IF(AND(AK$5-$K$135&gt;=1,AK$5-$K$135&lt;=Inputs!$C$13),INDEX($N$138:$AL$138,1,AK$5-$K$135+1)*INDEX($N$139:$AL$139,1,AK$5-$K$135+1),0)-$I$135*((AK$5=Inputs!$C$12)*$C$137*$D$135+(AK$5=Inputs!$C$13)*$D$137*($D$135+Inputs!$C$14))+$I$135*((AK$5=Inputs!$C$15+$K$135)*$E$137*$I$137+(AK$5=Inputs!$C$16+$K$135)*$F$137*$J$137+(AK$5=Inputs!$C$17)*$G$137*$H$135*$H$137)</f>
        <v>10.4455555555556</v>
      </c>
      <c r="AL140" s="42" t="n">
        <f aca="false">-($D$135+$J$135)*(AL$5=0)+IF(AND(AL$5-$K$135&gt;=1,AL$5-$K$135&lt;=Inputs!$C$13),INDEX($N$138:$AL$138,1,AL$5-$K$135+1)*INDEX($N$139:$AL$139,1,AL$5-$K$135+1),0)-$I$135*((AL$5=Inputs!$C$12)*$C$137*$D$135+(AL$5=Inputs!$C$13)*$D$137*($D$135+Inputs!$C$14))+$I$135*((AL$5=Inputs!$C$15+$K$135)*$E$137*$I$137+(AL$5=Inputs!$C$16+$K$135)*$F$137*$J$137+(AL$5=Inputs!$C$17)*$G$137*$H$135*$H$137)</f>
        <v>10.4961111111111</v>
      </c>
      <c r="AM140" s="42" t="n">
        <f aca="false">-($D$135+$J$135)*(AM$5=0)+IF(AND(AM$5-$K$135&gt;=1,AM$5-$K$135&lt;=Inputs!$C$13),INDEX($N$138:$AL$138,1,AM$5-$K$135+1)*INDEX($N$139:$AL$139,1,AM$5-$K$135+1),0)-$I$135*((AM$5=Inputs!$C$12)*$C$137*$D$135+(AM$5=Inputs!$C$13)*$D$137*($D$135+Inputs!$C$14))+$I$135*((AM$5=Inputs!$C$15+$K$135)*$E$137*$I$137+(AM$5=Inputs!$C$16+$K$135)*$F$137*$J$137+(AM$5=Inputs!$C$17)*$G$137*$H$135*$H$137)</f>
        <v>10.5466666666666</v>
      </c>
      <c r="AN140" s="42" t="n">
        <f aca="false">-($D$135+$J$135)*(AN$5=0)+IF(AND(AN$5-$K$135&gt;=1,AN$5-$K$135&lt;=Inputs!$C$13),INDEX($N$138:$AL$138,1,AN$5-$K$135+1)*INDEX($N$139:$AL$139,1,AN$5-$K$135+1),0)-$I$135*((AN$5=Inputs!$C$12)*$C$137*$D$135+(AN$5=Inputs!$C$13)*$D$137*($D$135+Inputs!$C$14))+$I$135*((AN$5=Inputs!$C$15+$K$135)*$E$137*$I$137+(AN$5=Inputs!$C$16+$K$135)*$F$137*$J$137+(AN$5=Inputs!$C$17)*$G$137*$H$135*$H$137)</f>
        <v>0</v>
      </c>
      <c r="AO140" s="42" t="n">
        <f aca="false">-($D$135+$J$135)*(AO$5=0)+IF(AND(AO$5-$K$135&gt;=1,AO$5-$K$135&lt;=Inputs!$C$13),INDEX($N$138:$AL$138,1,AO$5-$K$135+1)*INDEX($N$139:$AL$139,1,AO$5-$K$135+1),0)-$I$135*((AO$5=Inputs!$C$12)*$C$137*$D$135+(AO$5=Inputs!$C$13)*$D$137*($D$135+Inputs!$C$14))+$I$135*((AO$5=Inputs!$C$15+$K$135)*$E$137*$I$137+(AO$5=Inputs!$C$16+$K$135)*$F$137*$J$137+(AO$5=Inputs!$C$17)*$G$137*$H$135*$H$137)</f>
        <v>0</v>
      </c>
      <c r="AP140" s="42" t="n">
        <f aca="false">-($D$135+$J$135)*(AP$5=0)+IF(AND(AP$5-$K$135&gt;=1,AP$5-$K$135&lt;=Inputs!$C$13),INDEX($N$138:$AL$138,1,AP$5-$K$135+1)*INDEX($N$139:$AL$139,1,AP$5-$K$135+1),0)-$I$135*((AP$5=Inputs!$C$12)*$C$137*$D$135+(AP$5=Inputs!$C$13)*$D$137*($D$135+Inputs!$C$14))+$I$135*((AP$5=Inputs!$C$15+$K$135)*$E$137*$I$137+(AP$5=Inputs!$C$16+$K$135)*$F$137*$J$137+(AP$5=Inputs!$C$17)*$G$137*$H$135*$H$137)</f>
        <v>0</v>
      </c>
      <c r="AQ140" s="42" t="n">
        <f aca="false">-($D$135+$J$135)*(AQ$5=0)+IF(AND(AQ$5-$K$135&gt;=1,AQ$5-$K$135&lt;=Inputs!$C$13),INDEX($N$138:$AL$138,1,AQ$5-$K$135+1)*INDEX($N$139:$AL$139,1,AQ$5-$K$135+1),0)-$I$135*((AQ$5=Inputs!$C$12)*$C$137*$D$135+(AQ$5=Inputs!$C$13)*$D$137*($D$135+Inputs!$C$14))+$I$135*((AQ$5=Inputs!$C$15+$K$135)*$E$137*$I$137+(AQ$5=Inputs!$C$16+$K$135)*$F$137*$J$137+(AQ$5=Inputs!$C$17)*$G$137*$H$135*$H$137)</f>
        <v>0</v>
      </c>
      <c r="AR140" s="42" t="n">
        <f aca="false">-($D$135+$J$135)*(AR$5=0)+IF(AND(AR$5-$K$135&gt;=1,AR$5-$K$135&lt;=Inputs!$C$13),INDEX($N$138:$AL$138,1,AR$5-$K$135+1)*INDEX($N$139:$AL$139,1,AR$5-$K$135+1),0)-$I$135*((AR$5=Inputs!$C$12)*$C$137*$D$135+(AR$5=Inputs!$C$13)*$D$137*($D$135+Inputs!$C$14))+$I$135*((AR$5=Inputs!$C$15+$K$135)*$E$137*$I$137+(AR$5=Inputs!$C$16+$K$135)*$F$137*$J$137+(AR$5=Inputs!$C$17)*$G$137*$H$135*$H$137)</f>
        <v>0</v>
      </c>
      <c r="AS140" s="42" t="n">
        <f aca="false">-($D$135+$J$135)*(AS$5=0)+IF(AND(AS$5-$K$135&gt;=1,AS$5-$K$135&lt;=Inputs!$C$13),INDEX($N$138:$AL$138,1,AS$5-$K$135+1)*INDEX($N$139:$AL$139,1,AS$5-$K$135+1),0)-$I$135*((AS$5=Inputs!$C$12)*$C$137*$D$135+(AS$5=Inputs!$C$13)*$D$137*($D$135+Inputs!$C$14))+$I$135*((AS$5=Inputs!$C$15+$K$135)*$E$137*$I$137+(AS$5=Inputs!$C$16+$K$135)*$F$137*$J$137+(AS$5=Inputs!$C$17)*$G$137*$H$135*$H$137)</f>
        <v>0</v>
      </c>
      <c r="AT140" s="42" t="n">
        <f aca="false">-($D$135+$J$135)*(AT$5=0)+IF(AND(AT$5-$K$135&gt;=1,AT$5-$K$135&lt;=Inputs!$C$13),INDEX($N$138:$AL$138,1,AT$5-$K$135+1)*INDEX($N$139:$AL$139,1,AT$5-$K$135+1),0)-$I$135*((AT$5=Inputs!$C$12)*$C$137*$D$135+(AT$5=Inputs!$C$13)*$D$137*($D$135+Inputs!$C$14))+$I$135*((AT$5=Inputs!$C$15+$K$135)*$E$137*$I$137+(AT$5=Inputs!$C$16+$K$135)*$F$137*$J$137+(AT$5=Inputs!$C$17)*$G$137*$H$135*$H$137)</f>
        <v>0</v>
      </c>
      <c r="AU140" s="42" t="n">
        <f aca="false">-($D$135+$J$135)*(AU$5=0)+IF(AND(AU$5-$K$135&gt;=1,AU$5-$K$135&lt;=Inputs!$C$13),INDEX($N$138:$AL$138,1,AU$5-$K$135+1)*INDEX($N$139:$AL$139,1,AU$5-$K$135+1),0)-$I$135*((AU$5=Inputs!$C$12)*$C$137*$D$135+(AU$5=Inputs!$C$13)*$D$137*($D$135+Inputs!$C$14))+$I$135*((AU$5=Inputs!$C$15+$K$135)*$E$137*$I$137+(AU$5=Inputs!$C$16+$K$135)*$F$137*$J$137+(AU$5=Inputs!$C$17)*$G$137*$H$135*$H$137)</f>
        <v>0</v>
      </c>
      <c r="AV140" s="42" t="n">
        <f aca="false">-($D$135+$J$135)*(AV$5=0)+IF(AND(AV$5-$K$135&gt;=1,AV$5-$K$135&lt;=Inputs!$C$13),INDEX($N$138:$AL$138,1,AV$5-$K$135+1)*INDEX($N$139:$AL$139,1,AV$5-$K$135+1),0)-$I$135*((AV$5=Inputs!$C$12)*$C$137*$D$135+(AV$5=Inputs!$C$13)*$D$137*($D$135+Inputs!$C$14))+$I$135*((AV$5=Inputs!$C$15+$K$135)*$E$137*$I$137+(AV$5=Inputs!$C$16+$K$135)*$F$137*$J$137+(AV$5=Inputs!$C$17)*$G$137*$H$135*$H$137)</f>
        <v>0</v>
      </c>
      <c r="AW140" s="42" t="n">
        <f aca="false">-($D$135+$J$135)*(AW$5=0)+IF(AND(AW$5-$K$135&gt;=1,AW$5-$K$135&lt;=Inputs!$C$13),INDEX($N$138:$AL$138,1,AW$5-$K$135+1)*INDEX($N$139:$AL$139,1,AW$5-$K$135+1),0)-$I$135*((AW$5=Inputs!$C$12)*$C$137*$D$135+(AW$5=Inputs!$C$13)*$D$137*($D$135+Inputs!$C$14))+$I$135*((AW$5=Inputs!$C$15+$K$135)*$E$137*$I$137+(AW$5=Inputs!$C$16+$K$135)*$F$137*$J$137+(AW$5=Inputs!$C$17)*$G$137*$H$135*$H$137)</f>
        <v>0</v>
      </c>
      <c r="AX140" s="42" t="n">
        <f aca="false">-($D$135+$J$135)*(AX$5=0)+IF(AND(AX$5-$K$135&gt;=1,AX$5-$K$135&lt;=Inputs!$C$13),INDEX($N$138:$AL$138,1,AX$5-$K$135+1)*INDEX($N$139:$AL$139,1,AX$5-$K$135+1),0)-$I$135*((AX$5=Inputs!$C$12)*$C$137*$D$135+(AX$5=Inputs!$C$13)*$D$137*($D$135+Inputs!$C$14))+$I$135*((AX$5=Inputs!$C$15+$K$135)*$E$137*$I$137+(AX$5=Inputs!$C$16+$K$135)*$F$137*$J$137+(AX$5=Inputs!$C$17)*$G$137*$H$135*$H$137)</f>
        <v>0</v>
      </c>
      <c r="AY140" s="42" t="n">
        <f aca="false">-($D$135+$J$135)*(AY$5=0)+IF(AND(AY$5-$K$135&gt;=1,AY$5-$K$135&lt;=Inputs!$C$13),INDEX($N$138:$AL$138,1,AY$5-$K$135+1)*INDEX($N$139:$AL$139,1,AY$5-$K$135+1),0)-$I$135*((AY$5=Inputs!$C$12)*$C$137*$D$135+(AY$5=Inputs!$C$13)*$D$137*($D$135+Inputs!$C$14))+$I$135*((AY$5=Inputs!$C$15+$K$135)*$E$137*$I$137+(AY$5=Inputs!$C$16+$K$135)*$F$137*$J$137+(AY$5=Inputs!$C$17)*$G$137*$H$135*$H$137)</f>
        <v>0</v>
      </c>
    </row>
    <row r="142" customFormat="false" ht="15" hidden="false" customHeight="false" outlineLevel="0" collapsed="false">
      <c r="B142" s="7" t="s">
        <v>256</v>
      </c>
      <c r="C142" s="8"/>
      <c r="D142" s="8"/>
      <c r="E142" s="8"/>
      <c r="F142" s="8"/>
      <c r="G142" s="8"/>
      <c r="H142" s="8"/>
      <c r="I142" s="8"/>
      <c r="J142" s="8"/>
      <c r="K142" s="8"/>
      <c r="L142" s="8"/>
    </row>
    <row r="143" customFormat="false" ht="30" hidden="false" customHeight="true" outlineLevel="0" collapsed="false">
      <c r="B143" s="37"/>
      <c r="C143" s="38" t="s">
        <v>169</v>
      </c>
      <c r="D143" s="38" t="s">
        <v>170</v>
      </c>
      <c r="E143" s="38" t="s">
        <v>171</v>
      </c>
      <c r="F143" s="38" t="s">
        <v>43</v>
      </c>
      <c r="G143" s="38" t="s">
        <v>44</v>
      </c>
      <c r="H143" s="38" t="s">
        <v>45</v>
      </c>
      <c r="I143" s="38" t="s">
        <v>172</v>
      </c>
      <c r="J143" s="38" t="s">
        <v>90</v>
      </c>
      <c r="K143" s="38" t="s">
        <v>89</v>
      </c>
      <c r="L143" s="38" t="s">
        <v>173</v>
      </c>
    </row>
    <row r="144" customFormat="false" ht="15" hidden="false" customHeight="false" outlineLevel="0" collapsed="false">
      <c r="B144" s="39" t="s">
        <v>174</v>
      </c>
      <c r="C144" s="26" t="n">
        <f aca="false">Inputs!$F$39*Inputs!$E$58</f>
        <v>0.005</v>
      </c>
      <c r="D144" s="30" t="n">
        <f aca="false">Inputs!$E$39</f>
        <v>4200</v>
      </c>
      <c r="E144" s="26" t="n">
        <f aca="false">IF(Inputs!$G$39=1,Inputs!$F$27,MIN(1,MAX(0,INDEX(Inputs!$F$23:$F$27,MATCH(Inputs!$C$39,Inputs!$B$23:$B$27,0))+INDEX(Inputs!$C$48:$C$51,MATCH(Inputs!$D$58,Inputs!$B$48:$B$51,0)))))</f>
        <v>0.935</v>
      </c>
      <c r="F144" s="25" t="n">
        <f aca="false">IF(Inputs!$G$39=1,Inputs!$G$27,INDEX(Inputs!$G$23:$G$27,MATCH(Inputs!$C$39,Inputs!$B$23:$B$27,0)))</f>
        <v>0.8</v>
      </c>
      <c r="G144" s="25" t="n">
        <f aca="false">IF(Inputs!$G$39=1,Inputs!$H$27,INDEX(Inputs!$H$23:$H$27,MATCH(Inputs!$C$39,Inputs!$B$23:$B$27,0)))*INDEX(Inputs!$D$48:$D$51,MATCH(Inputs!$D$58,Inputs!$B$48:$B$51,0))</f>
        <v>0.7125</v>
      </c>
      <c r="H144" s="25" t="n">
        <f aca="false">MAX(0,IF(Inputs!$G$39=1,Inputs!$I$27,INDEX(Inputs!$I$23:$I$27,MATCH(Inputs!$C$39,Inputs!$B$23:$B$27,0)))+INDEX(Inputs!$E$48:$E$51,MATCH(Inputs!$D$58,Inputs!$B$48:$B$51,0)))</f>
        <v>0.8</v>
      </c>
      <c r="I144" s="22" t="n">
        <f aca="false">IF(Inputs!$G$39=1,0,INDEX(Inputs!$J$23:$J$27,MATCH(Inputs!$C$39,Inputs!$B$23:$B$27,0)))</f>
        <v>1</v>
      </c>
      <c r="J144" s="23" t="n">
        <f aca="false">Inputs!$G$58</f>
        <v>10</v>
      </c>
      <c r="K144" s="22" t="n">
        <f aca="false">Inputs!$F$58</f>
        <v>1</v>
      </c>
      <c r="L144" s="22" t="n">
        <f aca="false">Inputs!$C$58</f>
        <v>1</v>
      </c>
    </row>
    <row r="145" customFormat="false" ht="30" hidden="false" customHeight="true" outlineLevel="0" collapsed="false">
      <c r="B145" s="37"/>
      <c r="C145" s="38" t="s">
        <v>175</v>
      </c>
      <c r="D145" s="38" t="s">
        <v>176</v>
      </c>
      <c r="E145" s="38" t="s">
        <v>177</v>
      </c>
      <c r="F145" s="38" t="s">
        <v>178</v>
      </c>
      <c r="G145" s="38" t="s">
        <v>112</v>
      </c>
      <c r="H145" s="38" t="s">
        <v>179</v>
      </c>
      <c r="I145" s="38" t="s">
        <v>180</v>
      </c>
      <c r="J145" s="38" t="s">
        <v>181</v>
      </c>
      <c r="K145" s="38" t="s">
        <v>182</v>
      </c>
      <c r="L145" s="38" t="s">
        <v>183</v>
      </c>
    </row>
    <row r="146" customFormat="false" ht="15" hidden="false" customHeight="false" outlineLevel="0" collapsed="false">
      <c r="B146" s="39" t="s">
        <v>184</v>
      </c>
      <c r="C146" s="40" t="n">
        <f aca="false">1-$E$144*CHOOSE($L$144,INDEX(Timing!$C$7:$AA$7,1,Inputs!$C$12+1),INDEX(Timing!$C$8:$AA$8,1,Inputs!$C$12+1))</f>
        <v>0.2894</v>
      </c>
      <c r="D146" s="40" t="n">
        <f aca="false">1-$E$144*CHOOSE($L$144,INDEX(Timing!$C$7:$AA$7,1,Inputs!$C$13+1),INDEX(Timing!$C$8:$AA$8,1,Inputs!$C$13+1))</f>
        <v>0.0650000000000001</v>
      </c>
      <c r="E146" s="40" t="n">
        <f aca="false">$I$144*$D$146*$F$144</f>
        <v>0.052</v>
      </c>
      <c r="F146" s="40" t="n">
        <f aca="false">$I$144*($D$146-$E$146)*$G$144</f>
        <v>0.00926250000000001</v>
      </c>
      <c r="G146" s="40" t="n">
        <f aca="false">$I$144*($D$146-$E$146-$F$146)</f>
        <v>0.0037375</v>
      </c>
      <c r="H146" s="23" t="n">
        <f aca="false">$I$144*(3*$D$144+Inputs!$C$14)</f>
        <v>14400</v>
      </c>
      <c r="I146" s="23" t="n">
        <f aca="false">$I$144*($D$144*(1+IF($C$144&lt;=0,0,MAX($C$144*Inputs!$C$15/12,Inputs!$C$8)))+$D$144*(1+Inputs!$C$11*(Inputs!$C$15-Inputs!$C$12)/12)+$D$144*(1+Inputs!$C$11*(Inputs!$C$15-Inputs!$C$13)/12)+Inputs!$C$14)</f>
        <v>15744</v>
      </c>
      <c r="J146" s="23" t="n">
        <f aca="false">$I$144*($D$144*(1+IF($C$144&lt;=0,0,MAX($C$144*Inputs!$C$16/12,Inputs!$C$8)))+$D$144*(1+Inputs!$C$11*(Inputs!$C$16-Inputs!$C$12)/12)+$D$144*(1+Inputs!$C$11*(Inputs!$C$16-Inputs!$C$13)/12)+Inputs!$C$14)</f>
        <v>16122</v>
      </c>
      <c r="K146" s="40" t="n">
        <f aca="false">IRR($N$149:$AY$149,0.005)</f>
        <v>0.00588213121877418</v>
      </c>
      <c r="L146" s="41" t="n">
        <f aca="false">(1+$K$146)^12-1</f>
        <v>0.0729145117772114</v>
      </c>
    </row>
    <row r="147" customFormat="false" ht="15" hidden="false" customHeight="false" outlineLevel="0" collapsed="false">
      <c r="B147" s="9" t="s">
        <v>185</v>
      </c>
      <c r="N147" s="40" t="n">
        <f aca="false">0</f>
        <v>0</v>
      </c>
      <c r="O147" s="40" t="n">
        <f aca="false">$E$144*(CHOOSE($L$144,Timing!D$7,Timing!D$8)-CHOOSE($L$144,Timing!C$7,Timing!C$8))</f>
        <v>0.1122</v>
      </c>
      <c r="P147" s="40" t="n">
        <f aca="false">$E$144*(CHOOSE($L$144,Timing!E$7,Timing!E$8)-CHOOSE($L$144,Timing!D$7,Timing!D$8))</f>
        <v>0.0935</v>
      </c>
      <c r="Q147" s="40" t="n">
        <f aca="false">$E$144*(CHOOSE($L$144,Timing!F$7,Timing!F$8)-CHOOSE($L$144,Timing!E$7,Timing!E$8))</f>
        <v>0.08415</v>
      </c>
      <c r="R147" s="40" t="n">
        <f aca="false">$E$144*(CHOOSE($L$144,Timing!G$7,Timing!G$8)-CHOOSE($L$144,Timing!F$7,Timing!F$8))</f>
        <v>0.06545</v>
      </c>
      <c r="S147" s="40" t="n">
        <f aca="false">$E$144*(CHOOSE($L$144,Timing!H$7,Timing!H$8)-CHOOSE($L$144,Timing!G$7,Timing!G$8))</f>
        <v>0.06545</v>
      </c>
      <c r="T147" s="40" t="n">
        <f aca="false">$E$144*(CHOOSE($L$144,Timing!I$7,Timing!I$8)-CHOOSE($L$144,Timing!H$7,Timing!H$8))</f>
        <v>0.06545</v>
      </c>
      <c r="U147" s="40" t="n">
        <f aca="false">$E$144*(CHOOSE($L$144,Timing!J$7,Timing!J$8)-CHOOSE($L$144,Timing!I$7,Timing!I$8))</f>
        <v>0.0405166666666667</v>
      </c>
      <c r="V147" s="40" t="n">
        <f aca="false">$E$144*(CHOOSE($L$144,Timing!K$7,Timing!K$8)-CHOOSE($L$144,Timing!J$7,Timing!J$8))</f>
        <v>0.0405166666666667</v>
      </c>
      <c r="W147" s="40" t="n">
        <f aca="false">$E$144*(CHOOSE($L$144,Timing!L$7,Timing!L$8)-CHOOSE($L$144,Timing!K$7,Timing!K$8))</f>
        <v>0.0405166666666667</v>
      </c>
      <c r="X147" s="40" t="n">
        <f aca="false">$E$144*(CHOOSE($L$144,Timing!M$7,Timing!M$8)-CHOOSE($L$144,Timing!L$7,Timing!L$8))</f>
        <v>0.0342833333333333</v>
      </c>
      <c r="Y147" s="40" t="n">
        <f aca="false">$E$144*(CHOOSE($L$144,Timing!N$7,Timing!N$8)-CHOOSE($L$144,Timing!M$7,Timing!M$8))</f>
        <v>0.0342833333333334</v>
      </c>
      <c r="Z147" s="40" t="n">
        <f aca="false">$E$144*(CHOOSE($L$144,Timing!O$7,Timing!O$8)-CHOOSE($L$144,Timing!N$7,Timing!N$8))</f>
        <v>0.0342833333333333</v>
      </c>
      <c r="AA147" s="40" t="n">
        <f aca="false">$E$144*(CHOOSE($L$144,Timing!P$7,Timing!P$8)-CHOOSE($L$144,Timing!O$7,Timing!O$8))</f>
        <v>0.0218166666666667</v>
      </c>
      <c r="AB147" s="40" t="n">
        <f aca="false">$E$144*(CHOOSE($L$144,Timing!Q$7,Timing!Q$8)-CHOOSE($L$144,Timing!P$7,Timing!P$8))</f>
        <v>0.0218166666666667</v>
      </c>
      <c r="AC147" s="40" t="n">
        <f aca="false">$E$144*(CHOOSE($L$144,Timing!R$7,Timing!R$8)-CHOOSE($L$144,Timing!Q$7,Timing!Q$8))</f>
        <v>0.0218166666666668</v>
      </c>
      <c r="AD147" s="40" t="n">
        <f aca="false">$E$144*(CHOOSE($L$144,Timing!S$7,Timing!S$8)-CHOOSE($L$144,Timing!R$7,Timing!R$8))</f>
        <v>0.0218166666666667</v>
      </c>
      <c r="AE147" s="40" t="n">
        <f aca="false">$E$144*(CHOOSE($L$144,Timing!T$7,Timing!T$8)-CHOOSE($L$144,Timing!S$7,Timing!S$8))</f>
        <v>0.0218166666666667</v>
      </c>
      <c r="AF147" s="40" t="n">
        <f aca="false">$E$144*(CHOOSE($L$144,Timing!U$7,Timing!U$8)-CHOOSE($L$144,Timing!T$7,Timing!T$8))</f>
        <v>0.0218166666666667</v>
      </c>
      <c r="AG147" s="40" t="n">
        <f aca="false">$E$144*(CHOOSE($L$144,Timing!V$7,Timing!V$8)-CHOOSE($L$144,Timing!U$7,Timing!U$8))</f>
        <v>0.0155833333333334</v>
      </c>
      <c r="AH147" s="40" t="n">
        <f aca="false">$E$144*(CHOOSE($L$144,Timing!W$7,Timing!W$8)-CHOOSE($L$144,Timing!V$7,Timing!V$8))</f>
        <v>0.0155833333333333</v>
      </c>
      <c r="AI147" s="40" t="n">
        <f aca="false">$E$144*(CHOOSE($L$144,Timing!X$7,Timing!X$8)-CHOOSE($L$144,Timing!W$7,Timing!W$8))</f>
        <v>0.0155833333333333</v>
      </c>
      <c r="AJ147" s="40" t="n">
        <f aca="false">$E$144*(CHOOSE($L$144,Timing!Y$7,Timing!Y$8)-CHOOSE($L$144,Timing!X$7,Timing!X$8))</f>
        <v>0.0155833333333334</v>
      </c>
      <c r="AK147" s="40" t="n">
        <f aca="false">$E$144*(CHOOSE($L$144,Timing!Z$7,Timing!Z$8)-CHOOSE($L$144,Timing!Y$7,Timing!Y$8))</f>
        <v>0.0155833333333334</v>
      </c>
      <c r="AL147" s="40" t="n">
        <f aca="false">$E$144*(CHOOSE($L$144,Timing!AA$7,Timing!AA$8)-CHOOSE($L$144,Timing!Z$7,Timing!Z$8))</f>
        <v>0.0155833333333333</v>
      </c>
    </row>
    <row r="148" customFormat="false" ht="15" hidden="false" customHeight="false" outlineLevel="0" collapsed="false">
      <c r="B148" s="9" t="s">
        <v>186</v>
      </c>
      <c r="N148" s="42" t="n">
        <f aca="false">0</f>
        <v>0</v>
      </c>
      <c r="O148" s="42" t="n">
        <f aca="false">$D$144*(1+IF($C$144&lt;=0,0,MAX($C$144*O$5/12,Inputs!$C$8)))+$I$144*(O$5&gt;Inputs!$C$12)*$D$144*(1+Inputs!$C$11*(O$5-Inputs!$C$12)/12)</f>
        <v>4410</v>
      </c>
      <c r="P148" s="42" t="n">
        <f aca="false">$D$144*(1+IF($C$144&lt;=0,0,MAX($C$144*P$5/12,Inputs!$C$8)))+$I$144*(P$5&gt;Inputs!$C$12)*$D$144*(1+Inputs!$C$11*(P$5-Inputs!$C$12)/12)</f>
        <v>4410</v>
      </c>
      <c r="Q148" s="42" t="n">
        <f aca="false">$D$144*(1+IF($C$144&lt;=0,0,MAX($C$144*Q$5/12,Inputs!$C$8)))+$I$144*(Q$5&gt;Inputs!$C$12)*$D$144*(1+Inputs!$C$11*(Q$5-Inputs!$C$12)/12)</f>
        <v>4410</v>
      </c>
      <c r="R148" s="42" t="n">
        <f aca="false">$D$144*(1+IF($C$144&lt;=0,0,MAX($C$144*R$5/12,Inputs!$C$8)))+$I$144*(R$5&gt;Inputs!$C$12)*$D$144*(1+Inputs!$C$11*(R$5-Inputs!$C$12)/12)</f>
        <v>4410</v>
      </c>
      <c r="S148" s="42" t="n">
        <f aca="false">$D$144*(1+IF($C$144&lt;=0,0,MAX($C$144*S$5/12,Inputs!$C$8)))+$I$144*(S$5&gt;Inputs!$C$12)*$D$144*(1+Inputs!$C$11*(S$5-Inputs!$C$12)/12)</f>
        <v>4410</v>
      </c>
      <c r="T148" s="42" t="n">
        <f aca="false">$D$144*(1+IF($C$144&lt;=0,0,MAX($C$144*T$5/12,Inputs!$C$8)))+$I$144*(T$5&gt;Inputs!$C$12)*$D$144*(1+Inputs!$C$11*(T$5-Inputs!$C$12)/12)</f>
        <v>4410</v>
      </c>
      <c r="U148" s="42" t="n">
        <f aca="false">$D$144*(1+IF($C$144&lt;=0,0,MAX($C$144*U$5/12,Inputs!$C$8)))+$I$144*(U$5&gt;Inputs!$C$12)*$D$144*(1+Inputs!$C$11*(U$5-Inputs!$C$12)/12)</f>
        <v>4410</v>
      </c>
      <c r="V148" s="42" t="n">
        <f aca="false">$D$144*(1+IF($C$144&lt;=0,0,MAX($C$144*V$5/12,Inputs!$C$8)))+$I$144*(V$5&gt;Inputs!$C$12)*$D$144*(1+Inputs!$C$11*(V$5-Inputs!$C$12)/12)</f>
        <v>4410</v>
      </c>
      <c r="W148" s="42" t="n">
        <f aca="false">$D$144*(1+IF($C$144&lt;=0,0,MAX($C$144*W$5/12,Inputs!$C$8)))+$I$144*(W$5&gt;Inputs!$C$12)*$D$144*(1+Inputs!$C$11*(W$5-Inputs!$C$12)/12)</f>
        <v>4410</v>
      </c>
      <c r="X148" s="42" t="n">
        <f aca="false">$D$144*(1+IF($C$144&lt;=0,0,MAX($C$144*X$5/12,Inputs!$C$8)))+$I$144*(X$5&gt;Inputs!$C$12)*$D$144*(1+Inputs!$C$11*(X$5-Inputs!$C$12)/12)</f>
        <v>4410</v>
      </c>
      <c r="Y148" s="42" t="n">
        <f aca="false">$D$144*(1+IF($C$144&lt;=0,0,MAX($C$144*Y$5/12,Inputs!$C$8)))+$I$144*(Y$5&gt;Inputs!$C$12)*$D$144*(1+Inputs!$C$11*(Y$5-Inputs!$C$12)/12)</f>
        <v>4410</v>
      </c>
      <c r="Z148" s="42" t="n">
        <f aca="false">$D$144*(1+IF($C$144&lt;=0,0,MAX($C$144*Z$5/12,Inputs!$C$8)))+$I$144*(Z$5&gt;Inputs!$C$12)*$D$144*(1+Inputs!$C$11*(Z$5-Inputs!$C$12)/12)</f>
        <v>4410</v>
      </c>
      <c r="AA148" s="42" t="n">
        <f aca="false">$D$144*(1+IF($C$144&lt;=0,0,MAX($C$144*AA$5/12,Inputs!$C$8)))+$I$144*(AA$5&gt;Inputs!$C$12)*$D$144*(1+Inputs!$C$11*(AA$5-Inputs!$C$12)/12)</f>
        <v>8673</v>
      </c>
      <c r="AB148" s="42" t="n">
        <f aca="false">$D$144*(1+IF($C$144&lt;=0,0,MAX($C$144*AB$5/12,Inputs!$C$8)))+$I$144*(AB$5&gt;Inputs!$C$12)*$D$144*(1+Inputs!$C$11*(AB$5-Inputs!$C$12)/12)</f>
        <v>8736</v>
      </c>
      <c r="AC148" s="42" t="n">
        <f aca="false">$D$144*(1+IF($C$144&lt;=0,0,MAX($C$144*AC$5/12,Inputs!$C$8)))+$I$144*(AC$5&gt;Inputs!$C$12)*$D$144*(1+Inputs!$C$11*(AC$5-Inputs!$C$12)/12)</f>
        <v>8799</v>
      </c>
      <c r="AD148" s="42" t="n">
        <f aca="false">$D$144*(1+IF($C$144&lt;=0,0,MAX($C$144*AD$5/12,Inputs!$C$8)))+$I$144*(AD$5&gt;Inputs!$C$12)*$D$144*(1+Inputs!$C$11*(AD$5-Inputs!$C$12)/12)</f>
        <v>8862</v>
      </c>
      <c r="AE148" s="42" t="n">
        <f aca="false">$D$144*(1+IF($C$144&lt;=0,0,MAX($C$144*AE$5/12,Inputs!$C$8)))+$I$144*(AE$5&gt;Inputs!$C$12)*$D$144*(1+Inputs!$C$11*(AE$5-Inputs!$C$12)/12)</f>
        <v>8925</v>
      </c>
      <c r="AF148" s="42" t="n">
        <f aca="false">$D$144*(1+IF($C$144&lt;=0,0,MAX($C$144*AF$5/12,Inputs!$C$8)))+$I$144*(AF$5&gt;Inputs!$C$12)*$D$144*(1+Inputs!$C$11*(AF$5-Inputs!$C$12)/12)</f>
        <v>8988</v>
      </c>
      <c r="AG148" s="42" t="n">
        <f aca="false">$D$144*(1+IF($C$144&lt;=0,0,MAX($C$144*AG$5/12,Inputs!$C$8)))+$I$144*(AG$5&gt;Inputs!$C$12)*$D$144*(1+Inputs!$C$11*(AG$5-Inputs!$C$12)/12)</f>
        <v>9051</v>
      </c>
      <c r="AH148" s="42" t="n">
        <f aca="false">$D$144*(1+IF($C$144&lt;=0,0,MAX($C$144*AH$5/12,Inputs!$C$8)))+$I$144*(AH$5&gt;Inputs!$C$12)*$D$144*(1+Inputs!$C$11*(AH$5-Inputs!$C$12)/12)</f>
        <v>9114</v>
      </c>
      <c r="AI148" s="42" t="n">
        <f aca="false">$D$144*(1+IF($C$144&lt;=0,0,MAX($C$144*AI$5/12,Inputs!$C$8)))+$I$144*(AI$5&gt;Inputs!$C$12)*$D$144*(1+Inputs!$C$11*(AI$5-Inputs!$C$12)/12)</f>
        <v>9177</v>
      </c>
      <c r="AJ148" s="42" t="n">
        <f aca="false">$D$144*(1+IF($C$144&lt;=0,0,MAX($C$144*AJ$5/12,Inputs!$C$8)))+$I$144*(AJ$5&gt;Inputs!$C$12)*$D$144*(1+Inputs!$C$11*(AJ$5-Inputs!$C$12)/12)</f>
        <v>9240</v>
      </c>
      <c r="AK148" s="42" t="n">
        <f aca="false">$D$144*(1+IF($C$144&lt;=0,0,MAX($C$144*AK$5/12,Inputs!$C$8)))+$I$144*(AK$5&gt;Inputs!$C$12)*$D$144*(1+Inputs!$C$11*(AK$5-Inputs!$C$12)/12)</f>
        <v>9303</v>
      </c>
      <c r="AL148" s="42" t="n">
        <f aca="false">$D$144*(1+IF($C$144&lt;=0,0,MAX($C$144*AL$5/12,Inputs!$C$8)))+$I$144*(AL$5&gt;Inputs!$C$12)*$D$144*(1+Inputs!$C$11*(AL$5-Inputs!$C$12)/12)</f>
        <v>9366</v>
      </c>
    </row>
    <row r="149" customFormat="false" ht="15" hidden="false" customHeight="false" outlineLevel="0" collapsed="false">
      <c r="B149" s="31" t="s">
        <v>187</v>
      </c>
      <c r="N149" s="42" t="n">
        <f aca="false">-($D$144+$J$144)*(N$5=0)+IF(AND(N$5-$K$144&gt;=1,N$5-$K$144&lt;=Inputs!$C$13),INDEX($N$147:$AL$147,1,N$5-$K$144+1)*INDEX($N$148:$AL$148,1,N$5-$K$144+1),0)-$I$144*((N$5=Inputs!$C$12)*$C$146*$D$144+(N$5=Inputs!$C$13)*$D$146*($D$144+Inputs!$C$14))+$I$144*((N$5=Inputs!$C$15+$K$144)*$E$146*$I$146+(N$5=Inputs!$C$16+$K$144)*$F$146*$J$146+(N$5=Inputs!$C$17)*$G$146*$H$144*$H$146)</f>
        <v>-4210</v>
      </c>
      <c r="O149" s="42" t="n">
        <f aca="false">-($D$144+$J$144)*(O$5=0)+IF(AND(O$5-$K$144&gt;=1,O$5-$K$144&lt;=Inputs!$C$13),INDEX($N$147:$AL$147,1,O$5-$K$144+1)*INDEX($N$148:$AL$148,1,O$5-$K$144+1),0)-$I$144*((O$5=Inputs!$C$12)*$C$146*$D$144+(O$5=Inputs!$C$13)*$D$146*($D$144+Inputs!$C$14))+$I$144*((O$5=Inputs!$C$15+$K$144)*$E$146*$I$146+(O$5=Inputs!$C$16+$K$144)*$F$146*$J$146+(O$5=Inputs!$C$17)*$G$146*$H$144*$H$146)</f>
        <v>0</v>
      </c>
      <c r="P149" s="42" t="n">
        <f aca="false">-($D$144+$J$144)*(P$5=0)+IF(AND(P$5-$K$144&gt;=1,P$5-$K$144&lt;=Inputs!$C$13),INDEX($N$147:$AL$147,1,P$5-$K$144+1)*INDEX($N$148:$AL$148,1,P$5-$K$144+1),0)-$I$144*((P$5=Inputs!$C$12)*$C$146*$D$144+(P$5=Inputs!$C$13)*$D$146*($D$144+Inputs!$C$14))+$I$144*((P$5=Inputs!$C$15+$K$144)*$E$146*$I$146+(P$5=Inputs!$C$16+$K$144)*$F$146*$J$146+(P$5=Inputs!$C$17)*$G$146*$H$144*$H$146)</f>
        <v>494.802</v>
      </c>
      <c r="Q149" s="42" t="n">
        <f aca="false">-($D$144+$J$144)*(Q$5=0)+IF(AND(Q$5-$K$144&gt;=1,Q$5-$K$144&lt;=Inputs!$C$13),INDEX($N$147:$AL$147,1,Q$5-$K$144+1)*INDEX($N$148:$AL$148,1,Q$5-$K$144+1),0)-$I$144*((Q$5=Inputs!$C$12)*$C$146*$D$144+(Q$5=Inputs!$C$13)*$D$146*($D$144+Inputs!$C$14))+$I$144*((Q$5=Inputs!$C$15+$K$144)*$E$146*$I$146+(Q$5=Inputs!$C$16+$K$144)*$F$146*$J$146+(Q$5=Inputs!$C$17)*$G$146*$H$144*$H$146)</f>
        <v>412.335</v>
      </c>
      <c r="R149" s="42" t="n">
        <f aca="false">-($D$144+$J$144)*(R$5=0)+IF(AND(R$5-$K$144&gt;=1,R$5-$K$144&lt;=Inputs!$C$13),INDEX($N$147:$AL$147,1,R$5-$K$144+1)*INDEX($N$148:$AL$148,1,R$5-$K$144+1),0)-$I$144*((R$5=Inputs!$C$12)*$C$146*$D$144+(R$5=Inputs!$C$13)*$D$146*($D$144+Inputs!$C$14))+$I$144*((R$5=Inputs!$C$15+$K$144)*$E$146*$I$146+(R$5=Inputs!$C$16+$K$144)*$F$146*$J$146+(R$5=Inputs!$C$17)*$G$146*$H$144*$H$146)</f>
        <v>371.1015</v>
      </c>
      <c r="S149" s="42" t="n">
        <f aca="false">-($D$144+$J$144)*(S$5=0)+IF(AND(S$5-$K$144&gt;=1,S$5-$K$144&lt;=Inputs!$C$13),INDEX($N$147:$AL$147,1,S$5-$K$144+1)*INDEX($N$148:$AL$148,1,S$5-$K$144+1),0)-$I$144*((S$5=Inputs!$C$12)*$C$146*$D$144+(S$5=Inputs!$C$13)*$D$146*($D$144+Inputs!$C$14))+$I$144*((S$5=Inputs!$C$15+$K$144)*$E$146*$I$146+(S$5=Inputs!$C$16+$K$144)*$F$146*$J$146+(S$5=Inputs!$C$17)*$G$146*$H$144*$H$146)</f>
        <v>288.6345</v>
      </c>
      <c r="T149" s="42" t="n">
        <f aca="false">-($D$144+$J$144)*(T$5=0)+IF(AND(T$5-$K$144&gt;=1,T$5-$K$144&lt;=Inputs!$C$13),INDEX($N$147:$AL$147,1,T$5-$K$144+1)*INDEX($N$148:$AL$148,1,T$5-$K$144+1),0)-$I$144*((T$5=Inputs!$C$12)*$C$146*$D$144+(T$5=Inputs!$C$13)*$D$146*($D$144+Inputs!$C$14))+$I$144*((T$5=Inputs!$C$15+$K$144)*$E$146*$I$146+(T$5=Inputs!$C$16+$K$144)*$F$146*$J$146+(T$5=Inputs!$C$17)*$G$146*$H$144*$H$146)</f>
        <v>288.6345</v>
      </c>
      <c r="U149" s="42" t="n">
        <f aca="false">-($D$144+$J$144)*(U$5=0)+IF(AND(U$5-$K$144&gt;=1,U$5-$K$144&lt;=Inputs!$C$13),INDEX($N$147:$AL$147,1,U$5-$K$144+1)*INDEX($N$148:$AL$148,1,U$5-$K$144+1),0)-$I$144*((U$5=Inputs!$C$12)*$C$146*$D$144+(U$5=Inputs!$C$13)*$D$146*($D$144+Inputs!$C$14))+$I$144*((U$5=Inputs!$C$15+$K$144)*$E$146*$I$146+(U$5=Inputs!$C$16+$K$144)*$F$146*$J$146+(U$5=Inputs!$C$17)*$G$146*$H$144*$H$146)</f>
        <v>288.6345</v>
      </c>
      <c r="V149" s="42" t="n">
        <f aca="false">-($D$144+$J$144)*(V$5=0)+IF(AND(V$5-$K$144&gt;=1,V$5-$K$144&lt;=Inputs!$C$13),INDEX($N$147:$AL$147,1,V$5-$K$144+1)*INDEX($N$148:$AL$148,1,V$5-$K$144+1),0)-$I$144*((V$5=Inputs!$C$12)*$C$146*$D$144+(V$5=Inputs!$C$13)*$D$146*($D$144+Inputs!$C$14))+$I$144*((V$5=Inputs!$C$15+$K$144)*$E$146*$I$146+(V$5=Inputs!$C$16+$K$144)*$F$146*$J$146+(V$5=Inputs!$C$17)*$G$146*$H$144*$H$146)</f>
        <v>178.6785</v>
      </c>
      <c r="W149" s="42" t="n">
        <f aca="false">-($D$144+$J$144)*(W$5=0)+IF(AND(W$5-$K$144&gt;=1,W$5-$K$144&lt;=Inputs!$C$13),INDEX($N$147:$AL$147,1,W$5-$K$144+1)*INDEX($N$148:$AL$148,1,W$5-$K$144+1),0)-$I$144*((W$5=Inputs!$C$12)*$C$146*$D$144+(W$5=Inputs!$C$13)*$D$146*($D$144+Inputs!$C$14))+$I$144*((W$5=Inputs!$C$15+$K$144)*$E$146*$I$146+(W$5=Inputs!$C$16+$K$144)*$F$146*$J$146+(W$5=Inputs!$C$17)*$G$146*$H$144*$H$146)</f>
        <v>178.6785</v>
      </c>
      <c r="X149" s="42" t="n">
        <f aca="false">-($D$144+$J$144)*(X$5=0)+IF(AND(X$5-$K$144&gt;=1,X$5-$K$144&lt;=Inputs!$C$13),INDEX($N$147:$AL$147,1,X$5-$K$144+1)*INDEX($N$148:$AL$148,1,X$5-$K$144+1),0)-$I$144*((X$5=Inputs!$C$12)*$C$146*$D$144+(X$5=Inputs!$C$13)*$D$146*($D$144+Inputs!$C$14))+$I$144*((X$5=Inputs!$C$15+$K$144)*$E$146*$I$146+(X$5=Inputs!$C$16+$K$144)*$F$146*$J$146+(X$5=Inputs!$C$17)*$G$146*$H$144*$H$146)</f>
        <v>178.6785</v>
      </c>
      <c r="Y149" s="42" t="n">
        <f aca="false">-($D$144+$J$144)*(Y$5=0)+IF(AND(Y$5-$K$144&gt;=1,Y$5-$K$144&lt;=Inputs!$C$13),INDEX($N$147:$AL$147,1,Y$5-$K$144+1)*INDEX($N$148:$AL$148,1,Y$5-$K$144+1),0)-$I$144*((Y$5=Inputs!$C$12)*$C$146*$D$144+(Y$5=Inputs!$C$13)*$D$146*($D$144+Inputs!$C$14))+$I$144*((Y$5=Inputs!$C$15+$K$144)*$E$146*$I$146+(Y$5=Inputs!$C$16+$K$144)*$F$146*$J$146+(Y$5=Inputs!$C$17)*$G$146*$H$144*$H$146)</f>
        <v>151.1895</v>
      </c>
      <c r="Z149" s="42" t="n">
        <f aca="false">-($D$144+$J$144)*(Z$5=0)+IF(AND(Z$5-$K$144&gt;=1,Z$5-$K$144&lt;=Inputs!$C$13),INDEX($N$147:$AL$147,1,Z$5-$K$144+1)*INDEX($N$148:$AL$148,1,Z$5-$K$144+1),0)-$I$144*((Z$5=Inputs!$C$12)*$C$146*$D$144+(Z$5=Inputs!$C$13)*$D$146*($D$144+Inputs!$C$14))+$I$144*((Z$5=Inputs!$C$15+$K$144)*$E$146*$I$146+(Z$5=Inputs!$C$16+$K$144)*$F$146*$J$146+(Z$5=Inputs!$C$17)*$G$146*$H$144*$H$146)</f>
        <v>-1064.2905</v>
      </c>
      <c r="AA149" s="42" t="n">
        <f aca="false">-($D$144+$J$144)*(AA$5=0)+IF(AND(AA$5-$K$144&gt;=1,AA$5-$K$144&lt;=Inputs!$C$13),INDEX($N$147:$AL$147,1,AA$5-$K$144+1)*INDEX($N$148:$AL$148,1,AA$5-$K$144+1),0)-$I$144*((AA$5=Inputs!$C$12)*$C$146*$D$144+(AA$5=Inputs!$C$13)*$D$146*($D$144+Inputs!$C$14))+$I$144*((AA$5=Inputs!$C$15+$K$144)*$E$146*$I$146+(AA$5=Inputs!$C$16+$K$144)*$F$146*$J$146+(AA$5=Inputs!$C$17)*$G$146*$H$144*$H$146)</f>
        <v>151.1895</v>
      </c>
      <c r="AB149" s="42" t="n">
        <f aca="false">-($D$144+$J$144)*(AB$5=0)+IF(AND(AB$5-$K$144&gt;=1,AB$5-$K$144&lt;=Inputs!$C$13),INDEX($N$147:$AL$147,1,AB$5-$K$144+1)*INDEX($N$148:$AL$148,1,AB$5-$K$144+1),0)-$I$144*((AB$5=Inputs!$C$12)*$C$146*$D$144+(AB$5=Inputs!$C$13)*$D$146*($D$144+Inputs!$C$14))+$I$144*((AB$5=Inputs!$C$15+$K$144)*$E$146*$I$146+(AB$5=Inputs!$C$16+$K$144)*$F$146*$J$146+(AB$5=Inputs!$C$17)*$G$146*$H$144*$H$146)</f>
        <v>189.21595</v>
      </c>
      <c r="AC149" s="42" t="n">
        <f aca="false">-($D$144+$J$144)*(AC$5=0)+IF(AND(AC$5-$K$144&gt;=1,AC$5-$K$144&lt;=Inputs!$C$13),INDEX($N$147:$AL$147,1,AC$5-$K$144+1)*INDEX($N$148:$AL$148,1,AC$5-$K$144+1),0)-$I$144*((AC$5=Inputs!$C$12)*$C$146*$D$144+(AC$5=Inputs!$C$13)*$D$146*($D$144+Inputs!$C$14))+$I$144*((AC$5=Inputs!$C$15+$K$144)*$E$146*$I$146+(AC$5=Inputs!$C$16+$K$144)*$F$146*$J$146+(AC$5=Inputs!$C$17)*$G$146*$H$144*$H$146)</f>
        <v>190.5904</v>
      </c>
      <c r="AD149" s="42" t="n">
        <f aca="false">-($D$144+$J$144)*(AD$5=0)+IF(AND(AD$5-$K$144&gt;=1,AD$5-$K$144&lt;=Inputs!$C$13),INDEX($N$147:$AL$147,1,AD$5-$K$144+1)*INDEX($N$148:$AL$148,1,AD$5-$K$144+1),0)-$I$144*((AD$5=Inputs!$C$12)*$C$146*$D$144+(AD$5=Inputs!$C$13)*$D$146*($D$144+Inputs!$C$14))+$I$144*((AD$5=Inputs!$C$15+$K$144)*$E$146*$I$146+(AD$5=Inputs!$C$16+$K$144)*$F$146*$J$146+(AD$5=Inputs!$C$17)*$G$146*$H$144*$H$146)</f>
        <v>191.964850000001</v>
      </c>
      <c r="AE149" s="42" t="n">
        <f aca="false">-($D$144+$J$144)*(AE$5=0)+IF(AND(AE$5-$K$144&gt;=1,AE$5-$K$144&lt;=Inputs!$C$13),INDEX($N$147:$AL$147,1,AE$5-$K$144+1)*INDEX($N$148:$AL$148,1,AE$5-$K$144+1),0)-$I$144*((AE$5=Inputs!$C$12)*$C$146*$D$144+(AE$5=Inputs!$C$13)*$D$146*($D$144+Inputs!$C$14))+$I$144*((AE$5=Inputs!$C$15+$K$144)*$E$146*$I$146+(AE$5=Inputs!$C$16+$K$144)*$F$146*$J$146+(AE$5=Inputs!$C$17)*$G$146*$H$144*$H$146)</f>
        <v>193.3393</v>
      </c>
      <c r="AF149" s="42" t="n">
        <f aca="false">-($D$144+$J$144)*(AF$5=0)+IF(AND(AF$5-$K$144&gt;=1,AF$5-$K$144&lt;=Inputs!$C$13),INDEX($N$147:$AL$147,1,AF$5-$K$144+1)*INDEX($N$148:$AL$148,1,AF$5-$K$144+1),0)-$I$144*((AF$5=Inputs!$C$12)*$C$146*$D$144+(AF$5=Inputs!$C$13)*$D$146*($D$144+Inputs!$C$14))+$I$144*((AF$5=Inputs!$C$15+$K$144)*$E$146*$I$146+(AF$5=Inputs!$C$16+$K$144)*$F$146*$J$146+(AF$5=Inputs!$C$17)*$G$146*$H$144*$H$146)</f>
        <v>194.71375</v>
      </c>
      <c r="AG149" s="42" t="n">
        <f aca="false">-($D$144+$J$144)*(AG$5=0)+IF(AND(AG$5-$K$144&gt;=1,AG$5-$K$144&lt;=Inputs!$C$13),INDEX($N$147:$AL$147,1,AG$5-$K$144+1)*INDEX($N$148:$AL$148,1,AG$5-$K$144+1),0)-$I$144*((AG$5=Inputs!$C$12)*$C$146*$D$144+(AG$5=Inputs!$C$13)*$D$146*($D$144+Inputs!$C$14))+$I$144*((AG$5=Inputs!$C$15+$K$144)*$E$146*$I$146+(AG$5=Inputs!$C$16+$K$144)*$F$146*$J$146+(AG$5=Inputs!$C$17)*$G$146*$H$144*$H$146)</f>
        <v>196.0882</v>
      </c>
      <c r="AH149" s="42" t="n">
        <f aca="false">-($D$144+$J$144)*(AH$5=0)+IF(AND(AH$5-$K$144&gt;=1,AH$5-$K$144&lt;=Inputs!$C$13),INDEX($N$147:$AL$147,1,AH$5-$K$144+1)*INDEX($N$148:$AL$148,1,AH$5-$K$144+1),0)-$I$144*((AH$5=Inputs!$C$12)*$C$146*$D$144+(AH$5=Inputs!$C$13)*$D$146*($D$144+Inputs!$C$14))+$I$144*((AH$5=Inputs!$C$15+$K$144)*$E$146*$I$146+(AH$5=Inputs!$C$16+$K$144)*$F$146*$J$146+(AH$5=Inputs!$C$17)*$G$146*$H$144*$H$146)</f>
        <v>141.04475</v>
      </c>
      <c r="AI149" s="42" t="n">
        <f aca="false">-($D$144+$J$144)*(AI$5=0)+IF(AND(AI$5-$K$144&gt;=1,AI$5-$K$144&lt;=Inputs!$C$13),INDEX($N$147:$AL$147,1,AI$5-$K$144+1)*INDEX($N$148:$AL$148,1,AI$5-$K$144+1),0)-$I$144*((AI$5=Inputs!$C$12)*$C$146*$D$144+(AI$5=Inputs!$C$13)*$D$146*($D$144+Inputs!$C$14))+$I$144*((AI$5=Inputs!$C$15+$K$144)*$E$146*$I$146+(AI$5=Inputs!$C$16+$K$144)*$F$146*$J$146+(AI$5=Inputs!$C$17)*$G$146*$H$144*$H$146)</f>
        <v>142.0265</v>
      </c>
      <c r="AJ149" s="42" t="n">
        <f aca="false">-($D$144+$J$144)*(AJ$5=0)+IF(AND(AJ$5-$K$144&gt;=1,AJ$5-$K$144&lt;=Inputs!$C$13),INDEX($N$147:$AL$147,1,AJ$5-$K$144+1)*INDEX($N$148:$AL$148,1,AJ$5-$K$144+1),0)-$I$144*((AJ$5=Inputs!$C$12)*$C$146*$D$144+(AJ$5=Inputs!$C$13)*$D$146*($D$144+Inputs!$C$14))+$I$144*((AJ$5=Inputs!$C$15+$K$144)*$E$146*$I$146+(AJ$5=Inputs!$C$16+$K$144)*$F$146*$J$146+(AJ$5=Inputs!$C$17)*$G$146*$H$144*$H$146)</f>
        <v>143.00825</v>
      </c>
      <c r="AK149" s="42" t="n">
        <f aca="false">-($D$144+$J$144)*(AK$5=0)+IF(AND(AK$5-$K$144&gt;=1,AK$5-$K$144&lt;=Inputs!$C$13),INDEX($N$147:$AL$147,1,AK$5-$K$144+1)*INDEX($N$148:$AL$148,1,AK$5-$K$144+1),0)-$I$144*((AK$5=Inputs!$C$12)*$C$146*$D$144+(AK$5=Inputs!$C$13)*$D$146*($D$144+Inputs!$C$14))+$I$144*((AK$5=Inputs!$C$15+$K$144)*$E$146*$I$146+(AK$5=Inputs!$C$16+$K$144)*$F$146*$J$146+(AK$5=Inputs!$C$17)*$G$146*$H$144*$H$146)</f>
        <v>143.99</v>
      </c>
      <c r="AL149" s="42" t="n">
        <f aca="false">-($D$144+$J$144)*(AL$5=0)+IF(AND(AL$5-$K$144&gt;=1,AL$5-$K$144&lt;=Inputs!$C$13),INDEX($N$147:$AL$147,1,AL$5-$K$144+1)*INDEX($N$148:$AL$148,1,AL$5-$K$144+1),0)-$I$144*((AL$5=Inputs!$C$12)*$C$146*$D$144+(AL$5=Inputs!$C$13)*$D$146*($D$144+Inputs!$C$14))+$I$144*((AL$5=Inputs!$C$15+$K$144)*$E$146*$I$146+(AL$5=Inputs!$C$16+$K$144)*$F$146*$J$146+(AL$5=Inputs!$C$17)*$G$146*$H$144*$H$146)</f>
        <v>-245.02825</v>
      </c>
      <c r="AM149" s="42" t="n">
        <f aca="false">-($D$144+$J$144)*(AM$5=0)+IF(AND(AM$5-$K$144&gt;=1,AM$5-$K$144&lt;=Inputs!$C$13),INDEX($N$147:$AL$147,1,AM$5-$K$144+1)*INDEX($N$148:$AL$148,1,AM$5-$K$144+1),0)-$I$144*((AM$5=Inputs!$C$12)*$C$146*$D$144+(AM$5=Inputs!$C$13)*$D$146*($D$144+Inputs!$C$14))+$I$144*((AM$5=Inputs!$C$15+$K$144)*$E$146*$I$146+(AM$5=Inputs!$C$16+$K$144)*$F$146*$J$146+(AM$5=Inputs!$C$17)*$G$146*$H$144*$H$146)</f>
        <v>145.953499999999</v>
      </c>
      <c r="AN149" s="42" t="n">
        <f aca="false">-($D$144+$J$144)*(AN$5=0)+IF(AND(AN$5-$K$144&gt;=1,AN$5-$K$144&lt;=Inputs!$C$13),INDEX($N$147:$AL$147,1,AN$5-$K$144+1)*INDEX($N$148:$AL$148,1,AN$5-$K$144+1),0)-$I$144*((AN$5=Inputs!$C$12)*$C$146*$D$144+(AN$5=Inputs!$C$13)*$D$146*($D$144+Inputs!$C$14))+$I$144*((AN$5=Inputs!$C$15+$K$144)*$E$146*$I$146+(AN$5=Inputs!$C$16+$K$144)*$F$146*$J$146+(AN$5=Inputs!$C$17)*$G$146*$H$144*$H$146)</f>
        <v>0</v>
      </c>
      <c r="AO149" s="42" t="n">
        <f aca="false">-($D$144+$J$144)*(AO$5=0)+IF(AND(AO$5-$K$144&gt;=1,AO$5-$K$144&lt;=Inputs!$C$13),INDEX($N$147:$AL$147,1,AO$5-$K$144+1)*INDEX($N$148:$AL$148,1,AO$5-$K$144+1),0)-$I$144*((AO$5=Inputs!$C$12)*$C$146*$D$144+(AO$5=Inputs!$C$13)*$D$146*($D$144+Inputs!$C$14))+$I$144*((AO$5=Inputs!$C$15+$K$144)*$E$146*$I$146+(AO$5=Inputs!$C$16+$K$144)*$F$146*$J$146+(AO$5=Inputs!$C$17)*$G$146*$H$144*$H$146)</f>
        <v>0</v>
      </c>
      <c r="AP149" s="42" t="n">
        <f aca="false">-($D$144+$J$144)*(AP$5=0)+IF(AND(AP$5-$K$144&gt;=1,AP$5-$K$144&lt;=Inputs!$C$13),INDEX($N$147:$AL$147,1,AP$5-$K$144+1)*INDEX($N$148:$AL$148,1,AP$5-$K$144+1),0)-$I$144*((AP$5=Inputs!$C$12)*$C$146*$D$144+(AP$5=Inputs!$C$13)*$D$146*($D$144+Inputs!$C$14))+$I$144*((AP$5=Inputs!$C$15+$K$144)*$E$146*$I$146+(AP$5=Inputs!$C$16+$K$144)*$F$146*$J$146+(AP$5=Inputs!$C$17)*$G$146*$H$144*$H$146)</f>
        <v>818.688000000001</v>
      </c>
      <c r="AQ149" s="42" t="n">
        <f aca="false">-($D$144+$J$144)*(AQ$5=0)+IF(AND(AQ$5-$K$144&gt;=1,AQ$5-$K$144&lt;=Inputs!$C$13),INDEX($N$147:$AL$147,1,AQ$5-$K$144+1)*INDEX($N$148:$AL$148,1,AQ$5-$K$144+1),0)-$I$144*((AQ$5=Inputs!$C$12)*$C$146*$D$144+(AQ$5=Inputs!$C$13)*$D$146*($D$144+Inputs!$C$14))+$I$144*((AQ$5=Inputs!$C$15+$K$144)*$E$146*$I$146+(AQ$5=Inputs!$C$16+$K$144)*$F$146*$J$146+(AQ$5=Inputs!$C$17)*$G$146*$H$144*$H$146)</f>
        <v>0</v>
      </c>
      <c r="AR149" s="42" t="n">
        <f aca="false">-($D$144+$J$144)*(AR$5=0)+IF(AND(AR$5-$K$144&gt;=1,AR$5-$K$144&lt;=Inputs!$C$13),INDEX($N$147:$AL$147,1,AR$5-$K$144+1)*INDEX($N$148:$AL$148,1,AR$5-$K$144+1),0)-$I$144*((AR$5=Inputs!$C$12)*$C$146*$D$144+(AR$5=Inputs!$C$13)*$D$146*($D$144+Inputs!$C$14))+$I$144*((AR$5=Inputs!$C$15+$K$144)*$E$146*$I$146+(AR$5=Inputs!$C$16+$K$144)*$F$146*$J$146+(AR$5=Inputs!$C$17)*$G$146*$H$144*$H$146)</f>
        <v>0</v>
      </c>
      <c r="AS149" s="42" t="n">
        <f aca="false">-($D$144+$J$144)*(AS$5=0)+IF(AND(AS$5-$K$144&gt;=1,AS$5-$K$144&lt;=Inputs!$C$13),INDEX($N$147:$AL$147,1,AS$5-$K$144+1)*INDEX($N$148:$AL$148,1,AS$5-$K$144+1),0)-$I$144*((AS$5=Inputs!$C$12)*$C$146*$D$144+(AS$5=Inputs!$C$13)*$D$146*($D$144+Inputs!$C$14))+$I$144*((AS$5=Inputs!$C$15+$K$144)*$E$146*$I$146+(AS$5=Inputs!$C$16+$K$144)*$F$146*$J$146+(AS$5=Inputs!$C$17)*$G$146*$H$144*$H$146)</f>
        <v>149.330025</v>
      </c>
      <c r="AT149" s="42" t="n">
        <f aca="false">-($D$144+$J$144)*(AT$5=0)+IF(AND(AT$5-$K$144&gt;=1,AT$5-$K$144&lt;=Inputs!$C$13),INDEX($N$147:$AL$147,1,AT$5-$K$144+1)*INDEX($N$148:$AL$148,1,AT$5-$K$144+1),0)-$I$144*((AT$5=Inputs!$C$12)*$C$146*$D$144+(AT$5=Inputs!$C$13)*$D$146*($D$144+Inputs!$C$14))+$I$144*((AT$5=Inputs!$C$15+$K$144)*$E$146*$I$146+(AT$5=Inputs!$C$16+$K$144)*$F$146*$J$146+(AT$5=Inputs!$C$17)*$G$146*$H$144*$H$146)</f>
        <v>0</v>
      </c>
      <c r="AU149" s="42" t="n">
        <f aca="false">-($D$144+$J$144)*(AU$5=0)+IF(AND(AU$5-$K$144&gt;=1,AU$5-$K$144&lt;=Inputs!$C$13),INDEX($N$147:$AL$147,1,AU$5-$K$144+1)*INDEX($N$148:$AL$148,1,AU$5-$K$144+1),0)-$I$144*((AU$5=Inputs!$C$12)*$C$146*$D$144+(AU$5=Inputs!$C$13)*$D$146*($D$144+Inputs!$C$14))+$I$144*((AU$5=Inputs!$C$15+$K$144)*$E$146*$I$146+(AU$5=Inputs!$C$16+$K$144)*$F$146*$J$146+(AU$5=Inputs!$C$17)*$G$146*$H$144*$H$146)</f>
        <v>0</v>
      </c>
      <c r="AV149" s="42" t="n">
        <f aca="false">-($D$144+$J$144)*(AV$5=0)+IF(AND(AV$5-$K$144&gt;=1,AV$5-$K$144&lt;=Inputs!$C$13),INDEX($N$147:$AL$147,1,AV$5-$K$144+1)*INDEX($N$148:$AL$148,1,AV$5-$K$144+1),0)-$I$144*((AV$5=Inputs!$C$12)*$C$146*$D$144+(AV$5=Inputs!$C$13)*$D$146*($D$144+Inputs!$C$14))+$I$144*((AV$5=Inputs!$C$15+$K$144)*$E$146*$I$146+(AV$5=Inputs!$C$16+$K$144)*$F$146*$J$146+(AV$5=Inputs!$C$17)*$G$146*$H$144*$H$146)</f>
        <v>0</v>
      </c>
      <c r="AW149" s="42" t="n">
        <f aca="false">-($D$144+$J$144)*(AW$5=0)+IF(AND(AW$5-$K$144&gt;=1,AW$5-$K$144&lt;=Inputs!$C$13),INDEX($N$147:$AL$147,1,AW$5-$K$144+1)*INDEX($N$148:$AL$148,1,AW$5-$K$144+1),0)-$I$144*((AW$5=Inputs!$C$12)*$C$146*$D$144+(AW$5=Inputs!$C$13)*$D$146*($D$144+Inputs!$C$14))+$I$144*((AW$5=Inputs!$C$15+$K$144)*$E$146*$I$146+(AW$5=Inputs!$C$16+$K$144)*$F$146*$J$146+(AW$5=Inputs!$C$17)*$G$146*$H$144*$H$146)</f>
        <v>0</v>
      </c>
      <c r="AX149" s="42" t="n">
        <f aca="false">-($D$144+$J$144)*(AX$5=0)+IF(AND(AX$5-$K$144&gt;=1,AX$5-$K$144&lt;=Inputs!$C$13),INDEX($N$147:$AL$147,1,AX$5-$K$144+1)*INDEX($N$148:$AL$148,1,AX$5-$K$144+1),0)-$I$144*((AX$5=Inputs!$C$12)*$C$146*$D$144+(AX$5=Inputs!$C$13)*$D$146*($D$144+Inputs!$C$14))+$I$144*((AX$5=Inputs!$C$15+$K$144)*$E$146*$I$146+(AX$5=Inputs!$C$16+$K$144)*$F$146*$J$146+(AX$5=Inputs!$C$17)*$G$146*$H$144*$H$146)</f>
        <v>43.0560000000001</v>
      </c>
      <c r="AY149" s="42" t="n">
        <f aca="false">-($D$144+$J$144)*(AY$5=0)+IF(AND(AY$5-$K$144&gt;=1,AY$5-$K$144&lt;=Inputs!$C$13),INDEX($N$147:$AL$147,1,AY$5-$K$144+1)*INDEX($N$148:$AL$148,1,AY$5-$K$144+1),0)-$I$144*((AY$5=Inputs!$C$12)*$C$146*$D$144+(AY$5=Inputs!$C$13)*$D$146*($D$144+Inputs!$C$14))+$I$144*((AY$5=Inputs!$C$15+$K$144)*$E$146*$I$146+(AY$5=Inputs!$C$16+$K$144)*$F$146*$J$146+(AY$5=Inputs!$C$17)*$G$146*$H$144*$H$146)</f>
        <v>0</v>
      </c>
    </row>
    <row r="151" customFormat="false" ht="15" hidden="false" customHeight="false" outlineLevel="0" collapsed="false">
      <c r="B151" s="7" t="s">
        <v>257</v>
      </c>
      <c r="C151" s="8"/>
      <c r="D151" s="8"/>
      <c r="E151" s="8"/>
      <c r="F151" s="8"/>
      <c r="G151" s="8"/>
      <c r="H151" s="8"/>
      <c r="I151" s="8"/>
      <c r="J151" s="8"/>
      <c r="K151" s="8"/>
      <c r="L151" s="8"/>
    </row>
    <row r="152" customFormat="false" ht="30" hidden="false" customHeight="true" outlineLevel="0" collapsed="false">
      <c r="B152" s="37"/>
      <c r="C152" s="38" t="s">
        <v>169</v>
      </c>
      <c r="D152" s="38" t="s">
        <v>170</v>
      </c>
      <c r="E152" s="38" t="s">
        <v>171</v>
      </c>
      <c r="F152" s="38" t="s">
        <v>43</v>
      </c>
      <c r="G152" s="38" t="s">
        <v>44</v>
      </c>
      <c r="H152" s="38" t="s">
        <v>45</v>
      </c>
      <c r="I152" s="38" t="s">
        <v>172</v>
      </c>
      <c r="J152" s="38" t="s">
        <v>90</v>
      </c>
      <c r="K152" s="38" t="s">
        <v>89</v>
      </c>
      <c r="L152" s="38" t="s">
        <v>173</v>
      </c>
    </row>
    <row r="153" customFormat="false" ht="15" hidden="false" customHeight="false" outlineLevel="0" collapsed="false">
      <c r="B153" s="39" t="s">
        <v>174</v>
      </c>
      <c r="C153" s="26" t="n">
        <f aca="false">Inputs!$F$40*Inputs!$E$58</f>
        <v>0.07</v>
      </c>
      <c r="D153" s="30" t="n">
        <f aca="false">Inputs!$E$40</f>
        <v>3600</v>
      </c>
      <c r="E153" s="26" t="n">
        <f aca="false">IF(Inputs!$G$40=1,Inputs!$F$27,MIN(1,MAX(0,INDEX(Inputs!$F$23:$F$27,MATCH(Inputs!$C$40,Inputs!$B$23:$B$27,0))+INDEX(Inputs!$C$48:$C$51,MATCH(Inputs!$D$58,Inputs!$B$48:$B$51,0)))))</f>
        <v>0.88</v>
      </c>
      <c r="F153" s="25" t="n">
        <f aca="false">IF(Inputs!$G$40=1,Inputs!$G$27,INDEX(Inputs!$G$23:$G$27,MATCH(Inputs!$C$40,Inputs!$B$23:$B$27,0)))</f>
        <v>0.6</v>
      </c>
      <c r="G153" s="25" t="n">
        <f aca="false">IF(Inputs!$G$40=1,Inputs!$H$27,INDEX(Inputs!$H$23:$H$27,MATCH(Inputs!$C$40,Inputs!$B$23:$B$27,0)))*INDEX(Inputs!$D$48:$D$51,MATCH(Inputs!$D$58,Inputs!$B$48:$B$51,0))</f>
        <v>0.6375</v>
      </c>
      <c r="H153" s="25" t="n">
        <f aca="false">MAX(0,IF(Inputs!$G$40=1,Inputs!$I$27,INDEX(Inputs!$I$23:$I$27,MATCH(Inputs!$C$40,Inputs!$B$23:$B$27,0)))+INDEX(Inputs!$E$48:$E$51,MATCH(Inputs!$D$58,Inputs!$B$48:$B$51,0)))</f>
        <v>0.8</v>
      </c>
      <c r="I153" s="22" t="n">
        <f aca="false">IF(Inputs!$G$40=1,0,INDEX(Inputs!$J$23:$J$27,MATCH(Inputs!$C$40,Inputs!$B$23:$B$27,0)))</f>
        <v>1</v>
      </c>
      <c r="J153" s="23" t="n">
        <f aca="false">Inputs!$G$58</f>
        <v>10</v>
      </c>
      <c r="K153" s="22" t="n">
        <f aca="false">Inputs!$F$58</f>
        <v>1</v>
      </c>
      <c r="L153" s="22" t="n">
        <f aca="false">Inputs!$C$58</f>
        <v>1</v>
      </c>
    </row>
    <row r="154" customFormat="false" ht="30" hidden="false" customHeight="true" outlineLevel="0" collapsed="false">
      <c r="B154" s="37"/>
      <c r="C154" s="38" t="s">
        <v>175</v>
      </c>
      <c r="D154" s="38" t="s">
        <v>176</v>
      </c>
      <c r="E154" s="38" t="s">
        <v>177</v>
      </c>
      <c r="F154" s="38" t="s">
        <v>178</v>
      </c>
      <c r="G154" s="38" t="s">
        <v>112</v>
      </c>
      <c r="H154" s="38" t="s">
        <v>179</v>
      </c>
      <c r="I154" s="38" t="s">
        <v>180</v>
      </c>
      <c r="J154" s="38" t="s">
        <v>181</v>
      </c>
      <c r="K154" s="38" t="s">
        <v>182</v>
      </c>
      <c r="L154" s="38" t="s">
        <v>183</v>
      </c>
    </row>
    <row r="155" customFormat="false" ht="15" hidden="false" customHeight="false" outlineLevel="0" collapsed="false">
      <c r="B155" s="39" t="s">
        <v>184</v>
      </c>
      <c r="C155" s="40" t="n">
        <f aca="false">1-$E$153*CHOOSE($L$153,INDEX(Timing!$C$7:$AA$7,1,Inputs!$C$12+1),INDEX(Timing!$C$8:$AA$8,1,Inputs!$C$12+1))</f>
        <v>0.3312</v>
      </c>
      <c r="D155" s="40" t="n">
        <f aca="false">1-$E$153*CHOOSE($L$153,INDEX(Timing!$C$7:$AA$7,1,Inputs!$C$13+1),INDEX(Timing!$C$8:$AA$8,1,Inputs!$C$13+1))</f>
        <v>0.12</v>
      </c>
      <c r="E155" s="40" t="n">
        <f aca="false">$I$153*$D$155*$F$153</f>
        <v>0.072</v>
      </c>
      <c r="F155" s="40" t="n">
        <f aca="false">$I$153*($D$155-$E$155)*$G$153</f>
        <v>0.0306</v>
      </c>
      <c r="G155" s="40" t="n">
        <f aca="false">$I$153*($D$155-$E$155-$F$155)</f>
        <v>0.0174</v>
      </c>
      <c r="H155" s="23" t="n">
        <f aca="false">$I$153*(3*$D$153+Inputs!$C$14)</f>
        <v>12600</v>
      </c>
      <c r="I155" s="23" t="n">
        <f aca="false">$I$153*($D$153*(1+IF($C$153&lt;=0,0,MAX($C$153*Inputs!$C$15/12,Inputs!$C$8)))+$D$153*(1+Inputs!$C$11*(Inputs!$C$15-Inputs!$C$12)/12)+$D$153*(1+Inputs!$C$11*(Inputs!$C$15-Inputs!$C$13)/12)+Inputs!$C$14)</f>
        <v>14139</v>
      </c>
      <c r="J155" s="23" t="n">
        <f aca="false">$I$153*($D$153*(1+IF($C$153&lt;=0,0,MAX($C$153*Inputs!$C$16/12,Inputs!$C$8)))+$D$153*(1+Inputs!$C$11*(Inputs!$C$16-Inputs!$C$12)/12)+$D$153*(1+Inputs!$C$11*(Inputs!$C$16-Inputs!$C$13)/12)+Inputs!$C$14)</f>
        <v>14526</v>
      </c>
      <c r="K155" s="40" t="n">
        <f aca="false">IRR($N$158:$AY$158,0.005)</f>
        <v>0.00639270273396524</v>
      </c>
      <c r="L155" s="41" t="n">
        <f aca="false">(1+$K$155)^12-1</f>
        <v>0.0794679414353436</v>
      </c>
    </row>
    <row r="156" customFormat="false" ht="15" hidden="false" customHeight="false" outlineLevel="0" collapsed="false">
      <c r="B156" s="9" t="s">
        <v>185</v>
      </c>
      <c r="N156" s="40" t="n">
        <f aca="false">0</f>
        <v>0</v>
      </c>
      <c r="O156" s="40" t="n">
        <f aca="false">$E$153*(CHOOSE($L$153,Timing!D$7,Timing!D$8)-CHOOSE($L$153,Timing!C$7,Timing!C$8))</f>
        <v>0.1056</v>
      </c>
      <c r="P156" s="40" t="n">
        <f aca="false">$E$153*(CHOOSE($L$153,Timing!E$7,Timing!E$8)-CHOOSE($L$153,Timing!D$7,Timing!D$8))</f>
        <v>0.088</v>
      </c>
      <c r="Q156" s="40" t="n">
        <f aca="false">$E$153*(CHOOSE($L$153,Timing!F$7,Timing!F$8)-CHOOSE($L$153,Timing!E$7,Timing!E$8))</f>
        <v>0.0792</v>
      </c>
      <c r="R156" s="40" t="n">
        <f aca="false">$E$153*(CHOOSE($L$153,Timing!G$7,Timing!G$8)-CHOOSE($L$153,Timing!F$7,Timing!F$8))</f>
        <v>0.0616</v>
      </c>
      <c r="S156" s="40" t="n">
        <f aca="false">$E$153*(CHOOSE($L$153,Timing!H$7,Timing!H$8)-CHOOSE($L$153,Timing!G$7,Timing!G$8))</f>
        <v>0.0616</v>
      </c>
      <c r="T156" s="40" t="n">
        <f aca="false">$E$153*(CHOOSE($L$153,Timing!I$7,Timing!I$8)-CHOOSE($L$153,Timing!H$7,Timing!H$8))</f>
        <v>0.0616</v>
      </c>
      <c r="U156" s="40" t="n">
        <f aca="false">$E$153*(CHOOSE($L$153,Timing!J$7,Timing!J$8)-CHOOSE($L$153,Timing!I$7,Timing!I$8))</f>
        <v>0.0381333333333333</v>
      </c>
      <c r="V156" s="40" t="n">
        <f aca="false">$E$153*(CHOOSE($L$153,Timing!K$7,Timing!K$8)-CHOOSE($L$153,Timing!J$7,Timing!J$8))</f>
        <v>0.0381333333333333</v>
      </c>
      <c r="W156" s="40" t="n">
        <f aca="false">$E$153*(CHOOSE($L$153,Timing!L$7,Timing!L$8)-CHOOSE($L$153,Timing!K$7,Timing!K$8))</f>
        <v>0.0381333333333333</v>
      </c>
      <c r="X156" s="40" t="n">
        <f aca="false">$E$153*(CHOOSE($L$153,Timing!M$7,Timing!M$8)-CHOOSE($L$153,Timing!L$7,Timing!L$8))</f>
        <v>0.0322666666666666</v>
      </c>
      <c r="Y156" s="40" t="n">
        <f aca="false">$E$153*(CHOOSE($L$153,Timing!N$7,Timing!N$8)-CHOOSE($L$153,Timing!M$7,Timing!M$8))</f>
        <v>0.0322666666666667</v>
      </c>
      <c r="Z156" s="40" t="n">
        <f aca="false">$E$153*(CHOOSE($L$153,Timing!O$7,Timing!O$8)-CHOOSE($L$153,Timing!N$7,Timing!N$8))</f>
        <v>0.0322666666666666</v>
      </c>
      <c r="AA156" s="40" t="n">
        <f aca="false">$E$153*(CHOOSE($L$153,Timing!P$7,Timing!P$8)-CHOOSE($L$153,Timing!O$7,Timing!O$8))</f>
        <v>0.0205333333333333</v>
      </c>
      <c r="AB156" s="40" t="n">
        <f aca="false">$E$153*(CHOOSE($L$153,Timing!Q$7,Timing!Q$8)-CHOOSE($L$153,Timing!P$7,Timing!P$8))</f>
        <v>0.0205333333333333</v>
      </c>
      <c r="AC156" s="40" t="n">
        <f aca="false">$E$153*(CHOOSE($L$153,Timing!R$7,Timing!R$8)-CHOOSE($L$153,Timing!Q$7,Timing!Q$8))</f>
        <v>0.0205333333333334</v>
      </c>
      <c r="AD156" s="40" t="n">
        <f aca="false">$E$153*(CHOOSE($L$153,Timing!S$7,Timing!S$8)-CHOOSE($L$153,Timing!R$7,Timing!R$8))</f>
        <v>0.0205333333333333</v>
      </c>
      <c r="AE156" s="40" t="n">
        <f aca="false">$E$153*(CHOOSE($L$153,Timing!T$7,Timing!T$8)-CHOOSE($L$153,Timing!S$7,Timing!S$8))</f>
        <v>0.0205333333333333</v>
      </c>
      <c r="AF156" s="40" t="n">
        <f aca="false">$E$153*(CHOOSE($L$153,Timing!U$7,Timing!U$8)-CHOOSE($L$153,Timing!T$7,Timing!T$8))</f>
        <v>0.0205333333333333</v>
      </c>
      <c r="AG156" s="40" t="n">
        <f aca="false">$E$153*(CHOOSE($L$153,Timing!V$7,Timing!V$8)-CHOOSE($L$153,Timing!U$7,Timing!U$8))</f>
        <v>0.0146666666666667</v>
      </c>
      <c r="AH156" s="40" t="n">
        <f aca="false">$E$153*(CHOOSE($L$153,Timing!W$7,Timing!W$8)-CHOOSE($L$153,Timing!V$7,Timing!V$8))</f>
        <v>0.0146666666666666</v>
      </c>
      <c r="AI156" s="40" t="n">
        <f aca="false">$E$153*(CHOOSE($L$153,Timing!X$7,Timing!X$8)-CHOOSE($L$153,Timing!W$7,Timing!W$8))</f>
        <v>0.0146666666666666</v>
      </c>
      <c r="AJ156" s="40" t="n">
        <f aca="false">$E$153*(CHOOSE($L$153,Timing!Y$7,Timing!Y$8)-CHOOSE($L$153,Timing!X$7,Timing!X$8))</f>
        <v>0.0146666666666667</v>
      </c>
      <c r="AK156" s="40" t="n">
        <f aca="false">$E$153*(CHOOSE($L$153,Timing!Z$7,Timing!Z$8)-CHOOSE($L$153,Timing!Y$7,Timing!Y$8))</f>
        <v>0.0146666666666667</v>
      </c>
      <c r="AL156" s="40" t="n">
        <f aca="false">$E$153*(CHOOSE($L$153,Timing!AA$7,Timing!AA$8)-CHOOSE($L$153,Timing!Z$7,Timing!Z$8))</f>
        <v>0.0146666666666666</v>
      </c>
    </row>
    <row r="157" customFormat="false" ht="15" hidden="false" customHeight="false" outlineLevel="0" collapsed="false">
      <c r="B157" s="9" t="s">
        <v>186</v>
      </c>
      <c r="N157" s="42" t="n">
        <f aca="false">0</f>
        <v>0</v>
      </c>
      <c r="O157" s="42" t="n">
        <f aca="false">$D$153*(1+IF($C$153&lt;=0,0,MAX($C$153*O$5/12,Inputs!$C$8)))+$I$153*(O$5&gt;Inputs!$C$12)*$D$153*(1+Inputs!$C$11*(O$5-Inputs!$C$12)/12)</f>
        <v>3780</v>
      </c>
      <c r="P157" s="42" t="n">
        <f aca="false">$D$153*(1+IF($C$153&lt;=0,0,MAX($C$153*P$5/12,Inputs!$C$8)))+$I$153*(P$5&gt;Inputs!$C$12)*$D$153*(1+Inputs!$C$11*(P$5-Inputs!$C$12)/12)</f>
        <v>3780</v>
      </c>
      <c r="Q157" s="42" t="n">
        <f aca="false">$D$153*(1+IF($C$153&lt;=0,0,MAX($C$153*Q$5/12,Inputs!$C$8)))+$I$153*(Q$5&gt;Inputs!$C$12)*$D$153*(1+Inputs!$C$11*(Q$5-Inputs!$C$12)/12)</f>
        <v>3780</v>
      </c>
      <c r="R157" s="42" t="n">
        <f aca="false">$D$153*(1+IF($C$153&lt;=0,0,MAX($C$153*R$5/12,Inputs!$C$8)))+$I$153*(R$5&gt;Inputs!$C$12)*$D$153*(1+Inputs!$C$11*(R$5-Inputs!$C$12)/12)</f>
        <v>3780</v>
      </c>
      <c r="S157" s="42" t="n">
        <f aca="false">$D$153*(1+IF($C$153&lt;=0,0,MAX($C$153*S$5/12,Inputs!$C$8)))+$I$153*(S$5&gt;Inputs!$C$12)*$D$153*(1+Inputs!$C$11*(S$5-Inputs!$C$12)/12)</f>
        <v>3780</v>
      </c>
      <c r="T157" s="42" t="n">
        <f aca="false">$D$153*(1+IF($C$153&lt;=0,0,MAX($C$153*T$5/12,Inputs!$C$8)))+$I$153*(T$5&gt;Inputs!$C$12)*$D$153*(1+Inputs!$C$11*(T$5-Inputs!$C$12)/12)</f>
        <v>3780</v>
      </c>
      <c r="U157" s="42" t="n">
        <f aca="false">$D$153*(1+IF($C$153&lt;=0,0,MAX($C$153*U$5/12,Inputs!$C$8)))+$I$153*(U$5&gt;Inputs!$C$12)*$D$153*(1+Inputs!$C$11*(U$5-Inputs!$C$12)/12)</f>
        <v>3780</v>
      </c>
      <c r="V157" s="42" t="n">
        <f aca="false">$D$153*(1+IF($C$153&lt;=0,0,MAX($C$153*V$5/12,Inputs!$C$8)))+$I$153*(V$5&gt;Inputs!$C$12)*$D$153*(1+Inputs!$C$11*(V$5-Inputs!$C$12)/12)</f>
        <v>3780</v>
      </c>
      <c r="W157" s="42" t="n">
        <f aca="false">$D$153*(1+IF($C$153&lt;=0,0,MAX($C$153*W$5/12,Inputs!$C$8)))+$I$153*(W$5&gt;Inputs!$C$12)*$D$153*(1+Inputs!$C$11*(W$5-Inputs!$C$12)/12)</f>
        <v>3789</v>
      </c>
      <c r="X157" s="42" t="n">
        <f aca="false">$D$153*(1+IF($C$153&lt;=0,0,MAX($C$153*X$5/12,Inputs!$C$8)))+$I$153*(X$5&gt;Inputs!$C$12)*$D$153*(1+Inputs!$C$11*(X$5-Inputs!$C$12)/12)</f>
        <v>3810</v>
      </c>
      <c r="Y157" s="42" t="n">
        <f aca="false">$D$153*(1+IF($C$153&lt;=0,0,MAX($C$153*Y$5/12,Inputs!$C$8)))+$I$153*(Y$5&gt;Inputs!$C$12)*$D$153*(1+Inputs!$C$11*(Y$5-Inputs!$C$12)/12)</f>
        <v>3831</v>
      </c>
      <c r="Z157" s="42" t="n">
        <f aca="false">$D$153*(1+IF($C$153&lt;=0,0,MAX($C$153*Z$5/12,Inputs!$C$8)))+$I$153*(Z$5&gt;Inputs!$C$12)*$D$153*(1+Inputs!$C$11*(Z$5-Inputs!$C$12)/12)</f>
        <v>3852</v>
      </c>
      <c r="AA157" s="42" t="n">
        <f aca="false">$D$153*(1+IF($C$153&lt;=0,0,MAX($C$153*AA$5/12,Inputs!$C$8)))+$I$153*(AA$5&gt;Inputs!$C$12)*$D$153*(1+Inputs!$C$11*(AA$5-Inputs!$C$12)/12)</f>
        <v>7527</v>
      </c>
      <c r="AB157" s="42" t="n">
        <f aca="false">$D$153*(1+IF($C$153&lt;=0,0,MAX($C$153*AB$5/12,Inputs!$C$8)))+$I$153*(AB$5&gt;Inputs!$C$12)*$D$153*(1+Inputs!$C$11*(AB$5-Inputs!$C$12)/12)</f>
        <v>7602</v>
      </c>
      <c r="AC157" s="42" t="n">
        <f aca="false">$D$153*(1+IF($C$153&lt;=0,0,MAX($C$153*AC$5/12,Inputs!$C$8)))+$I$153*(AC$5&gt;Inputs!$C$12)*$D$153*(1+Inputs!$C$11*(AC$5-Inputs!$C$12)/12)</f>
        <v>7677</v>
      </c>
      <c r="AD157" s="42" t="n">
        <f aca="false">$D$153*(1+IF($C$153&lt;=0,0,MAX($C$153*AD$5/12,Inputs!$C$8)))+$I$153*(AD$5&gt;Inputs!$C$12)*$D$153*(1+Inputs!$C$11*(AD$5-Inputs!$C$12)/12)</f>
        <v>7752</v>
      </c>
      <c r="AE157" s="42" t="n">
        <f aca="false">$D$153*(1+IF($C$153&lt;=0,0,MAX($C$153*AE$5/12,Inputs!$C$8)))+$I$153*(AE$5&gt;Inputs!$C$12)*$D$153*(1+Inputs!$C$11*(AE$5-Inputs!$C$12)/12)</f>
        <v>7827</v>
      </c>
      <c r="AF157" s="42" t="n">
        <f aca="false">$D$153*(1+IF($C$153&lt;=0,0,MAX($C$153*AF$5/12,Inputs!$C$8)))+$I$153*(AF$5&gt;Inputs!$C$12)*$D$153*(1+Inputs!$C$11*(AF$5-Inputs!$C$12)/12)</f>
        <v>7902</v>
      </c>
      <c r="AG157" s="42" t="n">
        <f aca="false">$D$153*(1+IF($C$153&lt;=0,0,MAX($C$153*AG$5/12,Inputs!$C$8)))+$I$153*(AG$5&gt;Inputs!$C$12)*$D$153*(1+Inputs!$C$11*(AG$5-Inputs!$C$12)/12)</f>
        <v>7977</v>
      </c>
      <c r="AH157" s="42" t="n">
        <f aca="false">$D$153*(1+IF($C$153&lt;=0,0,MAX($C$153*AH$5/12,Inputs!$C$8)))+$I$153*(AH$5&gt;Inputs!$C$12)*$D$153*(1+Inputs!$C$11*(AH$5-Inputs!$C$12)/12)</f>
        <v>8052</v>
      </c>
      <c r="AI157" s="42" t="n">
        <f aca="false">$D$153*(1+IF($C$153&lt;=0,0,MAX($C$153*AI$5/12,Inputs!$C$8)))+$I$153*(AI$5&gt;Inputs!$C$12)*$D$153*(1+Inputs!$C$11*(AI$5-Inputs!$C$12)/12)</f>
        <v>8127</v>
      </c>
      <c r="AJ157" s="42" t="n">
        <f aca="false">$D$153*(1+IF($C$153&lt;=0,0,MAX($C$153*AJ$5/12,Inputs!$C$8)))+$I$153*(AJ$5&gt;Inputs!$C$12)*$D$153*(1+Inputs!$C$11*(AJ$5-Inputs!$C$12)/12)</f>
        <v>8202</v>
      </c>
      <c r="AK157" s="42" t="n">
        <f aca="false">$D$153*(1+IF($C$153&lt;=0,0,MAX($C$153*AK$5/12,Inputs!$C$8)))+$I$153*(AK$5&gt;Inputs!$C$12)*$D$153*(1+Inputs!$C$11*(AK$5-Inputs!$C$12)/12)</f>
        <v>8277</v>
      </c>
      <c r="AL157" s="42" t="n">
        <f aca="false">$D$153*(1+IF($C$153&lt;=0,0,MAX($C$153*AL$5/12,Inputs!$C$8)))+$I$153*(AL$5&gt;Inputs!$C$12)*$D$153*(1+Inputs!$C$11*(AL$5-Inputs!$C$12)/12)</f>
        <v>8352</v>
      </c>
    </row>
    <row r="158" customFormat="false" ht="15" hidden="false" customHeight="false" outlineLevel="0" collapsed="false">
      <c r="B158" s="31" t="s">
        <v>187</v>
      </c>
      <c r="N158" s="42" t="n">
        <f aca="false">-($D$153+$J$153)*(N$5=0)+IF(AND(N$5-$K$153&gt;=1,N$5-$K$153&lt;=Inputs!$C$13),INDEX($N$156:$AL$156,1,N$5-$K$153+1)*INDEX($N$157:$AL$157,1,N$5-$K$153+1),0)-$I$153*((N$5=Inputs!$C$12)*$C$155*$D$153+(N$5=Inputs!$C$13)*$D$155*($D$153+Inputs!$C$14))+$I$153*((N$5=Inputs!$C$15+$K$153)*$E$155*$I$155+(N$5=Inputs!$C$16+$K$153)*$F$155*$J$155+(N$5=Inputs!$C$17)*$G$155*$H$153*$H$155)</f>
        <v>-3610</v>
      </c>
      <c r="O158" s="42" t="n">
        <f aca="false">-($D$153+$J$153)*(O$5=0)+IF(AND(O$5-$K$153&gt;=1,O$5-$K$153&lt;=Inputs!$C$13),INDEX($N$156:$AL$156,1,O$5-$K$153+1)*INDEX($N$157:$AL$157,1,O$5-$K$153+1),0)-$I$153*((O$5=Inputs!$C$12)*$C$155*$D$153+(O$5=Inputs!$C$13)*$D$155*($D$153+Inputs!$C$14))+$I$153*((O$5=Inputs!$C$15+$K$153)*$E$155*$I$155+(O$5=Inputs!$C$16+$K$153)*$F$155*$J$155+(O$5=Inputs!$C$17)*$G$155*$H$153*$H$155)</f>
        <v>0</v>
      </c>
      <c r="P158" s="42" t="n">
        <f aca="false">-($D$153+$J$153)*(P$5=0)+IF(AND(P$5-$K$153&gt;=1,P$5-$K$153&lt;=Inputs!$C$13),INDEX($N$156:$AL$156,1,P$5-$K$153+1)*INDEX($N$157:$AL$157,1,P$5-$K$153+1),0)-$I$153*((P$5=Inputs!$C$12)*$C$155*$D$153+(P$5=Inputs!$C$13)*$D$155*($D$153+Inputs!$C$14))+$I$153*((P$5=Inputs!$C$15+$K$153)*$E$155*$I$155+(P$5=Inputs!$C$16+$K$153)*$F$155*$J$155+(P$5=Inputs!$C$17)*$G$155*$H$153*$H$155)</f>
        <v>399.168</v>
      </c>
      <c r="Q158" s="42" t="n">
        <f aca="false">-($D$153+$J$153)*(Q$5=0)+IF(AND(Q$5-$K$153&gt;=1,Q$5-$K$153&lt;=Inputs!$C$13),INDEX($N$156:$AL$156,1,Q$5-$K$153+1)*INDEX($N$157:$AL$157,1,Q$5-$K$153+1),0)-$I$153*((Q$5=Inputs!$C$12)*$C$155*$D$153+(Q$5=Inputs!$C$13)*$D$155*($D$153+Inputs!$C$14))+$I$153*((Q$5=Inputs!$C$15+$K$153)*$E$155*$I$155+(Q$5=Inputs!$C$16+$K$153)*$F$155*$J$155+(Q$5=Inputs!$C$17)*$G$155*$H$153*$H$155)</f>
        <v>332.64</v>
      </c>
      <c r="R158" s="42" t="n">
        <f aca="false">-($D$153+$J$153)*(R$5=0)+IF(AND(R$5-$K$153&gt;=1,R$5-$K$153&lt;=Inputs!$C$13),INDEX($N$156:$AL$156,1,R$5-$K$153+1)*INDEX($N$157:$AL$157,1,R$5-$K$153+1),0)-$I$153*((R$5=Inputs!$C$12)*$C$155*$D$153+(R$5=Inputs!$C$13)*$D$155*($D$153+Inputs!$C$14))+$I$153*((R$5=Inputs!$C$15+$K$153)*$E$155*$I$155+(R$5=Inputs!$C$16+$K$153)*$F$155*$J$155+(R$5=Inputs!$C$17)*$G$155*$H$153*$H$155)</f>
        <v>299.376</v>
      </c>
      <c r="S158" s="42" t="n">
        <f aca="false">-($D$153+$J$153)*(S$5=0)+IF(AND(S$5-$K$153&gt;=1,S$5-$K$153&lt;=Inputs!$C$13),INDEX($N$156:$AL$156,1,S$5-$K$153+1)*INDEX($N$157:$AL$157,1,S$5-$K$153+1),0)-$I$153*((S$5=Inputs!$C$12)*$C$155*$D$153+(S$5=Inputs!$C$13)*$D$155*($D$153+Inputs!$C$14))+$I$153*((S$5=Inputs!$C$15+$K$153)*$E$155*$I$155+(S$5=Inputs!$C$16+$K$153)*$F$155*$J$155+(S$5=Inputs!$C$17)*$G$155*$H$153*$H$155)</f>
        <v>232.848</v>
      </c>
      <c r="T158" s="42" t="n">
        <f aca="false">-($D$153+$J$153)*(T$5=0)+IF(AND(T$5-$K$153&gt;=1,T$5-$K$153&lt;=Inputs!$C$13),INDEX($N$156:$AL$156,1,T$5-$K$153+1)*INDEX($N$157:$AL$157,1,T$5-$K$153+1),0)-$I$153*((T$5=Inputs!$C$12)*$C$155*$D$153+(T$5=Inputs!$C$13)*$D$155*($D$153+Inputs!$C$14))+$I$153*((T$5=Inputs!$C$15+$K$153)*$E$155*$I$155+(T$5=Inputs!$C$16+$K$153)*$F$155*$J$155+(T$5=Inputs!$C$17)*$G$155*$H$153*$H$155)</f>
        <v>232.848</v>
      </c>
      <c r="U158" s="42" t="n">
        <f aca="false">-($D$153+$J$153)*(U$5=0)+IF(AND(U$5-$K$153&gt;=1,U$5-$K$153&lt;=Inputs!$C$13),INDEX($N$156:$AL$156,1,U$5-$K$153+1)*INDEX($N$157:$AL$157,1,U$5-$K$153+1),0)-$I$153*((U$5=Inputs!$C$12)*$C$155*$D$153+(U$5=Inputs!$C$13)*$D$155*($D$153+Inputs!$C$14))+$I$153*((U$5=Inputs!$C$15+$K$153)*$E$155*$I$155+(U$5=Inputs!$C$16+$K$153)*$F$155*$J$155+(U$5=Inputs!$C$17)*$G$155*$H$153*$H$155)</f>
        <v>232.848</v>
      </c>
      <c r="V158" s="42" t="n">
        <f aca="false">-($D$153+$J$153)*(V$5=0)+IF(AND(V$5-$K$153&gt;=1,V$5-$K$153&lt;=Inputs!$C$13),INDEX($N$156:$AL$156,1,V$5-$K$153+1)*INDEX($N$157:$AL$157,1,V$5-$K$153+1),0)-$I$153*((V$5=Inputs!$C$12)*$C$155*$D$153+(V$5=Inputs!$C$13)*$D$155*($D$153+Inputs!$C$14))+$I$153*((V$5=Inputs!$C$15+$K$153)*$E$155*$I$155+(V$5=Inputs!$C$16+$K$153)*$F$155*$J$155+(V$5=Inputs!$C$17)*$G$155*$H$153*$H$155)</f>
        <v>144.144</v>
      </c>
      <c r="W158" s="42" t="n">
        <f aca="false">-($D$153+$J$153)*(W$5=0)+IF(AND(W$5-$K$153&gt;=1,W$5-$K$153&lt;=Inputs!$C$13),INDEX($N$156:$AL$156,1,W$5-$K$153+1)*INDEX($N$157:$AL$157,1,W$5-$K$153+1),0)-$I$153*((W$5=Inputs!$C$12)*$C$155*$D$153+(W$5=Inputs!$C$13)*$D$155*($D$153+Inputs!$C$14))+$I$153*((W$5=Inputs!$C$15+$K$153)*$E$155*$I$155+(W$5=Inputs!$C$16+$K$153)*$F$155*$J$155+(W$5=Inputs!$C$17)*$G$155*$H$153*$H$155)</f>
        <v>144.144</v>
      </c>
      <c r="X158" s="42" t="n">
        <f aca="false">-($D$153+$J$153)*(X$5=0)+IF(AND(X$5-$K$153&gt;=1,X$5-$K$153&lt;=Inputs!$C$13),INDEX($N$156:$AL$156,1,X$5-$K$153+1)*INDEX($N$157:$AL$157,1,X$5-$K$153+1),0)-$I$153*((X$5=Inputs!$C$12)*$C$155*$D$153+(X$5=Inputs!$C$13)*$D$155*($D$153+Inputs!$C$14))+$I$153*((X$5=Inputs!$C$15+$K$153)*$E$155*$I$155+(X$5=Inputs!$C$16+$K$153)*$F$155*$J$155+(X$5=Inputs!$C$17)*$G$155*$H$153*$H$155)</f>
        <v>144.4872</v>
      </c>
      <c r="Y158" s="42" t="n">
        <f aca="false">-($D$153+$J$153)*(Y$5=0)+IF(AND(Y$5-$K$153&gt;=1,Y$5-$K$153&lt;=Inputs!$C$13),INDEX($N$156:$AL$156,1,Y$5-$K$153+1)*INDEX($N$157:$AL$157,1,Y$5-$K$153+1),0)-$I$153*((Y$5=Inputs!$C$12)*$C$155*$D$153+(Y$5=Inputs!$C$13)*$D$155*($D$153+Inputs!$C$14))+$I$153*((Y$5=Inputs!$C$15+$K$153)*$E$155*$I$155+(Y$5=Inputs!$C$16+$K$153)*$F$155*$J$155+(Y$5=Inputs!$C$17)*$G$155*$H$153*$H$155)</f>
        <v>122.936</v>
      </c>
      <c r="Z158" s="42" t="n">
        <f aca="false">-($D$153+$J$153)*(Z$5=0)+IF(AND(Z$5-$K$153&gt;=1,Z$5-$K$153&lt;=Inputs!$C$13),INDEX($N$156:$AL$156,1,Z$5-$K$153+1)*INDEX($N$157:$AL$157,1,Z$5-$K$153+1),0)-$I$153*((Z$5=Inputs!$C$12)*$C$155*$D$153+(Z$5=Inputs!$C$13)*$D$155*($D$153+Inputs!$C$14))+$I$153*((Z$5=Inputs!$C$15+$K$153)*$E$155*$I$155+(Z$5=Inputs!$C$16+$K$153)*$F$155*$J$155+(Z$5=Inputs!$C$17)*$G$155*$H$153*$H$155)</f>
        <v>-1068.7064</v>
      </c>
      <c r="AA158" s="42" t="n">
        <f aca="false">-($D$153+$J$153)*(AA$5=0)+IF(AND(AA$5-$K$153&gt;=1,AA$5-$K$153&lt;=Inputs!$C$13),INDEX($N$156:$AL$156,1,AA$5-$K$153+1)*INDEX($N$157:$AL$157,1,AA$5-$K$153+1),0)-$I$153*((AA$5=Inputs!$C$12)*$C$155*$D$153+(AA$5=Inputs!$C$13)*$D$155*($D$153+Inputs!$C$14))+$I$153*((AA$5=Inputs!$C$15+$K$153)*$E$155*$I$155+(AA$5=Inputs!$C$16+$K$153)*$F$155*$J$155+(AA$5=Inputs!$C$17)*$G$155*$H$153*$H$155)</f>
        <v>124.2912</v>
      </c>
      <c r="AB158" s="42" t="n">
        <f aca="false">-($D$153+$J$153)*(AB$5=0)+IF(AND(AB$5-$K$153&gt;=1,AB$5-$K$153&lt;=Inputs!$C$13),INDEX($N$156:$AL$156,1,AB$5-$K$153+1)*INDEX($N$157:$AL$157,1,AB$5-$K$153+1),0)-$I$153*((AB$5=Inputs!$C$12)*$C$155*$D$153+(AB$5=Inputs!$C$13)*$D$155*($D$153+Inputs!$C$14))+$I$153*((AB$5=Inputs!$C$15+$K$153)*$E$155*$I$155+(AB$5=Inputs!$C$16+$K$153)*$F$155*$J$155+(AB$5=Inputs!$C$17)*$G$155*$H$153*$H$155)</f>
        <v>154.5544</v>
      </c>
      <c r="AC158" s="42" t="n">
        <f aca="false">-($D$153+$J$153)*(AC$5=0)+IF(AND(AC$5-$K$153&gt;=1,AC$5-$K$153&lt;=Inputs!$C$13),INDEX($N$156:$AL$156,1,AC$5-$K$153+1)*INDEX($N$157:$AL$157,1,AC$5-$K$153+1),0)-$I$153*((AC$5=Inputs!$C$12)*$C$155*$D$153+(AC$5=Inputs!$C$13)*$D$155*($D$153+Inputs!$C$14))+$I$153*((AC$5=Inputs!$C$15+$K$153)*$E$155*$I$155+(AC$5=Inputs!$C$16+$K$153)*$F$155*$J$155+(AC$5=Inputs!$C$17)*$G$155*$H$153*$H$155)</f>
        <v>156.0944</v>
      </c>
      <c r="AD158" s="42" t="n">
        <f aca="false">-($D$153+$J$153)*(AD$5=0)+IF(AND(AD$5-$K$153&gt;=1,AD$5-$K$153&lt;=Inputs!$C$13),INDEX($N$156:$AL$156,1,AD$5-$K$153+1)*INDEX($N$157:$AL$157,1,AD$5-$K$153+1),0)-$I$153*((AD$5=Inputs!$C$12)*$C$155*$D$153+(AD$5=Inputs!$C$13)*$D$155*($D$153+Inputs!$C$14))+$I$153*((AD$5=Inputs!$C$15+$K$153)*$E$155*$I$155+(AD$5=Inputs!$C$16+$K$153)*$F$155*$J$155+(AD$5=Inputs!$C$17)*$G$155*$H$153*$H$155)</f>
        <v>157.634400000001</v>
      </c>
      <c r="AE158" s="42" t="n">
        <f aca="false">-($D$153+$J$153)*(AE$5=0)+IF(AND(AE$5-$K$153&gt;=1,AE$5-$K$153&lt;=Inputs!$C$13),INDEX($N$156:$AL$156,1,AE$5-$K$153+1)*INDEX($N$157:$AL$157,1,AE$5-$K$153+1),0)-$I$153*((AE$5=Inputs!$C$12)*$C$155*$D$153+(AE$5=Inputs!$C$13)*$D$155*($D$153+Inputs!$C$14))+$I$153*((AE$5=Inputs!$C$15+$K$153)*$E$155*$I$155+(AE$5=Inputs!$C$16+$K$153)*$F$155*$J$155+(AE$5=Inputs!$C$17)*$G$155*$H$153*$H$155)</f>
        <v>159.1744</v>
      </c>
      <c r="AF158" s="42" t="n">
        <f aca="false">-($D$153+$J$153)*(AF$5=0)+IF(AND(AF$5-$K$153&gt;=1,AF$5-$K$153&lt;=Inputs!$C$13),INDEX($N$156:$AL$156,1,AF$5-$K$153+1)*INDEX($N$157:$AL$157,1,AF$5-$K$153+1),0)-$I$153*((AF$5=Inputs!$C$12)*$C$155*$D$153+(AF$5=Inputs!$C$13)*$D$155*($D$153+Inputs!$C$14))+$I$153*((AF$5=Inputs!$C$15+$K$153)*$E$155*$I$155+(AF$5=Inputs!$C$16+$K$153)*$F$155*$J$155+(AF$5=Inputs!$C$17)*$G$155*$H$153*$H$155)</f>
        <v>160.7144</v>
      </c>
      <c r="AG158" s="42" t="n">
        <f aca="false">-($D$153+$J$153)*(AG$5=0)+IF(AND(AG$5-$K$153&gt;=1,AG$5-$K$153&lt;=Inputs!$C$13),INDEX($N$156:$AL$156,1,AG$5-$K$153+1)*INDEX($N$157:$AL$157,1,AG$5-$K$153+1),0)-$I$153*((AG$5=Inputs!$C$12)*$C$155*$D$153+(AG$5=Inputs!$C$13)*$D$155*($D$153+Inputs!$C$14))+$I$153*((AG$5=Inputs!$C$15+$K$153)*$E$155*$I$155+(AG$5=Inputs!$C$16+$K$153)*$F$155*$J$155+(AG$5=Inputs!$C$17)*$G$155*$H$153*$H$155)</f>
        <v>162.2544</v>
      </c>
      <c r="AH158" s="42" t="n">
        <f aca="false">-($D$153+$J$153)*(AH$5=0)+IF(AND(AH$5-$K$153&gt;=1,AH$5-$K$153&lt;=Inputs!$C$13),INDEX($N$156:$AL$156,1,AH$5-$K$153+1)*INDEX($N$157:$AL$157,1,AH$5-$K$153+1),0)-$I$153*((AH$5=Inputs!$C$12)*$C$155*$D$153+(AH$5=Inputs!$C$13)*$D$155*($D$153+Inputs!$C$14))+$I$153*((AH$5=Inputs!$C$15+$K$153)*$E$155*$I$155+(AH$5=Inputs!$C$16+$K$153)*$F$155*$J$155+(AH$5=Inputs!$C$17)*$G$155*$H$153*$H$155)</f>
        <v>116.996</v>
      </c>
      <c r="AI158" s="42" t="n">
        <f aca="false">-($D$153+$J$153)*(AI$5=0)+IF(AND(AI$5-$K$153&gt;=1,AI$5-$K$153&lt;=Inputs!$C$13),INDEX($N$156:$AL$156,1,AI$5-$K$153+1)*INDEX($N$157:$AL$157,1,AI$5-$K$153+1),0)-$I$153*((AI$5=Inputs!$C$12)*$C$155*$D$153+(AI$5=Inputs!$C$13)*$D$155*($D$153+Inputs!$C$14))+$I$153*((AI$5=Inputs!$C$15+$K$153)*$E$155*$I$155+(AI$5=Inputs!$C$16+$K$153)*$F$155*$J$155+(AI$5=Inputs!$C$17)*$G$155*$H$153*$H$155)</f>
        <v>118.096</v>
      </c>
      <c r="AJ158" s="42" t="n">
        <f aca="false">-($D$153+$J$153)*(AJ$5=0)+IF(AND(AJ$5-$K$153&gt;=1,AJ$5-$K$153&lt;=Inputs!$C$13),INDEX($N$156:$AL$156,1,AJ$5-$K$153+1)*INDEX($N$157:$AL$157,1,AJ$5-$K$153+1),0)-$I$153*((AJ$5=Inputs!$C$12)*$C$155*$D$153+(AJ$5=Inputs!$C$13)*$D$155*($D$153+Inputs!$C$14))+$I$153*((AJ$5=Inputs!$C$15+$K$153)*$E$155*$I$155+(AJ$5=Inputs!$C$16+$K$153)*$F$155*$J$155+(AJ$5=Inputs!$C$17)*$G$155*$H$153*$H$155)</f>
        <v>119.196</v>
      </c>
      <c r="AK158" s="42" t="n">
        <f aca="false">-($D$153+$J$153)*(AK$5=0)+IF(AND(AK$5-$K$153&gt;=1,AK$5-$K$153&lt;=Inputs!$C$13),INDEX($N$156:$AL$156,1,AK$5-$K$153+1)*INDEX($N$157:$AL$157,1,AK$5-$K$153+1),0)-$I$153*((AK$5=Inputs!$C$12)*$C$155*$D$153+(AK$5=Inputs!$C$13)*$D$155*($D$153+Inputs!$C$14))+$I$153*((AK$5=Inputs!$C$15+$K$153)*$E$155*$I$155+(AK$5=Inputs!$C$16+$K$153)*$F$155*$J$155+(AK$5=Inputs!$C$17)*$G$155*$H$153*$H$155)</f>
        <v>120.296</v>
      </c>
      <c r="AL158" s="42" t="n">
        <f aca="false">-($D$153+$J$153)*(AL$5=0)+IF(AND(AL$5-$K$153&gt;=1,AL$5-$K$153&lt;=Inputs!$C$13),INDEX($N$156:$AL$156,1,AL$5-$K$153+1)*INDEX($N$157:$AL$157,1,AL$5-$K$153+1),0)-$I$153*((AL$5=Inputs!$C$12)*$C$155*$D$153+(AL$5=Inputs!$C$13)*$D$155*($D$153+Inputs!$C$14))+$I$153*((AL$5=Inputs!$C$15+$K$153)*$E$155*$I$155+(AL$5=Inputs!$C$16+$K$153)*$F$155*$J$155+(AL$5=Inputs!$C$17)*$G$155*$H$153*$H$155)</f>
        <v>-526.604</v>
      </c>
      <c r="AM158" s="42" t="n">
        <f aca="false">-($D$153+$J$153)*(AM$5=0)+IF(AND(AM$5-$K$153&gt;=1,AM$5-$K$153&lt;=Inputs!$C$13),INDEX($N$156:$AL$156,1,AM$5-$K$153+1)*INDEX($N$157:$AL$157,1,AM$5-$K$153+1),0)-$I$153*((AM$5=Inputs!$C$12)*$C$155*$D$153+(AM$5=Inputs!$C$13)*$D$155*($D$153+Inputs!$C$14))+$I$153*((AM$5=Inputs!$C$15+$K$153)*$E$155*$I$155+(AM$5=Inputs!$C$16+$K$153)*$F$155*$J$155+(AM$5=Inputs!$C$17)*$G$155*$H$153*$H$155)</f>
        <v>122.496</v>
      </c>
      <c r="AN158" s="42" t="n">
        <f aca="false">-($D$153+$J$153)*(AN$5=0)+IF(AND(AN$5-$K$153&gt;=1,AN$5-$K$153&lt;=Inputs!$C$13),INDEX($N$156:$AL$156,1,AN$5-$K$153+1)*INDEX($N$157:$AL$157,1,AN$5-$K$153+1),0)-$I$153*((AN$5=Inputs!$C$12)*$C$155*$D$153+(AN$5=Inputs!$C$13)*$D$155*($D$153+Inputs!$C$14))+$I$153*((AN$5=Inputs!$C$15+$K$153)*$E$155*$I$155+(AN$5=Inputs!$C$16+$K$153)*$F$155*$J$155+(AN$5=Inputs!$C$17)*$G$155*$H$153*$H$155)</f>
        <v>0</v>
      </c>
      <c r="AO158" s="42" t="n">
        <f aca="false">-($D$153+$J$153)*(AO$5=0)+IF(AND(AO$5-$K$153&gt;=1,AO$5-$K$153&lt;=Inputs!$C$13),INDEX($N$156:$AL$156,1,AO$5-$K$153+1)*INDEX($N$157:$AL$157,1,AO$5-$K$153+1),0)-$I$153*((AO$5=Inputs!$C$12)*$C$155*$D$153+(AO$5=Inputs!$C$13)*$D$155*($D$153+Inputs!$C$14))+$I$153*((AO$5=Inputs!$C$15+$K$153)*$E$155*$I$155+(AO$5=Inputs!$C$16+$K$153)*$F$155*$J$155+(AO$5=Inputs!$C$17)*$G$155*$H$153*$H$155)</f>
        <v>0</v>
      </c>
      <c r="AP158" s="42" t="n">
        <f aca="false">-($D$153+$J$153)*(AP$5=0)+IF(AND(AP$5-$K$153&gt;=1,AP$5-$K$153&lt;=Inputs!$C$13),INDEX($N$156:$AL$156,1,AP$5-$K$153+1)*INDEX($N$157:$AL$157,1,AP$5-$K$153+1),0)-$I$153*((AP$5=Inputs!$C$12)*$C$155*$D$153+(AP$5=Inputs!$C$13)*$D$155*($D$153+Inputs!$C$14))+$I$153*((AP$5=Inputs!$C$15+$K$153)*$E$155*$I$155+(AP$5=Inputs!$C$16+$K$153)*$F$155*$J$155+(AP$5=Inputs!$C$17)*$G$155*$H$153*$H$155)</f>
        <v>1018.008</v>
      </c>
      <c r="AQ158" s="42" t="n">
        <f aca="false">-($D$153+$J$153)*(AQ$5=0)+IF(AND(AQ$5-$K$153&gt;=1,AQ$5-$K$153&lt;=Inputs!$C$13),INDEX($N$156:$AL$156,1,AQ$5-$K$153+1)*INDEX($N$157:$AL$157,1,AQ$5-$K$153+1),0)-$I$153*((AQ$5=Inputs!$C$12)*$C$155*$D$153+(AQ$5=Inputs!$C$13)*$D$155*($D$153+Inputs!$C$14))+$I$153*((AQ$5=Inputs!$C$15+$K$153)*$E$155*$I$155+(AQ$5=Inputs!$C$16+$K$153)*$F$155*$J$155+(AQ$5=Inputs!$C$17)*$G$155*$H$153*$H$155)</f>
        <v>0</v>
      </c>
      <c r="AR158" s="42" t="n">
        <f aca="false">-($D$153+$J$153)*(AR$5=0)+IF(AND(AR$5-$K$153&gt;=1,AR$5-$K$153&lt;=Inputs!$C$13),INDEX($N$156:$AL$156,1,AR$5-$K$153+1)*INDEX($N$157:$AL$157,1,AR$5-$K$153+1),0)-$I$153*((AR$5=Inputs!$C$12)*$C$155*$D$153+(AR$5=Inputs!$C$13)*$D$155*($D$153+Inputs!$C$14))+$I$153*((AR$5=Inputs!$C$15+$K$153)*$E$155*$I$155+(AR$5=Inputs!$C$16+$K$153)*$F$155*$J$155+(AR$5=Inputs!$C$17)*$G$155*$H$153*$H$155)</f>
        <v>0</v>
      </c>
      <c r="AS158" s="42" t="n">
        <f aca="false">-($D$153+$J$153)*(AS$5=0)+IF(AND(AS$5-$K$153&gt;=1,AS$5-$K$153&lt;=Inputs!$C$13),INDEX($N$156:$AL$156,1,AS$5-$K$153+1)*INDEX($N$157:$AL$157,1,AS$5-$K$153+1),0)-$I$153*((AS$5=Inputs!$C$12)*$C$155*$D$153+(AS$5=Inputs!$C$13)*$D$155*($D$153+Inputs!$C$14))+$I$153*((AS$5=Inputs!$C$15+$K$153)*$E$155*$I$155+(AS$5=Inputs!$C$16+$K$153)*$F$155*$J$155+(AS$5=Inputs!$C$17)*$G$155*$H$153*$H$155)</f>
        <v>444.4956</v>
      </c>
      <c r="AT158" s="42" t="n">
        <f aca="false">-($D$153+$J$153)*(AT$5=0)+IF(AND(AT$5-$K$153&gt;=1,AT$5-$K$153&lt;=Inputs!$C$13),INDEX($N$156:$AL$156,1,AT$5-$K$153+1)*INDEX($N$157:$AL$157,1,AT$5-$K$153+1),0)-$I$153*((AT$5=Inputs!$C$12)*$C$155*$D$153+(AT$5=Inputs!$C$13)*$D$155*($D$153+Inputs!$C$14))+$I$153*((AT$5=Inputs!$C$15+$K$153)*$E$155*$I$155+(AT$5=Inputs!$C$16+$K$153)*$F$155*$J$155+(AT$5=Inputs!$C$17)*$G$155*$H$153*$H$155)</f>
        <v>0</v>
      </c>
      <c r="AU158" s="42" t="n">
        <f aca="false">-($D$153+$J$153)*(AU$5=0)+IF(AND(AU$5-$K$153&gt;=1,AU$5-$K$153&lt;=Inputs!$C$13),INDEX($N$156:$AL$156,1,AU$5-$K$153+1)*INDEX($N$157:$AL$157,1,AU$5-$K$153+1),0)-$I$153*((AU$5=Inputs!$C$12)*$C$155*$D$153+(AU$5=Inputs!$C$13)*$D$155*($D$153+Inputs!$C$14))+$I$153*((AU$5=Inputs!$C$15+$K$153)*$E$155*$I$155+(AU$5=Inputs!$C$16+$K$153)*$F$155*$J$155+(AU$5=Inputs!$C$17)*$G$155*$H$153*$H$155)</f>
        <v>0</v>
      </c>
      <c r="AV158" s="42" t="n">
        <f aca="false">-($D$153+$J$153)*(AV$5=0)+IF(AND(AV$5-$K$153&gt;=1,AV$5-$K$153&lt;=Inputs!$C$13),INDEX($N$156:$AL$156,1,AV$5-$K$153+1)*INDEX($N$157:$AL$157,1,AV$5-$K$153+1),0)-$I$153*((AV$5=Inputs!$C$12)*$C$155*$D$153+(AV$5=Inputs!$C$13)*$D$155*($D$153+Inputs!$C$14))+$I$153*((AV$5=Inputs!$C$15+$K$153)*$E$155*$I$155+(AV$5=Inputs!$C$16+$K$153)*$F$155*$J$155+(AV$5=Inputs!$C$17)*$G$155*$H$153*$H$155)</f>
        <v>0</v>
      </c>
      <c r="AW158" s="42" t="n">
        <f aca="false">-($D$153+$J$153)*(AW$5=0)+IF(AND(AW$5-$K$153&gt;=1,AW$5-$K$153&lt;=Inputs!$C$13),INDEX($N$156:$AL$156,1,AW$5-$K$153+1)*INDEX($N$157:$AL$157,1,AW$5-$K$153+1),0)-$I$153*((AW$5=Inputs!$C$12)*$C$155*$D$153+(AW$5=Inputs!$C$13)*$D$155*($D$153+Inputs!$C$14))+$I$153*((AW$5=Inputs!$C$15+$K$153)*$E$155*$I$155+(AW$5=Inputs!$C$16+$K$153)*$F$155*$J$155+(AW$5=Inputs!$C$17)*$G$155*$H$153*$H$155)</f>
        <v>0</v>
      </c>
      <c r="AX158" s="42" t="n">
        <f aca="false">-($D$153+$J$153)*(AX$5=0)+IF(AND(AX$5-$K$153&gt;=1,AX$5-$K$153&lt;=Inputs!$C$13),INDEX($N$156:$AL$156,1,AX$5-$K$153+1)*INDEX($N$157:$AL$157,1,AX$5-$K$153+1),0)-$I$153*((AX$5=Inputs!$C$12)*$C$155*$D$153+(AX$5=Inputs!$C$13)*$D$155*($D$153+Inputs!$C$14))+$I$153*((AX$5=Inputs!$C$15+$K$153)*$E$155*$I$155+(AX$5=Inputs!$C$16+$K$153)*$F$155*$J$155+(AX$5=Inputs!$C$17)*$G$155*$H$153*$H$155)</f>
        <v>175.392</v>
      </c>
      <c r="AY158" s="42" t="n">
        <f aca="false">-($D$153+$J$153)*(AY$5=0)+IF(AND(AY$5-$K$153&gt;=1,AY$5-$K$153&lt;=Inputs!$C$13),INDEX($N$156:$AL$156,1,AY$5-$K$153+1)*INDEX($N$157:$AL$157,1,AY$5-$K$153+1),0)-$I$153*((AY$5=Inputs!$C$12)*$C$155*$D$153+(AY$5=Inputs!$C$13)*$D$155*($D$153+Inputs!$C$14))+$I$153*((AY$5=Inputs!$C$15+$K$153)*$E$155*$I$155+(AY$5=Inputs!$C$16+$K$153)*$F$155*$J$155+(AY$5=Inputs!$C$17)*$G$155*$H$153*$H$155)</f>
        <v>0</v>
      </c>
    </row>
    <row r="160" customFormat="false" ht="15" hidden="false" customHeight="false" outlineLevel="0" collapsed="false">
      <c r="B160" s="7" t="s">
        <v>258</v>
      </c>
      <c r="C160" s="8"/>
      <c r="D160" s="8"/>
      <c r="E160" s="8"/>
      <c r="F160" s="8"/>
      <c r="G160" s="8"/>
      <c r="H160" s="8"/>
      <c r="I160" s="8"/>
      <c r="J160" s="8"/>
      <c r="K160" s="8"/>
      <c r="L160" s="8"/>
    </row>
    <row r="161" customFormat="false" ht="30" hidden="false" customHeight="true" outlineLevel="0" collapsed="false">
      <c r="B161" s="37"/>
      <c r="C161" s="38" t="s">
        <v>169</v>
      </c>
      <c r="D161" s="38" t="s">
        <v>170</v>
      </c>
      <c r="E161" s="38" t="s">
        <v>171</v>
      </c>
      <c r="F161" s="38" t="s">
        <v>43</v>
      </c>
      <c r="G161" s="38" t="s">
        <v>44</v>
      </c>
      <c r="H161" s="38" t="s">
        <v>45</v>
      </c>
      <c r="I161" s="38" t="s">
        <v>172</v>
      </c>
      <c r="J161" s="38" t="s">
        <v>90</v>
      </c>
      <c r="K161" s="38" t="s">
        <v>89</v>
      </c>
      <c r="L161" s="38" t="s">
        <v>173</v>
      </c>
    </row>
    <row r="162" customFormat="false" ht="15" hidden="false" customHeight="false" outlineLevel="0" collapsed="false">
      <c r="B162" s="39" t="s">
        <v>174</v>
      </c>
      <c r="C162" s="26" t="n">
        <f aca="false">Inputs!$F$41*Inputs!$E$58</f>
        <v>0.09</v>
      </c>
      <c r="D162" s="30" t="n">
        <f aca="false">Inputs!$E$41</f>
        <v>9500</v>
      </c>
      <c r="E162" s="26" t="n">
        <f aca="false">IF(Inputs!$G$41=1,Inputs!$F$27,MIN(1,MAX(0,INDEX(Inputs!$F$23:$F$27,MATCH(Inputs!$C$41,Inputs!$B$23:$B$27,0))+INDEX(Inputs!$C$48:$C$51,MATCH(Inputs!$D$58,Inputs!$B$48:$B$51,0)))))</f>
        <v>0.85</v>
      </c>
      <c r="F162" s="25" t="n">
        <f aca="false">IF(Inputs!$G$41=1,Inputs!$G$27,INDEX(Inputs!$G$23:$G$27,MATCH(Inputs!$C$41,Inputs!$B$23:$B$27,0)))</f>
        <v>0.6</v>
      </c>
      <c r="G162" s="25" t="n">
        <f aca="false">IF(Inputs!$G$41=1,Inputs!$H$27,INDEX(Inputs!$H$23:$H$27,MATCH(Inputs!$C$41,Inputs!$B$23:$B$27,0)))*INDEX(Inputs!$D$48:$D$51,MATCH(Inputs!$D$58,Inputs!$B$48:$B$51,0))</f>
        <v>0.6</v>
      </c>
      <c r="H162" s="25" t="n">
        <f aca="false">MAX(0,IF(Inputs!$G$41=1,Inputs!$I$27,INDEX(Inputs!$I$23:$I$27,MATCH(Inputs!$C$41,Inputs!$B$23:$B$27,0)))+INDEX(Inputs!$E$48:$E$51,MATCH(Inputs!$D$58,Inputs!$B$48:$B$51,0)))</f>
        <v>0.8</v>
      </c>
      <c r="I162" s="22" t="n">
        <f aca="false">IF(Inputs!$G$41=1,0,INDEX(Inputs!$J$23:$J$27,MATCH(Inputs!$C$41,Inputs!$B$23:$B$27,0)))</f>
        <v>1</v>
      </c>
      <c r="J162" s="23" t="n">
        <f aca="false">Inputs!$G$58</f>
        <v>10</v>
      </c>
      <c r="K162" s="22" t="n">
        <f aca="false">Inputs!$F$58</f>
        <v>1</v>
      </c>
      <c r="L162" s="22" t="n">
        <f aca="false">Inputs!$C$58</f>
        <v>1</v>
      </c>
    </row>
    <row r="163" customFormat="false" ht="30" hidden="false" customHeight="true" outlineLevel="0" collapsed="false">
      <c r="B163" s="37"/>
      <c r="C163" s="38" t="s">
        <v>175</v>
      </c>
      <c r="D163" s="38" t="s">
        <v>176</v>
      </c>
      <c r="E163" s="38" t="s">
        <v>177</v>
      </c>
      <c r="F163" s="38" t="s">
        <v>178</v>
      </c>
      <c r="G163" s="38" t="s">
        <v>112</v>
      </c>
      <c r="H163" s="38" t="s">
        <v>179</v>
      </c>
      <c r="I163" s="38" t="s">
        <v>180</v>
      </c>
      <c r="J163" s="38" t="s">
        <v>181</v>
      </c>
      <c r="K163" s="38" t="s">
        <v>182</v>
      </c>
      <c r="L163" s="38" t="s">
        <v>183</v>
      </c>
    </row>
    <row r="164" customFormat="false" ht="15" hidden="false" customHeight="false" outlineLevel="0" collapsed="false">
      <c r="B164" s="39" t="s">
        <v>184</v>
      </c>
      <c r="C164" s="40" t="n">
        <f aca="false">1-$E$162*CHOOSE($L$162,INDEX(Timing!$C$7:$AA$7,1,Inputs!$C$12+1),INDEX(Timing!$C$8:$AA$8,1,Inputs!$C$12+1))</f>
        <v>0.354</v>
      </c>
      <c r="D164" s="40" t="n">
        <f aca="false">1-$E$162*CHOOSE($L$162,INDEX(Timing!$C$7:$AA$7,1,Inputs!$C$13+1),INDEX(Timing!$C$8:$AA$8,1,Inputs!$C$13+1))</f>
        <v>0.15</v>
      </c>
      <c r="E164" s="40" t="n">
        <f aca="false">$I$162*$D$164*$F$162</f>
        <v>0.09</v>
      </c>
      <c r="F164" s="40" t="n">
        <f aca="false">$I$162*($D$164-$E$164)*$G$162</f>
        <v>0.036</v>
      </c>
      <c r="G164" s="40" t="n">
        <f aca="false">$I$162*($D$164-$E$164-$F$164)</f>
        <v>0.024</v>
      </c>
      <c r="H164" s="23" t="n">
        <f aca="false">$I$162*(3*$D$162+Inputs!$C$14)</f>
        <v>30300</v>
      </c>
      <c r="I164" s="23" t="n">
        <f aca="false">$I$162*($D$162*(1+IF($C$162&lt;=0,0,MAX($C$162*Inputs!$C$15/12,Inputs!$C$8)))+$D$162*(1+Inputs!$C$11*(Inputs!$C$15-Inputs!$C$12)/12)+$D$162*(1+Inputs!$C$11*(Inputs!$C$15-Inputs!$C$13)/12)+Inputs!$C$14)</f>
        <v>34788.75</v>
      </c>
      <c r="J164" s="23" t="n">
        <f aca="false">$I$162*($D$162*(1+IF($C$162&lt;=0,0,MAX($C$162*Inputs!$C$16/12,Inputs!$C$8)))+$D$162*(1+Inputs!$C$11*(Inputs!$C$16-Inputs!$C$12)/12)+$D$162*(1+Inputs!$C$11*(Inputs!$C$16-Inputs!$C$13)/12)+Inputs!$C$14)</f>
        <v>35857.5</v>
      </c>
      <c r="K164" s="40" t="n">
        <f aca="false">IRR($N$167:$AY$167,0.005)</f>
        <v>0.00711844761868841</v>
      </c>
      <c r="L164" s="41" t="n">
        <f aca="false">(1+$K$164)^12-1</f>
        <v>0.0888463843721674</v>
      </c>
    </row>
    <row r="165" customFormat="false" ht="15" hidden="false" customHeight="false" outlineLevel="0" collapsed="false">
      <c r="B165" s="9" t="s">
        <v>185</v>
      </c>
      <c r="N165" s="40" t="n">
        <f aca="false">0</f>
        <v>0</v>
      </c>
      <c r="O165" s="40" t="n">
        <f aca="false">$E$162*(CHOOSE($L$162,Timing!D$7,Timing!D$8)-CHOOSE($L$162,Timing!C$7,Timing!C$8))</f>
        <v>0.102</v>
      </c>
      <c r="P165" s="40" t="n">
        <f aca="false">$E$162*(CHOOSE($L$162,Timing!E$7,Timing!E$8)-CHOOSE($L$162,Timing!D$7,Timing!D$8))</f>
        <v>0.085</v>
      </c>
      <c r="Q165" s="40" t="n">
        <f aca="false">$E$162*(CHOOSE($L$162,Timing!F$7,Timing!F$8)-CHOOSE($L$162,Timing!E$7,Timing!E$8))</f>
        <v>0.0765</v>
      </c>
      <c r="R165" s="40" t="n">
        <f aca="false">$E$162*(CHOOSE($L$162,Timing!G$7,Timing!G$8)-CHOOSE($L$162,Timing!F$7,Timing!F$8))</f>
        <v>0.0595</v>
      </c>
      <c r="S165" s="40" t="n">
        <f aca="false">$E$162*(CHOOSE($L$162,Timing!H$7,Timing!H$8)-CHOOSE($L$162,Timing!G$7,Timing!G$8))</f>
        <v>0.0595</v>
      </c>
      <c r="T165" s="40" t="n">
        <f aca="false">$E$162*(CHOOSE($L$162,Timing!I$7,Timing!I$8)-CHOOSE($L$162,Timing!H$7,Timing!H$8))</f>
        <v>0.0595</v>
      </c>
      <c r="U165" s="40" t="n">
        <f aca="false">$E$162*(CHOOSE($L$162,Timing!J$7,Timing!J$8)-CHOOSE($L$162,Timing!I$7,Timing!I$8))</f>
        <v>0.0368333333333333</v>
      </c>
      <c r="V165" s="40" t="n">
        <f aca="false">$E$162*(CHOOSE($L$162,Timing!K$7,Timing!K$8)-CHOOSE($L$162,Timing!J$7,Timing!J$8))</f>
        <v>0.0368333333333333</v>
      </c>
      <c r="W165" s="40" t="n">
        <f aca="false">$E$162*(CHOOSE($L$162,Timing!L$7,Timing!L$8)-CHOOSE($L$162,Timing!K$7,Timing!K$8))</f>
        <v>0.0368333333333333</v>
      </c>
      <c r="X165" s="40" t="n">
        <f aca="false">$E$162*(CHOOSE($L$162,Timing!M$7,Timing!M$8)-CHOOSE($L$162,Timing!L$7,Timing!L$8))</f>
        <v>0.0311666666666666</v>
      </c>
      <c r="Y165" s="40" t="n">
        <f aca="false">$E$162*(CHOOSE($L$162,Timing!N$7,Timing!N$8)-CHOOSE($L$162,Timing!M$7,Timing!M$8))</f>
        <v>0.0311666666666667</v>
      </c>
      <c r="Z165" s="40" t="n">
        <f aca="false">$E$162*(CHOOSE($L$162,Timing!O$7,Timing!O$8)-CHOOSE($L$162,Timing!N$7,Timing!N$8))</f>
        <v>0.0311666666666666</v>
      </c>
      <c r="AA165" s="40" t="n">
        <f aca="false">$E$162*(CHOOSE($L$162,Timing!P$7,Timing!P$8)-CHOOSE($L$162,Timing!O$7,Timing!O$8))</f>
        <v>0.0198333333333333</v>
      </c>
      <c r="AB165" s="40" t="n">
        <f aca="false">$E$162*(CHOOSE($L$162,Timing!Q$7,Timing!Q$8)-CHOOSE($L$162,Timing!P$7,Timing!P$8))</f>
        <v>0.0198333333333333</v>
      </c>
      <c r="AC165" s="40" t="n">
        <f aca="false">$E$162*(CHOOSE($L$162,Timing!R$7,Timing!R$8)-CHOOSE($L$162,Timing!Q$7,Timing!Q$8))</f>
        <v>0.0198333333333334</v>
      </c>
      <c r="AD165" s="40" t="n">
        <f aca="false">$E$162*(CHOOSE($L$162,Timing!S$7,Timing!S$8)-CHOOSE($L$162,Timing!R$7,Timing!R$8))</f>
        <v>0.0198333333333333</v>
      </c>
      <c r="AE165" s="40" t="n">
        <f aca="false">$E$162*(CHOOSE($L$162,Timing!T$7,Timing!T$8)-CHOOSE($L$162,Timing!S$7,Timing!S$8))</f>
        <v>0.0198333333333333</v>
      </c>
      <c r="AF165" s="40" t="n">
        <f aca="false">$E$162*(CHOOSE($L$162,Timing!U$7,Timing!U$8)-CHOOSE($L$162,Timing!T$7,Timing!T$8))</f>
        <v>0.0198333333333333</v>
      </c>
      <c r="AG165" s="40" t="n">
        <f aca="false">$E$162*(CHOOSE($L$162,Timing!V$7,Timing!V$8)-CHOOSE($L$162,Timing!U$7,Timing!U$8))</f>
        <v>0.0141666666666667</v>
      </c>
      <c r="AH165" s="40" t="n">
        <f aca="false">$E$162*(CHOOSE($L$162,Timing!W$7,Timing!W$8)-CHOOSE($L$162,Timing!V$7,Timing!V$8))</f>
        <v>0.0141666666666666</v>
      </c>
      <c r="AI165" s="40" t="n">
        <f aca="false">$E$162*(CHOOSE($L$162,Timing!X$7,Timing!X$8)-CHOOSE($L$162,Timing!W$7,Timing!W$8))</f>
        <v>0.0141666666666666</v>
      </c>
      <c r="AJ165" s="40" t="n">
        <f aca="false">$E$162*(CHOOSE($L$162,Timing!Y$7,Timing!Y$8)-CHOOSE($L$162,Timing!X$7,Timing!X$8))</f>
        <v>0.0141666666666667</v>
      </c>
      <c r="AK165" s="40" t="n">
        <f aca="false">$E$162*(CHOOSE($L$162,Timing!Z$7,Timing!Z$8)-CHOOSE($L$162,Timing!Y$7,Timing!Y$8))</f>
        <v>0.0141666666666667</v>
      </c>
      <c r="AL165" s="40" t="n">
        <f aca="false">$E$162*(CHOOSE($L$162,Timing!AA$7,Timing!AA$8)-CHOOSE($L$162,Timing!Z$7,Timing!Z$8))</f>
        <v>0.0141666666666666</v>
      </c>
    </row>
    <row r="166" customFormat="false" ht="15" hidden="false" customHeight="false" outlineLevel="0" collapsed="false">
      <c r="B166" s="9" t="s">
        <v>186</v>
      </c>
      <c r="N166" s="42" t="n">
        <f aca="false">0</f>
        <v>0</v>
      </c>
      <c r="O166" s="42" t="n">
        <f aca="false">$D$162*(1+IF($C$162&lt;=0,0,MAX($C$162*O$5/12,Inputs!$C$8)))+$I$162*(O$5&gt;Inputs!$C$12)*$D$162*(1+Inputs!$C$11*(O$5-Inputs!$C$12)/12)</f>
        <v>9975</v>
      </c>
      <c r="P166" s="42" t="n">
        <f aca="false">$D$162*(1+IF($C$162&lt;=0,0,MAX($C$162*P$5/12,Inputs!$C$8)))+$I$162*(P$5&gt;Inputs!$C$12)*$D$162*(1+Inputs!$C$11*(P$5-Inputs!$C$12)/12)</f>
        <v>9975</v>
      </c>
      <c r="Q166" s="42" t="n">
        <f aca="false">$D$162*(1+IF($C$162&lt;=0,0,MAX($C$162*Q$5/12,Inputs!$C$8)))+$I$162*(Q$5&gt;Inputs!$C$12)*$D$162*(1+Inputs!$C$11*(Q$5-Inputs!$C$12)/12)</f>
        <v>9975</v>
      </c>
      <c r="R166" s="42" t="n">
        <f aca="false">$D$162*(1+IF($C$162&lt;=0,0,MAX($C$162*R$5/12,Inputs!$C$8)))+$I$162*(R$5&gt;Inputs!$C$12)*$D$162*(1+Inputs!$C$11*(R$5-Inputs!$C$12)/12)</f>
        <v>9975</v>
      </c>
      <c r="S166" s="42" t="n">
        <f aca="false">$D$162*(1+IF($C$162&lt;=0,0,MAX($C$162*S$5/12,Inputs!$C$8)))+$I$162*(S$5&gt;Inputs!$C$12)*$D$162*(1+Inputs!$C$11*(S$5-Inputs!$C$12)/12)</f>
        <v>9975</v>
      </c>
      <c r="T166" s="42" t="n">
        <f aca="false">$D$162*(1+IF($C$162&lt;=0,0,MAX($C$162*T$5/12,Inputs!$C$8)))+$I$162*(T$5&gt;Inputs!$C$12)*$D$162*(1+Inputs!$C$11*(T$5-Inputs!$C$12)/12)</f>
        <v>9975</v>
      </c>
      <c r="U166" s="42" t="n">
        <f aca="false">$D$162*(1+IF($C$162&lt;=0,0,MAX($C$162*U$5/12,Inputs!$C$8)))+$I$162*(U$5&gt;Inputs!$C$12)*$D$162*(1+Inputs!$C$11*(U$5-Inputs!$C$12)/12)</f>
        <v>9998.75</v>
      </c>
      <c r="V166" s="42" t="n">
        <f aca="false">$D$162*(1+IF($C$162&lt;=0,0,MAX($C$162*V$5/12,Inputs!$C$8)))+$I$162*(V$5&gt;Inputs!$C$12)*$D$162*(1+Inputs!$C$11*(V$5-Inputs!$C$12)/12)</f>
        <v>10070</v>
      </c>
      <c r="W166" s="42" t="n">
        <f aca="false">$D$162*(1+IF($C$162&lt;=0,0,MAX($C$162*W$5/12,Inputs!$C$8)))+$I$162*(W$5&gt;Inputs!$C$12)*$D$162*(1+Inputs!$C$11*(W$5-Inputs!$C$12)/12)</f>
        <v>10141.25</v>
      </c>
      <c r="X166" s="42" t="n">
        <f aca="false">$D$162*(1+IF($C$162&lt;=0,0,MAX($C$162*X$5/12,Inputs!$C$8)))+$I$162*(X$5&gt;Inputs!$C$12)*$D$162*(1+Inputs!$C$11*(X$5-Inputs!$C$12)/12)</f>
        <v>10212.5</v>
      </c>
      <c r="Y166" s="42" t="n">
        <f aca="false">$D$162*(1+IF($C$162&lt;=0,0,MAX($C$162*Y$5/12,Inputs!$C$8)))+$I$162*(Y$5&gt;Inputs!$C$12)*$D$162*(1+Inputs!$C$11*(Y$5-Inputs!$C$12)/12)</f>
        <v>10283.75</v>
      </c>
      <c r="Z166" s="42" t="n">
        <f aca="false">$D$162*(1+IF($C$162&lt;=0,0,MAX($C$162*Z$5/12,Inputs!$C$8)))+$I$162*(Z$5&gt;Inputs!$C$12)*$D$162*(1+Inputs!$C$11*(Z$5-Inputs!$C$12)/12)</f>
        <v>10355</v>
      </c>
      <c r="AA166" s="42" t="n">
        <f aca="false">$D$162*(1+IF($C$162&lt;=0,0,MAX($C$162*AA$5/12,Inputs!$C$8)))+$I$162*(AA$5&gt;Inputs!$C$12)*$D$162*(1+Inputs!$C$11*(AA$5-Inputs!$C$12)/12)</f>
        <v>20068.75</v>
      </c>
      <c r="AB166" s="42" t="n">
        <f aca="false">$D$162*(1+IF($C$162&lt;=0,0,MAX($C$162*AB$5/12,Inputs!$C$8)))+$I$162*(AB$5&gt;Inputs!$C$12)*$D$162*(1+Inputs!$C$11*(AB$5-Inputs!$C$12)/12)</f>
        <v>20282.5</v>
      </c>
      <c r="AC166" s="42" t="n">
        <f aca="false">$D$162*(1+IF($C$162&lt;=0,0,MAX($C$162*AC$5/12,Inputs!$C$8)))+$I$162*(AC$5&gt;Inputs!$C$12)*$D$162*(1+Inputs!$C$11*(AC$5-Inputs!$C$12)/12)</f>
        <v>20496.25</v>
      </c>
      <c r="AD166" s="42" t="n">
        <f aca="false">$D$162*(1+IF($C$162&lt;=0,0,MAX($C$162*AD$5/12,Inputs!$C$8)))+$I$162*(AD$5&gt;Inputs!$C$12)*$D$162*(1+Inputs!$C$11*(AD$5-Inputs!$C$12)/12)</f>
        <v>20710</v>
      </c>
      <c r="AE166" s="42" t="n">
        <f aca="false">$D$162*(1+IF($C$162&lt;=0,0,MAX($C$162*AE$5/12,Inputs!$C$8)))+$I$162*(AE$5&gt;Inputs!$C$12)*$D$162*(1+Inputs!$C$11*(AE$5-Inputs!$C$12)/12)</f>
        <v>20923.75</v>
      </c>
      <c r="AF166" s="42" t="n">
        <f aca="false">$D$162*(1+IF($C$162&lt;=0,0,MAX($C$162*AF$5/12,Inputs!$C$8)))+$I$162*(AF$5&gt;Inputs!$C$12)*$D$162*(1+Inputs!$C$11*(AF$5-Inputs!$C$12)/12)</f>
        <v>21137.5</v>
      </c>
      <c r="AG166" s="42" t="n">
        <f aca="false">$D$162*(1+IF($C$162&lt;=0,0,MAX($C$162*AG$5/12,Inputs!$C$8)))+$I$162*(AG$5&gt;Inputs!$C$12)*$D$162*(1+Inputs!$C$11*(AG$5-Inputs!$C$12)/12)</f>
        <v>21351.25</v>
      </c>
      <c r="AH166" s="42" t="n">
        <f aca="false">$D$162*(1+IF($C$162&lt;=0,0,MAX($C$162*AH$5/12,Inputs!$C$8)))+$I$162*(AH$5&gt;Inputs!$C$12)*$D$162*(1+Inputs!$C$11*(AH$5-Inputs!$C$12)/12)</f>
        <v>21565</v>
      </c>
      <c r="AI166" s="42" t="n">
        <f aca="false">$D$162*(1+IF($C$162&lt;=0,0,MAX($C$162*AI$5/12,Inputs!$C$8)))+$I$162*(AI$5&gt;Inputs!$C$12)*$D$162*(1+Inputs!$C$11*(AI$5-Inputs!$C$12)/12)</f>
        <v>21778.75</v>
      </c>
      <c r="AJ166" s="42" t="n">
        <f aca="false">$D$162*(1+IF($C$162&lt;=0,0,MAX($C$162*AJ$5/12,Inputs!$C$8)))+$I$162*(AJ$5&gt;Inputs!$C$12)*$D$162*(1+Inputs!$C$11*(AJ$5-Inputs!$C$12)/12)</f>
        <v>21992.5</v>
      </c>
      <c r="AK166" s="42" t="n">
        <f aca="false">$D$162*(1+IF($C$162&lt;=0,0,MAX($C$162*AK$5/12,Inputs!$C$8)))+$I$162*(AK$5&gt;Inputs!$C$12)*$D$162*(1+Inputs!$C$11*(AK$5-Inputs!$C$12)/12)</f>
        <v>22206.25</v>
      </c>
      <c r="AL166" s="42" t="n">
        <f aca="false">$D$162*(1+IF($C$162&lt;=0,0,MAX($C$162*AL$5/12,Inputs!$C$8)))+$I$162*(AL$5&gt;Inputs!$C$12)*$D$162*(1+Inputs!$C$11*(AL$5-Inputs!$C$12)/12)</f>
        <v>22420</v>
      </c>
    </row>
    <row r="167" customFormat="false" ht="15" hidden="false" customHeight="false" outlineLevel="0" collapsed="false">
      <c r="B167" s="31" t="s">
        <v>187</v>
      </c>
      <c r="N167" s="42" t="n">
        <f aca="false">-($D$162+$J$162)*(N$5=0)+IF(AND(N$5-$K$162&gt;=1,N$5-$K$162&lt;=Inputs!$C$13),INDEX($N$165:$AL$165,1,N$5-$K$162+1)*INDEX($N$166:$AL$166,1,N$5-$K$162+1),0)-$I$162*((N$5=Inputs!$C$12)*$C$164*$D$162+(N$5=Inputs!$C$13)*$D$164*($D$162+Inputs!$C$14))+$I$162*((N$5=Inputs!$C$15+$K$162)*$E$164*$I$164+(N$5=Inputs!$C$16+$K$162)*$F$164*$J$164+(N$5=Inputs!$C$17)*$G$164*$H$162*$H$164)</f>
        <v>-9510</v>
      </c>
      <c r="O167" s="42" t="n">
        <f aca="false">-($D$162+$J$162)*(O$5=0)+IF(AND(O$5-$K$162&gt;=1,O$5-$K$162&lt;=Inputs!$C$13),INDEX($N$165:$AL$165,1,O$5-$K$162+1)*INDEX($N$166:$AL$166,1,O$5-$K$162+1),0)-$I$162*((O$5=Inputs!$C$12)*$C$164*$D$162+(O$5=Inputs!$C$13)*$D$164*($D$162+Inputs!$C$14))+$I$162*((O$5=Inputs!$C$15+$K$162)*$E$164*$I$164+(O$5=Inputs!$C$16+$K$162)*$F$164*$J$164+(O$5=Inputs!$C$17)*$G$164*$H$162*$H$164)</f>
        <v>0</v>
      </c>
      <c r="P167" s="42" t="n">
        <f aca="false">-($D$162+$J$162)*(P$5=0)+IF(AND(P$5-$K$162&gt;=1,P$5-$K$162&lt;=Inputs!$C$13),INDEX($N$165:$AL$165,1,P$5-$K$162+1)*INDEX($N$166:$AL$166,1,P$5-$K$162+1),0)-$I$162*((P$5=Inputs!$C$12)*$C$164*$D$162+(P$5=Inputs!$C$13)*$D$164*($D$162+Inputs!$C$14))+$I$162*((P$5=Inputs!$C$15+$K$162)*$E$164*$I$164+(P$5=Inputs!$C$16+$K$162)*$F$164*$J$164+(P$5=Inputs!$C$17)*$G$164*$H$162*$H$164)</f>
        <v>1017.45</v>
      </c>
      <c r="Q167" s="42" t="n">
        <f aca="false">-($D$162+$J$162)*(Q$5=0)+IF(AND(Q$5-$K$162&gt;=1,Q$5-$K$162&lt;=Inputs!$C$13),INDEX($N$165:$AL$165,1,Q$5-$K$162+1)*INDEX($N$166:$AL$166,1,Q$5-$K$162+1),0)-$I$162*((Q$5=Inputs!$C$12)*$C$164*$D$162+(Q$5=Inputs!$C$13)*$D$164*($D$162+Inputs!$C$14))+$I$162*((Q$5=Inputs!$C$15+$K$162)*$E$164*$I$164+(Q$5=Inputs!$C$16+$K$162)*$F$164*$J$164+(Q$5=Inputs!$C$17)*$G$164*$H$162*$H$164)</f>
        <v>847.875</v>
      </c>
      <c r="R167" s="42" t="n">
        <f aca="false">-($D$162+$J$162)*(R$5=0)+IF(AND(R$5-$K$162&gt;=1,R$5-$K$162&lt;=Inputs!$C$13),INDEX($N$165:$AL$165,1,R$5-$K$162+1)*INDEX($N$166:$AL$166,1,R$5-$K$162+1),0)-$I$162*((R$5=Inputs!$C$12)*$C$164*$D$162+(R$5=Inputs!$C$13)*$D$164*($D$162+Inputs!$C$14))+$I$162*((R$5=Inputs!$C$15+$K$162)*$E$164*$I$164+(R$5=Inputs!$C$16+$K$162)*$F$164*$J$164+(R$5=Inputs!$C$17)*$G$164*$H$162*$H$164)</f>
        <v>763.0875</v>
      </c>
      <c r="S167" s="42" t="n">
        <f aca="false">-($D$162+$J$162)*(S$5=0)+IF(AND(S$5-$K$162&gt;=1,S$5-$K$162&lt;=Inputs!$C$13),INDEX($N$165:$AL$165,1,S$5-$K$162+1)*INDEX($N$166:$AL$166,1,S$5-$K$162+1),0)-$I$162*((S$5=Inputs!$C$12)*$C$164*$D$162+(S$5=Inputs!$C$13)*$D$164*($D$162+Inputs!$C$14))+$I$162*((S$5=Inputs!$C$15+$K$162)*$E$164*$I$164+(S$5=Inputs!$C$16+$K$162)*$F$164*$J$164+(S$5=Inputs!$C$17)*$G$164*$H$162*$H$164)</f>
        <v>593.5125</v>
      </c>
      <c r="T167" s="42" t="n">
        <f aca="false">-($D$162+$J$162)*(T$5=0)+IF(AND(T$5-$K$162&gt;=1,T$5-$K$162&lt;=Inputs!$C$13),INDEX($N$165:$AL$165,1,T$5-$K$162+1)*INDEX($N$166:$AL$166,1,T$5-$K$162+1),0)-$I$162*((T$5=Inputs!$C$12)*$C$164*$D$162+(T$5=Inputs!$C$13)*$D$164*($D$162+Inputs!$C$14))+$I$162*((T$5=Inputs!$C$15+$K$162)*$E$164*$I$164+(T$5=Inputs!$C$16+$K$162)*$F$164*$J$164+(T$5=Inputs!$C$17)*$G$164*$H$162*$H$164)</f>
        <v>593.5125</v>
      </c>
      <c r="U167" s="42" t="n">
        <f aca="false">-($D$162+$J$162)*(U$5=0)+IF(AND(U$5-$K$162&gt;=1,U$5-$K$162&lt;=Inputs!$C$13),INDEX($N$165:$AL$165,1,U$5-$K$162+1)*INDEX($N$166:$AL$166,1,U$5-$K$162+1),0)-$I$162*((U$5=Inputs!$C$12)*$C$164*$D$162+(U$5=Inputs!$C$13)*$D$164*($D$162+Inputs!$C$14))+$I$162*((U$5=Inputs!$C$15+$K$162)*$E$164*$I$164+(U$5=Inputs!$C$16+$K$162)*$F$164*$J$164+(U$5=Inputs!$C$17)*$G$164*$H$162*$H$164)</f>
        <v>593.5125</v>
      </c>
      <c r="V167" s="42" t="n">
        <f aca="false">-($D$162+$J$162)*(V$5=0)+IF(AND(V$5-$K$162&gt;=1,V$5-$K$162&lt;=Inputs!$C$13),INDEX($N$165:$AL$165,1,V$5-$K$162+1)*INDEX($N$166:$AL$166,1,V$5-$K$162+1),0)-$I$162*((V$5=Inputs!$C$12)*$C$164*$D$162+(V$5=Inputs!$C$13)*$D$164*($D$162+Inputs!$C$14))+$I$162*((V$5=Inputs!$C$15+$K$162)*$E$164*$I$164+(V$5=Inputs!$C$16+$K$162)*$F$164*$J$164+(V$5=Inputs!$C$17)*$G$164*$H$162*$H$164)</f>
        <v>368.287291666667</v>
      </c>
      <c r="W167" s="42" t="n">
        <f aca="false">-($D$162+$J$162)*(W$5=0)+IF(AND(W$5-$K$162&gt;=1,W$5-$K$162&lt;=Inputs!$C$13),INDEX($N$165:$AL$165,1,W$5-$K$162+1)*INDEX($N$166:$AL$166,1,W$5-$K$162+1),0)-$I$162*((W$5=Inputs!$C$12)*$C$164*$D$162+(W$5=Inputs!$C$13)*$D$164*($D$162+Inputs!$C$14))+$I$162*((W$5=Inputs!$C$15+$K$162)*$E$164*$I$164+(W$5=Inputs!$C$16+$K$162)*$F$164*$J$164+(W$5=Inputs!$C$17)*$G$164*$H$162*$H$164)</f>
        <v>370.911666666667</v>
      </c>
      <c r="X167" s="42" t="n">
        <f aca="false">-($D$162+$J$162)*(X$5=0)+IF(AND(X$5-$K$162&gt;=1,X$5-$K$162&lt;=Inputs!$C$13),INDEX($N$165:$AL$165,1,X$5-$K$162+1)*INDEX($N$166:$AL$166,1,X$5-$K$162+1),0)-$I$162*((X$5=Inputs!$C$12)*$C$164*$D$162+(X$5=Inputs!$C$13)*$D$164*($D$162+Inputs!$C$14))+$I$162*((X$5=Inputs!$C$15+$K$162)*$E$164*$I$164+(X$5=Inputs!$C$16+$K$162)*$F$164*$J$164+(X$5=Inputs!$C$17)*$G$164*$H$162*$H$164)</f>
        <v>373.536041666667</v>
      </c>
      <c r="Y167" s="42" t="n">
        <f aca="false">-($D$162+$J$162)*(Y$5=0)+IF(AND(Y$5-$K$162&gt;=1,Y$5-$K$162&lt;=Inputs!$C$13),INDEX($N$165:$AL$165,1,Y$5-$K$162+1)*INDEX($N$166:$AL$166,1,Y$5-$K$162+1),0)-$I$162*((Y$5=Inputs!$C$12)*$C$164*$D$162+(Y$5=Inputs!$C$13)*$D$164*($D$162+Inputs!$C$14))+$I$162*((Y$5=Inputs!$C$15+$K$162)*$E$164*$I$164+(Y$5=Inputs!$C$16+$K$162)*$F$164*$J$164+(Y$5=Inputs!$C$17)*$G$164*$H$162*$H$164)</f>
        <v>318.289583333333</v>
      </c>
      <c r="Z167" s="42" t="n">
        <f aca="false">-($D$162+$J$162)*(Z$5=0)+IF(AND(Z$5-$K$162&gt;=1,Z$5-$K$162&lt;=Inputs!$C$13),INDEX($N$165:$AL$165,1,Z$5-$K$162+1)*INDEX($N$166:$AL$166,1,Z$5-$K$162+1),0)-$I$162*((Z$5=Inputs!$C$12)*$C$164*$D$162+(Z$5=Inputs!$C$13)*$D$164*($D$162+Inputs!$C$14))+$I$162*((Z$5=Inputs!$C$15+$K$162)*$E$164*$I$164+(Z$5=Inputs!$C$16+$K$162)*$F$164*$J$164+(Z$5=Inputs!$C$17)*$G$164*$H$162*$H$164)</f>
        <v>-3042.48979166667</v>
      </c>
      <c r="AA167" s="42" t="n">
        <f aca="false">-($D$162+$J$162)*(AA$5=0)+IF(AND(AA$5-$K$162&gt;=1,AA$5-$K$162&lt;=Inputs!$C$13),INDEX($N$165:$AL$165,1,AA$5-$K$162+1)*INDEX($N$166:$AL$166,1,AA$5-$K$162+1),0)-$I$162*((AA$5=Inputs!$C$12)*$C$164*$D$162+(AA$5=Inputs!$C$13)*$D$164*($D$162+Inputs!$C$14))+$I$162*((AA$5=Inputs!$C$15+$K$162)*$E$164*$I$164+(AA$5=Inputs!$C$16+$K$162)*$F$164*$J$164+(AA$5=Inputs!$C$17)*$G$164*$H$162*$H$164)</f>
        <v>322.730833333333</v>
      </c>
      <c r="AB167" s="42" t="n">
        <f aca="false">-($D$162+$J$162)*(AB$5=0)+IF(AND(AB$5-$K$162&gt;=1,AB$5-$K$162&lt;=Inputs!$C$13),INDEX($N$165:$AL$165,1,AB$5-$K$162+1)*INDEX($N$166:$AL$166,1,AB$5-$K$162+1),0)-$I$162*((AB$5=Inputs!$C$12)*$C$164*$D$162+(AB$5=Inputs!$C$13)*$D$164*($D$162+Inputs!$C$14))+$I$162*((AB$5=Inputs!$C$15+$K$162)*$E$164*$I$164+(AB$5=Inputs!$C$16+$K$162)*$F$164*$J$164+(AB$5=Inputs!$C$17)*$G$164*$H$162*$H$164)</f>
        <v>398.030208333333</v>
      </c>
      <c r="AC167" s="42" t="n">
        <f aca="false">-($D$162+$J$162)*(AC$5=0)+IF(AND(AC$5-$K$162&gt;=1,AC$5-$K$162&lt;=Inputs!$C$13),INDEX($N$165:$AL$165,1,AC$5-$K$162+1)*INDEX($N$166:$AL$166,1,AC$5-$K$162+1),0)-$I$162*((AC$5=Inputs!$C$12)*$C$164*$D$162+(AC$5=Inputs!$C$13)*$D$164*($D$162+Inputs!$C$14))+$I$162*((AC$5=Inputs!$C$15+$K$162)*$E$164*$I$164+(AC$5=Inputs!$C$16+$K$162)*$F$164*$J$164+(AC$5=Inputs!$C$17)*$G$164*$H$162*$H$164)</f>
        <v>402.269583333333</v>
      </c>
      <c r="AD167" s="42" t="n">
        <f aca="false">-($D$162+$J$162)*(AD$5=0)+IF(AND(AD$5-$K$162&gt;=1,AD$5-$K$162&lt;=Inputs!$C$13),INDEX($N$165:$AL$165,1,AD$5-$K$162+1)*INDEX($N$166:$AL$166,1,AD$5-$K$162+1),0)-$I$162*((AD$5=Inputs!$C$12)*$C$164*$D$162+(AD$5=Inputs!$C$13)*$D$164*($D$162+Inputs!$C$14))+$I$162*((AD$5=Inputs!$C$15+$K$162)*$E$164*$I$164+(AD$5=Inputs!$C$16+$K$162)*$F$164*$J$164+(AD$5=Inputs!$C$17)*$G$164*$H$162*$H$164)</f>
        <v>406.508958333335</v>
      </c>
      <c r="AE167" s="42" t="n">
        <f aca="false">-($D$162+$J$162)*(AE$5=0)+IF(AND(AE$5-$K$162&gt;=1,AE$5-$K$162&lt;=Inputs!$C$13),INDEX($N$165:$AL$165,1,AE$5-$K$162+1)*INDEX($N$166:$AL$166,1,AE$5-$K$162+1),0)-$I$162*((AE$5=Inputs!$C$12)*$C$164*$D$162+(AE$5=Inputs!$C$13)*$D$164*($D$162+Inputs!$C$14))+$I$162*((AE$5=Inputs!$C$15+$K$162)*$E$164*$I$164+(AE$5=Inputs!$C$16+$K$162)*$F$164*$J$164+(AE$5=Inputs!$C$17)*$G$164*$H$162*$H$164)</f>
        <v>410.748333333333</v>
      </c>
      <c r="AF167" s="42" t="n">
        <f aca="false">-($D$162+$J$162)*(AF$5=0)+IF(AND(AF$5-$K$162&gt;=1,AF$5-$K$162&lt;=Inputs!$C$13),INDEX($N$165:$AL$165,1,AF$5-$K$162+1)*INDEX($N$166:$AL$166,1,AF$5-$K$162+1),0)-$I$162*((AF$5=Inputs!$C$12)*$C$164*$D$162+(AF$5=Inputs!$C$13)*$D$164*($D$162+Inputs!$C$14))+$I$162*((AF$5=Inputs!$C$15+$K$162)*$E$164*$I$164+(AF$5=Inputs!$C$16+$K$162)*$F$164*$J$164+(AF$5=Inputs!$C$17)*$G$164*$H$162*$H$164)</f>
        <v>414.987708333333</v>
      </c>
      <c r="AG167" s="42" t="n">
        <f aca="false">-($D$162+$J$162)*(AG$5=0)+IF(AND(AG$5-$K$162&gt;=1,AG$5-$K$162&lt;=Inputs!$C$13),INDEX($N$165:$AL$165,1,AG$5-$K$162+1)*INDEX($N$166:$AL$166,1,AG$5-$K$162+1),0)-$I$162*((AG$5=Inputs!$C$12)*$C$164*$D$162+(AG$5=Inputs!$C$13)*$D$164*($D$162+Inputs!$C$14))+$I$162*((AG$5=Inputs!$C$15+$K$162)*$E$164*$I$164+(AG$5=Inputs!$C$16+$K$162)*$F$164*$J$164+(AG$5=Inputs!$C$17)*$G$164*$H$162*$H$164)</f>
        <v>419.227083333333</v>
      </c>
      <c r="AH167" s="42" t="n">
        <f aca="false">-($D$162+$J$162)*(AH$5=0)+IF(AND(AH$5-$K$162&gt;=1,AH$5-$K$162&lt;=Inputs!$C$13),INDEX($N$165:$AL$165,1,AH$5-$K$162+1)*INDEX($N$166:$AL$166,1,AH$5-$K$162+1),0)-$I$162*((AH$5=Inputs!$C$12)*$C$164*$D$162+(AH$5=Inputs!$C$13)*$D$164*($D$162+Inputs!$C$14))+$I$162*((AH$5=Inputs!$C$15+$K$162)*$E$164*$I$164+(AH$5=Inputs!$C$16+$K$162)*$F$164*$J$164+(AH$5=Inputs!$C$17)*$G$164*$H$162*$H$164)</f>
        <v>302.476041666668</v>
      </c>
      <c r="AI167" s="42" t="n">
        <f aca="false">-($D$162+$J$162)*(AI$5=0)+IF(AND(AI$5-$K$162&gt;=1,AI$5-$K$162&lt;=Inputs!$C$13),INDEX($N$165:$AL$165,1,AI$5-$K$162+1)*INDEX($N$166:$AL$166,1,AI$5-$K$162+1),0)-$I$162*((AI$5=Inputs!$C$12)*$C$164*$D$162+(AI$5=Inputs!$C$13)*$D$164*($D$162+Inputs!$C$14))+$I$162*((AI$5=Inputs!$C$15+$K$162)*$E$164*$I$164+(AI$5=Inputs!$C$16+$K$162)*$F$164*$J$164+(AI$5=Inputs!$C$17)*$G$164*$H$162*$H$164)</f>
        <v>305.504166666666</v>
      </c>
      <c r="AJ167" s="42" t="n">
        <f aca="false">-($D$162+$J$162)*(AJ$5=0)+IF(AND(AJ$5-$K$162&gt;=1,AJ$5-$K$162&lt;=Inputs!$C$13),INDEX($N$165:$AL$165,1,AJ$5-$K$162+1)*INDEX($N$166:$AL$166,1,AJ$5-$K$162+1),0)-$I$162*((AJ$5=Inputs!$C$12)*$C$164*$D$162+(AJ$5=Inputs!$C$13)*$D$164*($D$162+Inputs!$C$14))+$I$162*((AJ$5=Inputs!$C$15+$K$162)*$E$164*$I$164+(AJ$5=Inputs!$C$16+$K$162)*$F$164*$J$164+(AJ$5=Inputs!$C$17)*$G$164*$H$162*$H$164)</f>
        <v>308.532291666666</v>
      </c>
      <c r="AK167" s="42" t="n">
        <f aca="false">-($D$162+$J$162)*(AK$5=0)+IF(AND(AK$5-$K$162&gt;=1,AK$5-$K$162&lt;=Inputs!$C$13),INDEX($N$165:$AL$165,1,AK$5-$K$162+1)*INDEX($N$166:$AL$166,1,AK$5-$K$162+1),0)-$I$162*((AK$5=Inputs!$C$12)*$C$164*$D$162+(AK$5=Inputs!$C$13)*$D$164*($D$162+Inputs!$C$14))+$I$162*((AK$5=Inputs!$C$15+$K$162)*$E$164*$I$164+(AK$5=Inputs!$C$16+$K$162)*$F$164*$J$164+(AK$5=Inputs!$C$17)*$G$164*$H$162*$H$164)</f>
        <v>311.560416666668</v>
      </c>
      <c r="AL167" s="42" t="n">
        <f aca="false">-($D$162+$J$162)*(AL$5=0)+IF(AND(AL$5-$K$162&gt;=1,AL$5-$K$162&lt;=Inputs!$C$13),INDEX($N$165:$AL$165,1,AL$5-$K$162+1)*INDEX($N$166:$AL$166,1,AL$5-$K$162+1),0)-$I$162*((AL$5=Inputs!$C$12)*$C$164*$D$162+(AL$5=Inputs!$C$13)*$D$164*($D$162+Inputs!$C$14))+$I$162*((AL$5=Inputs!$C$15+$K$162)*$E$164*$I$164+(AL$5=Inputs!$C$16+$K$162)*$F$164*$J$164+(AL$5=Inputs!$C$17)*$G$164*$H$162*$H$164)</f>
        <v>-1380.41145833333</v>
      </c>
      <c r="AM167" s="42" t="n">
        <f aca="false">-($D$162+$J$162)*(AM$5=0)+IF(AND(AM$5-$K$162&gt;=1,AM$5-$K$162&lt;=Inputs!$C$13),INDEX($N$165:$AL$165,1,AM$5-$K$162+1)*INDEX($N$166:$AL$166,1,AM$5-$K$162+1),0)-$I$162*((AM$5=Inputs!$C$12)*$C$164*$D$162+(AM$5=Inputs!$C$13)*$D$164*($D$162+Inputs!$C$14))+$I$162*((AM$5=Inputs!$C$15+$K$162)*$E$164*$I$164+(AM$5=Inputs!$C$16+$K$162)*$F$164*$J$164+(AM$5=Inputs!$C$17)*$G$164*$H$162*$H$164)</f>
        <v>317.616666666666</v>
      </c>
      <c r="AN167" s="42" t="n">
        <f aca="false">-($D$162+$J$162)*(AN$5=0)+IF(AND(AN$5-$K$162&gt;=1,AN$5-$K$162&lt;=Inputs!$C$13),INDEX($N$165:$AL$165,1,AN$5-$K$162+1)*INDEX($N$166:$AL$166,1,AN$5-$K$162+1),0)-$I$162*((AN$5=Inputs!$C$12)*$C$164*$D$162+(AN$5=Inputs!$C$13)*$D$164*($D$162+Inputs!$C$14))+$I$162*((AN$5=Inputs!$C$15+$K$162)*$E$164*$I$164+(AN$5=Inputs!$C$16+$K$162)*$F$164*$J$164+(AN$5=Inputs!$C$17)*$G$164*$H$162*$H$164)</f>
        <v>0</v>
      </c>
      <c r="AO167" s="42" t="n">
        <f aca="false">-($D$162+$J$162)*(AO$5=0)+IF(AND(AO$5-$K$162&gt;=1,AO$5-$K$162&lt;=Inputs!$C$13),INDEX($N$165:$AL$165,1,AO$5-$K$162+1)*INDEX($N$166:$AL$166,1,AO$5-$K$162+1),0)-$I$162*((AO$5=Inputs!$C$12)*$C$164*$D$162+(AO$5=Inputs!$C$13)*$D$164*($D$162+Inputs!$C$14))+$I$162*((AO$5=Inputs!$C$15+$K$162)*$E$164*$I$164+(AO$5=Inputs!$C$16+$K$162)*$F$164*$J$164+(AO$5=Inputs!$C$17)*$G$164*$H$162*$H$164)</f>
        <v>0</v>
      </c>
      <c r="AP167" s="42" t="n">
        <f aca="false">-($D$162+$J$162)*(AP$5=0)+IF(AND(AP$5-$K$162&gt;=1,AP$5-$K$162&lt;=Inputs!$C$13),INDEX($N$165:$AL$165,1,AP$5-$K$162+1)*INDEX($N$166:$AL$166,1,AP$5-$K$162+1),0)-$I$162*((AP$5=Inputs!$C$12)*$C$164*$D$162+(AP$5=Inputs!$C$13)*$D$164*($D$162+Inputs!$C$14))+$I$162*((AP$5=Inputs!$C$15+$K$162)*$E$164*$I$164+(AP$5=Inputs!$C$16+$K$162)*$F$164*$J$164+(AP$5=Inputs!$C$17)*$G$164*$H$162*$H$164)</f>
        <v>3130.9875</v>
      </c>
      <c r="AQ167" s="42" t="n">
        <f aca="false">-($D$162+$J$162)*(AQ$5=0)+IF(AND(AQ$5-$K$162&gt;=1,AQ$5-$K$162&lt;=Inputs!$C$13),INDEX($N$165:$AL$165,1,AQ$5-$K$162+1)*INDEX($N$166:$AL$166,1,AQ$5-$K$162+1),0)-$I$162*((AQ$5=Inputs!$C$12)*$C$164*$D$162+(AQ$5=Inputs!$C$13)*$D$164*($D$162+Inputs!$C$14))+$I$162*((AQ$5=Inputs!$C$15+$K$162)*$E$164*$I$164+(AQ$5=Inputs!$C$16+$K$162)*$F$164*$J$164+(AQ$5=Inputs!$C$17)*$G$164*$H$162*$H$164)</f>
        <v>0</v>
      </c>
      <c r="AR167" s="42" t="n">
        <f aca="false">-($D$162+$J$162)*(AR$5=0)+IF(AND(AR$5-$K$162&gt;=1,AR$5-$K$162&lt;=Inputs!$C$13),INDEX($N$165:$AL$165,1,AR$5-$K$162+1)*INDEX($N$166:$AL$166,1,AR$5-$K$162+1),0)-$I$162*((AR$5=Inputs!$C$12)*$C$164*$D$162+(AR$5=Inputs!$C$13)*$D$164*($D$162+Inputs!$C$14))+$I$162*((AR$5=Inputs!$C$15+$K$162)*$E$164*$I$164+(AR$5=Inputs!$C$16+$K$162)*$F$164*$J$164+(AR$5=Inputs!$C$17)*$G$164*$H$162*$H$164)</f>
        <v>0</v>
      </c>
      <c r="AS167" s="42" t="n">
        <f aca="false">-($D$162+$J$162)*(AS$5=0)+IF(AND(AS$5-$K$162&gt;=1,AS$5-$K$162&lt;=Inputs!$C$13),INDEX($N$165:$AL$165,1,AS$5-$K$162+1)*INDEX($N$166:$AL$166,1,AS$5-$K$162+1),0)-$I$162*((AS$5=Inputs!$C$12)*$C$164*$D$162+(AS$5=Inputs!$C$13)*$D$164*($D$162+Inputs!$C$14))+$I$162*((AS$5=Inputs!$C$15+$K$162)*$E$164*$I$164+(AS$5=Inputs!$C$16+$K$162)*$F$164*$J$164+(AS$5=Inputs!$C$17)*$G$164*$H$162*$H$164)</f>
        <v>1290.87</v>
      </c>
      <c r="AT167" s="42" t="n">
        <f aca="false">-($D$162+$J$162)*(AT$5=0)+IF(AND(AT$5-$K$162&gt;=1,AT$5-$K$162&lt;=Inputs!$C$13),INDEX($N$165:$AL$165,1,AT$5-$K$162+1)*INDEX($N$166:$AL$166,1,AT$5-$K$162+1),0)-$I$162*((AT$5=Inputs!$C$12)*$C$164*$D$162+(AT$5=Inputs!$C$13)*$D$164*($D$162+Inputs!$C$14))+$I$162*((AT$5=Inputs!$C$15+$K$162)*$E$164*$I$164+(AT$5=Inputs!$C$16+$K$162)*$F$164*$J$164+(AT$5=Inputs!$C$17)*$G$164*$H$162*$H$164)</f>
        <v>0</v>
      </c>
      <c r="AU167" s="42" t="n">
        <f aca="false">-($D$162+$J$162)*(AU$5=0)+IF(AND(AU$5-$K$162&gt;=1,AU$5-$K$162&lt;=Inputs!$C$13),INDEX($N$165:$AL$165,1,AU$5-$K$162+1)*INDEX($N$166:$AL$166,1,AU$5-$K$162+1),0)-$I$162*((AU$5=Inputs!$C$12)*$C$164*$D$162+(AU$5=Inputs!$C$13)*$D$164*($D$162+Inputs!$C$14))+$I$162*((AU$5=Inputs!$C$15+$K$162)*$E$164*$I$164+(AU$5=Inputs!$C$16+$K$162)*$F$164*$J$164+(AU$5=Inputs!$C$17)*$G$164*$H$162*$H$164)</f>
        <v>0</v>
      </c>
      <c r="AV167" s="42" t="n">
        <f aca="false">-($D$162+$J$162)*(AV$5=0)+IF(AND(AV$5-$K$162&gt;=1,AV$5-$K$162&lt;=Inputs!$C$13),INDEX($N$165:$AL$165,1,AV$5-$K$162+1)*INDEX($N$166:$AL$166,1,AV$5-$K$162+1),0)-$I$162*((AV$5=Inputs!$C$12)*$C$164*$D$162+(AV$5=Inputs!$C$13)*$D$164*($D$162+Inputs!$C$14))+$I$162*((AV$5=Inputs!$C$15+$K$162)*$E$164*$I$164+(AV$5=Inputs!$C$16+$K$162)*$F$164*$J$164+(AV$5=Inputs!$C$17)*$G$164*$H$162*$H$164)</f>
        <v>0</v>
      </c>
      <c r="AW167" s="42" t="n">
        <f aca="false">-($D$162+$J$162)*(AW$5=0)+IF(AND(AW$5-$K$162&gt;=1,AW$5-$K$162&lt;=Inputs!$C$13),INDEX($N$165:$AL$165,1,AW$5-$K$162+1)*INDEX($N$166:$AL$166,1,AW$5-$K$162+1),0)-$I$162*((AW$5=Inputs!$C$12)*$C$164*$D$162+(AW$5=Inputs!$C$13)*$D$164*($D$162+Inputs!$C$14))+$I$162*((AW$5=Inputs!$C$15+$K$162)*$E$164*$I$164+(AW$5=Inputs!$C$16+$K$162)*$F$164*$J$164+(AW$5=Inputs!$C$17)*$G$164*$H$162*$H$164)</f>
        <v>0</v>
      </c>
      <c r="AX167" s="42" t="n">
        <f aca="false">-($D$162+$J$162)*(AX$5=0)+IF(AND(AX$5-$K$162&gt;=1,AX$5-$K$162&lt;=Inputs!$C$13),INDEX($N$165:$AL$165,1,AX$5-$K$162+1)*INDEX($N$166:$AL$166,1,AX$5-$K$162+1),0)-$I$162*((AX$5=Inputs!$C$12)*$C$164*$D$162+(AX$5=Inputs!$C$13)*$D$164*($D$162+Inputs!$C$14))+$I$162*((AX$5=Inputs!$C$15+$K$162)*$E$164*$I$164+(AX$5=Inputs!$C$16+$K$162)*$F$164*$J$164+(AX$5=Inputs!$C$17)*$G$164*$H$162*$H$164)</f>
        <v>581.76</v>
      </c>
      <c r="AY167" s="42" t="n">
        <f aca="false">-($D$162+$J$162)*(AY$5=0)+IF(AND(AY$5-$K$162&gt;=1,AY$5-$K$162&lt;=Inputs!$C$13),INDEX($N$165:$AL$165,1,AY$5-$K$162+1)*INDEX($N$166:$AL$166,1,AY$5-$K$162+1),0)-$I$162*((AY$5=Inputs!$C$12)*$C$164*$D$162+(AY$5=Inputs!$C$13)*$D$164*($D$162+Inputs!$C$14))+$I$162*((AY$5=Inputs!$C$15+$K$162)*$E$164*$I$164+(AY$5=Inputs!$C$16+$K$162)*$F$164*$J$164+(AY$5=Inputs!$C$17)*$G$164*$H$162*$H$164)</f>
        <v>0</v>
      </c>
    </row>
    <row r="169" customFormat="false" ht="15" hidden="false" customHeight="false" outlineLevel="0" collapsed="false">
      <c r="B169" s="7" t="s">
        <v>259</v>
      </c>
      <c r="C169" s="8"/>
      <c r="D169" s="8"/>
      <c r="E169" s="8"/>
      <c r="F169" s="8"/>
      <c r="G169" s="8"/>
      <c r="H169" s="8"/>
      <c r="I169" s="8"/>
      <c r="J169" s="8"/>
      <c r="K169" s="8"/>
      <c r="L169" s="8"/>
    </row>
    <row r="170" customFormat="false" ht="30" hidden="false" customHeight="true" outlineLevel="0" collapsed="false">
      <c r="B170" s="37"/>
      <c r="C170" s="38" t="s">
        <v>169</v>
      </c>
      <c r="D170" s="38" t="s">
        <v>170</v>
      </c>
      <c r="E170" s="38" t="s">
        <v>171</v>
      </c>
      <c r="F170" s="38" t="s">
        <v>43</v>
      </c>
      <c r="G170" s="38" t="s">
        <v>44</v>
      </c>
      <c r="H170" s="38" t="s">
        <v>45</v>
      </c>
      <c r="I170" s="38" t="s">
        <v>172</v>
      </c>
      <c r="J170" s="38" t="s">
        <v>90</v>
      </c>
      <c r="K170" s="38" t="s">
        <v>89</v>
      </c>
      <c r="L170" s="38" t="s">
        <v>173</v>
      </c>
    </row>
    <row r="171" customFormat="false" ht="15" hidden="false" customHeight="false" outlineLevel="0" collapsed="false">
      <c r="B171" s="39" t="s">
        <v>174</v>
      </c>
      <c r="C171" s="26" t="n">
        <f aca="false">Inputs!$F$42*Inputs!$E$58</f>
        <v>0.13</v>
      </c>
      <c r="D171" s="30" t="n">
        <f aca="false">Inputs!$E$42</f>
        <v>1600</v>
      </c>
      <c r="E171" s="26" t="n">
        <f aca="false">IF(Inputs!$G$42=1,Inputs!$F$27,MIN(1,MAX(0,INDEX(Inputs!$F$23:$F$27,MATCH(Inputs!$C$42,Inputs!$B$23:$B$27,0))+INDEX(Inputs!$C$48:$C$51,MATCH(Inputs!$D$58,Inputs!$B$48:$B$51,0)))))</f>
        <v>0.75</v>
      </c>
      <c r="F171" s="25" t="n">
        <f aca="false">IF(Inputs!$G$42=1,Inputs!$G$27,INDEX(Inputs!$G$23:$G$27,MATCH(Inputs!$C$42,Inputs!$B$23:$B$27,0)))</f>
        <v>0.4</v>
      </c>
      <c r="G171" s="25" t="n">
        <f aca="false">IF(Inputs!$G$42=1,Inputs!$H$27,INDEX(Inputs!$H$23:$H$27,MATCH(Inputs!$C$42,Inputs!$B$23:$B$27,0)))*INDEX(Inputs!$D$48:$D$51,MATCH(Inputs!$D$58,Inputs!$B$48:$B$51,0))</f>
        <v>0.375</v>
      </c>
      <c r="H171" s="25" t="n">
        <f aca="false">MAX(0,IF(Inputs!$G$42=1,Inputs!$I$27,INDEX(Inputs!$I$23:$I$27,MATCH(Inputs!$C$42,Inputs!$B$23:$B$27,0)))+INDEX(Inputs!$E$48:$E$51,MATCH(Inputs!$D$58,Inputs!$B$48:$B$51,0)))</f>
        <v>0.6</v>
      </c>
      <c r="I171" s="22" t="n">
        <f aca="false">IF(Inputs!$G$42=1,0,INDEX(Inputs!$J$23:$J$27,MATCH(Inputs!$C$42,Inputs!$B$23:$B$27,0)))</f>
        <v>1</v>
      </c>
      <c r="J171" s="23" t="n">
        <f aca="false">Inputs!$G$58</f>
        <v>10</v>
      </c>
      <c r="K171" s="22" t="n">
        <f aca="false">Inputs!$F$58</f>
        <v>1</v>
      </c>
      <c r="L171" s="22" t="n">
        <f aca="false">Inputs!$C$58</f>
        <v>1</v>
      </c>
    </row>
    <row r="172" customFormat="false" ht="30" hidden="false" customHeight="true" outlineLevel="0" collapsed="false">
      <c r="B172" s="37"/>
      <c r="C172" s="38" t="s">
        <v>175</v>
      </c>
      <c r="D172" s="38" t="s">
        <v>176</v>
      </c>
      <c r="E172" s="38" t="s">
        <v>177</v>
      </c>
      <c r="F172" s="38" t="s">
        <v>178</v>
      </c>
      <c r="G172" s="38" t="s">
        <v>112</v>
      </c>
      <c r="H172" s="38" t="s">
        <v>179</v>
      </c>
      <c r="I172" s="38" t="s">
        <v>180</v>
      </c>
      <c r="J172" s="38" t="s">
        <v>181</v>
      </c>
      <c r="K172" s="38" t="s">
        <v>182</v>
      </c>
      <c r="L172" s="38" t="s">
        <v>183</v>
      </c>
    </row>
    <row r="173" customFormat="false" ht="15" hidden="false" customHeight="false" outlineLevel="0" collapsed="false">
      <c r="B173" s="39" t="s">
        <v>184</v>
      </c>
      <c r="C173" s="40" t="n">
        <f aca="false">1-$E$171*CHOOSE($L$171,INDEX(Timing!$C$7:$AA$7,1,Inputs!$C$12+1),INDEX(Timing!$C$8:$AA$8,1,Inputs!$C$12+1))</f>
        <v>0.43</v>
      </c>
      <c r="D173" s="40" t="n">
        <f aca="false">1-$E$171*CHOOSE($L$171,INDEX(Timing!$C$7:$AA$7,1,Inputs!$C$13+1),INDEX(Timing!$C$8:$AA$8,1,Inputs!$C$13+1))</f>
        <v>0.25</v>
      </c>
      <c r="E173" s="40" t="n">
        <f aca="false">$I$171*$D$173*$F$171</f>
        <v>0.1</v>
      </c>
      <c r="F173" s="40" t="n">
        <f aca="false">$I$171*($D$173-$E$173)*$G$171</f>
        <v>0.05625</v>
      </c>
      <c r="G173" s="40" t="n">
        <f aca="false">$I$171*($D$173-$E$173-$F$173)</f>
        <v>0.09375</v>
      </c>
      <c r="H173" s="23" t="n">
        <f aca="false">$I$171*(3*$D$171+Inputs!$C$14)</f>
        <v>6600</v>
      </c>
      <c r="I173" s="23" t="n">
        <f aca="false">$I$171*($D$171*(1+IF($C$171&lt;=0,0,MAX($C$171*Inputs!$C$15/12,Inputs!$C$8)))+$D$171*(1+Inputs!$C$11*(Inputs!$C$15-Inputs!$C$12)/12)+$D$171*(1+Inputs!$C$11*(Inputs!$C$15-Inputs!$C$13)/12)+Inputs!$C$14)</f>
        <v>7500</v>
      </c>
      <c r="J173" s="23" t="n">
        <f aca="false">$I$171*($D$171*(1+IF($C$171&lt;=0,0,MAX($C$171*Inputs!$C$16/12,Inputs!$C$8)))+$D$171*(1+Inputs!$C$11*(Inputs!$C$16-Inputs!$C$12)/12)+$D$171*(1+Inputs!$C$11*(Inputs!$C$16-Inputs!$C$13)/12)+Inputs!$C$14)</f>
        <v>7696</v>
      </c>
      <c r="K173" s="40" t="n">
        <f aca="false">IRR($N$176:$AY$176,0.005)</f>
        <v>0.00103138725579212</v>
      </c>
      <c r="L173" s="41" t="n">
        <f aca="false">(1+$K$173)^12-1</f>
        <v>0.0124470971414752</v>
      </c>
    </row>
    <row r="174" customFormat="false" ht="15" hidden="false" customHeight="false" outlineLevel="0" collapsed="false">
      <c r="B174" s="9" t="s">
        <v>185</v>
      </c>
      <c r="N174" s="40" t="n">
        <f aca="false">0</f>
        <v>0</v>
      </c>
      <c r="O174" s="40" t="n">
        <f aca="false">$E$171*(CHOOSE($L$171,Timing!D$7,Timing!D$8)-CHOOSE($L$171,Timing!C$7,Timing!C$8))</f>
        <v>0.09</v>
      </c>
      <c r="P174" s="40" t="n">
        <f aca="false">$E$171*(CHOOSE($L$171,Timing!E$7,Timing!E$8)-CHOOSE($L$171,Timing!D$7,Timing!D$8))</f>
        <v>0.075</v>
      </c>
      <c r="Q174" s="40" t="n">
        <f aca="false">$E$171*(CHOOSE($L$171,Timing!F$7,Timing!F$8)-CHOOSE($L$171,Timing!E$7,Timing!E$8))</f>
        <v>0.0675</v>
      </c>
      <c r="R174" s="40" t="n">
        <f aca="false">$E$171*(CHOOSE($L$171,Timing!G$7,Timing!G$8)-CHOOSE($L$171,Timing!F$7,Timing!F$8))</f>
        <v>0.0525</v>
      </c>
      <c r="S174" s="40" t="n">
        <f aca="false">$E$171*(CHOOSE($L$171,Timing!H$7,Timing!H$8)-CHOOSE($L$171,Timing!G$7,Timing!G$8))</f>
        <v>0.0525</v>
      </c>
      <c r="T174" s="40" t="n">
        <f aca="false">$E$171*(CHOOSE($L$171,Timing!I$7,Timing!I$8)-CHOOSE($L$171,Timing!H$7,Timing!H$8))</f>
        <v>0.0525</v>
      </c>
      <c r="U174" s="40" t="n">
        <f aca="false">$E$171*(CHOOSE($L$171,Timing!J$7,Timing!J$8)-CHOOSE($L$171,Timing!I$7,Timing!I$8))</f>
        <v>0.0325</v>
      </c>
      <c r="V174" s="40" t="n">
        <f aca="false">$E$171*(CHOOSE($L$171,Timing!K$7,Timing!K$8)-CHOOSE($L$171,Timing!J$7,Timing!J$8))</f>
        <v>0.0325</v>
      </c>
      <c r="W174" s="40" t="n">
        <f aca="false">$E$171*(CHOOSE($L$171,Timing!L$7,Timing!L$8)-CHOOSE($L$171,Timing!K$7,Timing!K$8))</f>
        <v>0.0325</v>
      </c>
      <c r="X174" s="40" t="n">
        <f aca="false">$E$171*(CHOOSE($L$171,Timing!M$7,Timing!M$8)-CHOOSE($L$171,Timing!L$7,Timing!L$8))</f>
        <v>0.0275</v>
      </c>
      <c r="Y174" s="40" t="n">
        <f aca="false">$E$171*(CHOOSE($L$171,Timing!N$7,Timing!N$8)-CHOOSE($L$171,Timing!M$7,Timing!M$8))</f>
        <v>0.0275000000000001</v>
      </c>
      <c r="Z174" s="40" t="n">
        <f aca="false">$E$171*(CHOOSE($L$171,Timing!O$7,Timing!O$8)-CHOOSE($L$171,Timing!N$7,Timing!N$8))</f>
        <v>0.0275</v>
      </c>
      <c r="AA174" s="40" t="n">
        <f aca="false">$E$171*(CHOOSE($L$171,Timing!P$7,Timing!P$8)-CHOOSE($L$171,Timing!O$7,Timing!O$8))</f>
        <v>0.0175</v>
      </c>
      <c r="AB174" s="40" t="n">
        <f aca="false">$E$171*(CHOOSE($L$171,Timing!Q$7,Timing!Q$8)-CHOOSE($L$171,Timing!P$7,Timing!P$8))</f>
        <v>0.0175</v>
      </c>
      <c r="AC174" s="40" t="n">
        <f aca="false">$E$171*(CHOOSE($L$171,Timing!R$7,Timing!R$8)-CHOOSE($L$171,Timing!Q$7,Timing!Q$8))</f>
        <v>0.0175000000000001</v>
      </c>
      <c r="AD174" s="40" t="n">
        <f aca="false">$E$171*(CHOOSE($L$171,Timing!S$7,Timing!S$8)-CHOOSE($L$171,Timing!R$7,Timing!R$8))</f>
        <v>0.0175</v>
      </c>
      <c r="AE174" s="40" t="n">
        <f aca="false">$E$171*(CHOOSE($L$171,Timing!T$7,Timing!T$8)-CHOOSE($L$171,Timing!S$7,Timing!S$8))</f>
        <v>0.0175</v>
      </c>
      <c r="AF174" s="40" t="n">
        <f aca="false">$E$171*(CHOOSE($L$171,Timing!U$7,Timing!U$8)-CHOOSE($L$171,Timing!T$7,Timing!T$8))</f>
        <v>0.0175</v>
      </c>
      <c r="AG174" s="40" t="n">
        <f aca="false">$E$171*(CHOOSE($L$171,Timing!V$7,Timing!V$8)-CHOOSE($L$171,Timing!U$7,Timing!U$8))</f>
        <v>0.0125</v>
      </c>
      <c r="AH174" s="40" t="n">
        <f aca="false">$E$171*(CHOOSE($L$171,Timing!W$7,Timing!W$8)-CHOOSE($L$171,Timing!V$7,Timing!V$8))</f>
        <v>0.0125</v>
      </c>
      <c r="AI174" s="40" t="n">
        <f aca="false">$E$171*(CHOOSE($L$171,Timing!X$7,Timing!X$8)-CHOOSE($L$171,Timing!W$7,Timing!W$8))</f>
        <v>0.0125</v>
      </c>
      <c r="AJ174" s="40" t="n">
        <f aca="false">$E$171*(CHOOSE($L$171,Timing!Y$7,Timing!Y$8)-CHOOSE($L$171,Timing!X$7,Timing!X$8))</f>
        <v>0.0125</v>
      </c>
      <c r="AK174" s="40" t="n">
        <f aca="false">$E$171*(CHOOSE($L$171,Timing!Z$7,Timing!Z$8)-CHOOSE($L$171,Timing!Y$7,Timing!Y$8))</f>
        <v>0.0125</v>
      </c>
      <c r="AL174" s="40" t="n">
        <f aca="false">$E$171*(CHOOSE($L$171,Timing!AA$7,Timing!AA$8)-CHOOSE($L$171,Timing!Z$7,Timing!Z$8))</f>
        <v>0.0125</v>
      </c>
    </row>
    <row r="175" customFormat="false" ht="15" hidden="false" customHeight="false" outlineLevel="0" collapsed="false">
      <c r="B175" s="9" t="s">
        <v>186</v>
      </c>
      <c r="N175" s="42" t="n">
        <f aca="false">0</f>
        <v>0</v>
      </c>
      <c r="O175" s="42" t="n">
        <f aca="false">$D$171*(1+IF($C$171&lt;=0,0,MAX($C$171*O$5/12,Inputs!$C$8)))+$I$171*(O$5&gt;Inputs!$C$12)*$D$171*(1+Inputs!$C$11*(O$5-Inputs!$C$12)/12)</f>
        <v>1680</v>
      </c>
      <c r="P175" s="42" t="n">
        <f aca="false">$D$171*(1+IF($C$171&lt;=0,0,MAX($C$171*P$5/12,Inputs!$C$8)))+$I$171*(P$5&gt;Inputs!$C$12)*$D$171*(1+Inputs!$C$11*(P$5-Inputs!$C$12)/12)</f>
        <v>1680</v>
      </c>
      <c r="Q175" s="42" t="n">
        <f aca="false">$D$171*(1+IF($C$171&lt;=0,0,MAX($C$171*Q$5/12,Inputs!$C$8)))+$I$171*(Q$5&gt;Inputs!$C$12)*$D$171*(1+Inputs!$C$11*(Q$5-Inputs!$C$12)/12)</f>
        <v>1680</v>
      </c>
      <c r="R175" s="42" t="n">
        <f aca="false">$D$171*(1+IF($C$171&lt;=0,0,MAX($C$171*R$5/12,Inputs!$C$8)))+$I$171*(R$5&gt;Inputs!$C$12)*$D$171*(1+Inputs!$C$11*(R$5-Inputs!$C$12)/12)</f>
        <v>1680</v>
      </c>
      <c r="S175" s="42" t="n">
        <f aca="false">$D$171*(1+IF($C$171&lt;=0,0,MAX($C$171*S$5/12,Inputs!$C$8)))+$I$171*(S$5&gt;Inputs!$C$12)*$D$171*(1+Inputs!$C$11*(S$5-Inputs!$C$12)/12)</f>
        <v>1686.66666666667</v>
      </c>
      <c r="T175" s="42" t="n">
        <f aca="false">$D$171*(1+IF($C$171&lt;=0,0,MAX($C$171*T$5/12,Inputs!$C$8)))+$I$171*(T$5&gt;Inputs!$C$12)*$D$171*(1+Inputs!$C$11*(T$5-Inputs!$C$12)/12)</f>
        <v>1704</v>
      </c>
      <c r="U175" s="42" t="n">
        <f aca="false">$D$171*(1+IF($C$171&lt;=0,0,MAX($C$171*U$5/12,Inputs!$C$8)))+$I$171*(U$5&gt;Inputs!$C$12)*$D$171*(1+Inputs!$C$11*(U$5-Inputs!$C$12)/12)</f>
        <v>1721.33333333333</v>
      </c>
      <c r="V175" s="42" t="n">
        <f aca="false">$D$171*(1+IF($C$171&lt;=0,0,MAX($C$171*V$5/12,Inputs!$C$8)))+$I$171*(V$5&gt;Inputs!$C$12)*$D$171*(1+Inputs!$C$11*(V$5-Inputs!$C$12)/12)</f>
        <v>1738.66666666667</v>
      </c>
      <c r="W175" s="42" t="n">
        <f aca="false">$D$171*(1+IF($C$171&lt;=0,0,MAX($C$171*W$5/12,Inputs!$C$8)))+$I$171*(W$5&gt;Inputs!$C$12)*$D$171*(1+Inputs!$C$11*(W$5-Inputs!$C$12)/12)</f>
        <v>1756</v>
      </c>
      <c r="X175" s="42" t="n">
        <f aca="false">$D$171*(1+IF($C$171&lt;=0,0,MAX($C$171*X$5/12,Inputs!$C$8)))+$I$171*(X$5&gt;Inputs!$C$12)*$D$171*(1+Inputs!$C$11*(X$5-Inputs!$C$12)/12)</f>
        <v>1773.33333333333</v>
      </c>
      <c r="Y175" s="42" t="n">
        <f aca="false">$D$171*(1+IF($C$171&lt;=0,0,MAX($C$171*Y$5/12,Inputs!$C$8)))+$I$171*(Y$5&gt;Inputs!$C$12)*$D$171*(1+Inputs!$C$11*(Y$5-Inputs!$C$12)/12)</f>
        <v>1790.66666666667</v>
      </c>
      <c r="Z175" s="42" t="n">
        <f aca="false">$D$171*(1+IF($C$171&lt;=0,0,MAX($C$171*Z$5/12,Inputs!$C$8)))+$I$171*(Z$5&gt;Inputs!$C$12)*$D$171*(1+Inputs!$C$11*(Z$5-Inputs!$C$12)/12)</f>
        <v>1808</v>
      </c>
      <c r="AA175" s="42" t="n">
        <f aca="false">$D$171*(1+IF($C$171&lt;=0,0,MAX($C$171*AA$5/12,Inputs!$C$8)))+$I$171*(AA$5&gt;Inputs!$C$12)*$D$171*(1+Inputs!$C$11*(AA$5-Inputs!$C$12)/12)</f>
        <v>3449.33333333333</v>
      </c>
      <c r="AB175" s="42" t="n">
        <f aca="false">$D$171*(1+IF($C$171&lt;=0,0,MAX($C$171*AB$5/12,Inputs!$C$8)))+$I$171*(AB$5&gt;Inputs!$C$12)*$D$171*(1+Inputs!$C$11*(AB$5-Inputs!$C$12)/12)</f>
        <v>3490.66666666667</v>
      </c>
      <c r="AC175" s="42" t="n">
        <f aca="false">$D$171*(1+IF($C$171&lt;=0,0,MAX($C$171*AC$5/12,Inputs!$C$8)))+$I$171*(AC$5&gt;Inputs!$C$12)*$D$171*(1+Inputs!$C$11*(AC$5-Inputs!$C$12)/12)</f>
        <v>3532</v>
      </c>
      <c r="AD175" s="42" t="n">
        <f aca="false">$D$171*(1+IF($C$171&lt;=0,0,MAX($C$171*AD$5/12,Inputs!$C$8)))+$I$171*(AD$5&gt;Inputs!$C$12)*$D$171*(1+Inputs!$C$11*(AD$5-Inputs!$C$12)/12)</f>
        <v>3573.33333333333</v>
      </c>
      <c r="AE175" s="42" t="n">
        <f aca="false">$D$171*(1+IF($C$171&lt;=0,0,MAX($C$171*AE$5/12,Inputs!$C$8)))+$I$171*(AE$5&gt;Inputs!$C$12)*$D$171*(1+Inputs!$C$11*(AE$5-Inputs!$C$12)/12)</f>
        <v>3614.66666666667</v>
      </c>
      <c r="AF175" s="42" t="n">
        <f aca="false">$D$171*(1+IF($C$171&lt;=0,0,MAX($C$171*AF$5/12,Inputs!$C$8)))+$I$171*(AF$5&gt;Inputs!$C$12)*$D$171*(1+Inputs!$C$11*(AF$5-Inputs!$C$12)/12)</f>
        <v>3656</v>
      </c>
      <c r="AG175" s="42" t="n">
        <f aca="false">$D$171*(1+IF($C$171&lt;=0,0,MAX($C$171*AG$5/12,Inputs!$C$8)))+$I$171*(AG$5&gt;Inputs!$C$12)*$D$171*(1+Inputs!$C$11*(AG$5-Inputs!$C$12)/12)</f>
        <v>3697.33333333333</v>
      </c>
      <c r="AH175" s="42" t="n">
        <f aca="false">$D$171*(1+IF($C$171&lt;=0,0,MAX($C$171*AH$5/12,Inputs!$C$8)))+$I$171*(AH$5&gt;Inputs!$C$12)*$D$171*(1+Inputs!$C$11*(AH$5-Inputs!$C$12)/12)</f>
        <v>3738.66666666667</v>
      </c>
      <c r="AI175" s="42" t="n">
        <f aca="false">$D$171*(1+IF($C$171&lt;=0,0,MAX($C$171*AI$5/12,Inputs!$C$8)))+$I$171*(AI$5&gt;Inputs!$C$12)*$D$171*(1+Inputs!$C$11*(AI$5-Inputs!$C$12)/12)</f>
        <v>3780</v>
      </c>
      <c r="AJ175" s="42" t="n">
        <f aca="false">$D$171*(1+IF($C$171&lt;=0,0,MAX($C$171*AJ$5/12,Inputs!$C$8)))+$I$171*(AJ$5&gt;Inputs!$C$12)*$D$171*(1+Inputs!$C$11*(AJ$5-Inputs!$C$12)/12)</f>
        <v>3821.33333333333</v>
      </c>
      <c r="AK175" s="42" t="n">
        <f aca="false">$D$171*(1+IF($C$171&lt;=0,0,MAX($C$171*AK$5/12,Inputs!$C$8)))+$I$171*(AK$5&gt;Inputs!$C$12)*$D$171*(1+Inputs!$C$11*(AK$5-Inputs!$C$12)/12)</f>
        <v>3862.66666666667</v>
      </c>
      <c r="AL175" s="42" t="n">
        <f aca="false">$D$171*(1+IF($C$171&lt;=0,0,MAX($C$171*AL$5/12,Inputs!$C$8)))+$I$171*(AL$5&gt;Inputs!$C$12)*$D$171*(1+Inputs!$C$11*(AL$5-Inputs!$C$12)/12)</f>
        <v>3904</v>
      </c>
    </row>
    <row r="176" customFormat="false" ht="15" hidden="false" customHeight="false" outlineLevel="0" collapsed="false">
      <c r="B176" s="31" t="s">
        <v>187</v>
      </c>
      <c r="N176" s="42" t="n">
        <f aca="false">-($D$171+$J$171)*(N$5=0)+IF(AND(N$5-$K$171&gt;=1,N$5-$K$171&lt;=Inputs!$C$13),INDEX($N$174:$AL$174,1,N$5-$K$171+1)*INDEX($N$175:$AL$175,1,N$5-$K$171+1),0)-$I$171*((N$5=Inputs!$C$12)*$C$173*$D$171+(N$5=Inputs!$C$13)*$D$173*($D$171+Inputs!$C$14))+$I$171*((N$5=Inputs!$C$15+$K$171)*$E$173*$I$173+(N$5=Inputs!$C$16+$K$171)*$F$173*$J$173+(N$5=Inputs!$C$17)*$G$173*$H$171*$H$173)</f>
        <v>-1610</v>
      </c>
      <c r="O176" s="42" t="n">
        <f aca="false">-($D$171+$J$171)*(O$5=0)+IF(AND(O$5-$K$171&gt;=1,O$5-$K$171&lt;=Inputs!$C$13),INDEX($N$174:$AL$174,1,O$5-$K$171+1)*INDEX($N$175:$AL$175,1,O$5-$K$171+1),0)-$I$171*((O$5=Inputs!$C$12)*$C$173*$D$171+(O$5=Inputs!$C$13)*$D$173*($D$171+Inputs!$C$14))+$I$171*((O$5=Inputs!$C$15+$K$171)*$E$173*$I$173+(O$5=Inputs!$C$16+$K$171)*$F$173*$J$173+(O$5=Inputs!$C$17)*$G$173*$H$171*$H$173)</f>
        <v>0</v>
      </c>
      <c r="P176" s="42" t="n">
        <f aca="false">-($D$171+$J$171)*(P$5=0)+IF(AND(P$5-$K$171&gt;=1,P$5-$K$171&lt;=Inputs!$C$13),INDEX($N$174:$AL$174,1,P$5-$K$171+1)*INDEX($N$175:$AL$175,1,P$5-$K$171+1),0)-$I$171*((P$5=Inputs!$C$12)*$C$173*$D$171+(P$5=Inputs!$C$13)*$D$173*($D$171+Inputs!$C$14))+$I$171*((P$5=Inputs!$C$15+$K$171)*$E$173*$I$173+(P$5=Inputs!$C$16+$K$171)*$F$173*$J$173+(P$5=Inputs!$C$17)*$G$173*$H$171*$H$173)</f>
        <v>151.2</v>
      </c>
      <c r="Q176" s="42" t="n">
        <f aca="false">-($D$171+$J$171)*(Q$5=0)+IF(AND(Q$5-$K$171&gt;=1,Q$5-$K$171&lt;=Inputs!$C$13),INDEX($N$174:$AL$174,1,Q$5-$K$171+1)*INDEX($N$175:$AL$175,1,Q$5-$K$171+1),0)-$I$171*((Q$5=Inputs!$C$12)*$C$173*$D$171+(Q$5=Inputs!$C$13)*$D$173*($D$171+Inputs!$C$14))+$I$171*((Q$5=Inputs!$C$15+$K$171)*$E$173*$I$173+(Q$5=Inputs!$C$16+$K$171)*$F$173*$J$173+(Q$5=Inputs!$C$17)*$G$173*$H$171*$H$173)</f>
        <v>126</v>
      </c>
      <c r="R176" s="42" t="n">
        <f aca="false">-($D$171+$J$171)*(R$5=0)+IF(AND(R$5-$K$171&gt;=1,R$5-$K$171&lt;=Inputs!$C$13),INDEX($N$174:$AL$174,1,R$5-$K$171+1)*INDEX($N$175:$AL$175,1,R$5-$K$171+1),0)-$I$171*((R$5=Inputs!$C$12)*$C$173*$D$171+(R$5=Inputs!$C$13)*$D$173*($D$171+Inputs!$C$14))+$I$171*((R$5=Inputs!$C$15+$K$171)*$E$173*$I$173+(R$5=Inputs!$C$16+$K$171)*$F$173*$J$173+(R$5=Inputs!$C$17)*$G$173*$H$171*$H$173)</f>
        <v>113.4</v>
      </c>
      <c r="S176" s="42" t="n">
        <f aca="false">-($D$171+$J$171)*(S$5=0)+IF(AND(S$5-$K$171&gt;=1,S$5-$K$171&lt;=Inputs!$C$13),INDEX($N$174:$AL$174,1,S$5-$K$171+1)*INDEX($N$175:$AL$175,1,S$5-$K$171+1),0)-$I$171*((S$5=Inputs!$C$12)*$C$173*$D$171+(S$5=Inputs!$C$13)*$D$173*($D$171+Inputs!$C$14))+$I$171*((S$5=Inputs!$C$15+$K$171)*$E$173*$I$173+(S$5=Inputs!$C$16+$K$171)*$F$173*$J$173+(S$5=Inputs!$C$17)*$G$173*$H$171*$H$173)</f>
        <v>88.2</v>
      </c>
      <c r="T176" s="42" t="n">
        <f aca="false">-($D$171+$J$171)*(T$5=0)+IF(AND(T$5-$K$171&gt;=1,T$5-$K$171&lt;=Inputs!$C$13),INDEX($N$174:$AL$174,1,T$5-$K$171+1)*INDEX($N$175:$AL$175,1,T$5-$K$171+1),0)-$I$171*((T$5=Inputs!$C$12)*$C$173*$D$171+(T$5=Inputs!$C$13)*$D$173*($D$171+Inputs!$C$14))+$I$171*((T$5=Inputs!$C$15+$K$171)*$E$173*$I$173+(T$5=Inputs!$C$16+$K$171)*$F$173*$J$173+(T$5=Inputs!$C$17)*$G$173*$H$171*$H$173)</f>
        <v>88.55</v>
      </c>
      <c r="U176" s="42" t="n">
        <f aca="false">-($D$171+$J$171)*(U$5=0)+IF(AND(U$5-$K$171&gt;=1,U$5-$K$171&lt;=Inputs!$C$13),INDEX($N$174:$AL$174,1,U$5-$K$171+1)*INDEX($N$175:$AL$175,1,U$5-$K$171+1),0)-$I$171*((U$5=Inputs!$C$12)*$C$173*$D$171+(U$5=Inputs!$C$13)*$D$173*($D$171+Inputs!$C$14))+$I$171*((U$5=Inputs!$C$15+$K$171)*$E$173*$I$173+(U$5=Inputs!$C$16+$K$171)*$F$173*$J$173+(U$5=Inputs!$C$17)*$G$173*$H$171*$H$173)</f>
        <v>89.46</v>
      </c>
      <c r="V176" s="42" t="n">
        <f aca="false">-($D$171+$J$171)*(V$5=0)+IF(AND(V$5-$K$171&gt;=1,V$5-$K$171&lt;=Inputs!$C$13),INDEX($N$174:$AL$174,1,V$5-$K$171+1)*INDEX($N$175:$AL$175,1,V$5-$K$171+1),0)-$I$171*((V$5=Inputs!$C$12)*$C$173*$D$171+(V$5=Inputs!$C$13)*$D$173*($D$171+Inputs!$C$14))+$I$171*((V$5=Inputs!$C$15+$K$171)*$E$173*$I$173+(V$5=Inputs!$C$16+$K$171)*$F$173*$J$173+(V$5=Inputs!$C$17)*$G$173*$H$171*$H$173)</f>
        <v>55.9433333333333</v>
      </c>
      <c r="W176" s="42" t="n">
        <f aca="false">-($D$171+$J$171)*(W$5=0)+IF(AND(W$5-$K$171&gt;=1,W$5-$K$171&lt;=Inputs!$C$13),INDEX($N$174:$AL$174,1,W$5-$K$171+1)*INDEX($N$175:$AL$175,1,W$5-$K$171+1),0)-$I$171*((W$5=Inputs!$C$12)*$C$173*$D$171+(W$5=Inputs!$C$13)*$D$173*($D$171+Inputs!$C$14))+$I$171*((W$5=Inputs!$C$15+$K$171)*$E$173*$I$173+(W$5=Inputs!$C$16+$K$171)*$F$173*$J$173+(W$5=Inputs!$C$17)*$G$173*$H$171*$H$173)</f>
        <v>56.5066666666667</v>
      </c>
      <c r="X176" s="42" t="n">
        <f aca="false">-($D$171+$J$171)*(X$5=0)+IF(AND(X$5-$K$171&gt;=1,X$5-$K$171&lt;=Inputs!$C$13),INDEX($N$174:$AL$174,1,X$5-$K$171+1)*INDEX($N$175:$AL$175,1,X$5-$K$171+1),0)-$I$171*((X$5=Inputs!$C$12)*$C$173*$D$171+(X$5=Inputs!$C$13)*$D$173*($D$171+Inputs!$C$14))+$I$171*((X$5=Inputs!$C$15+$K$171)*$E$173*$I$173+(X$5=Inputs!$C$16+$K$171)*$F$173*$J$173+(X$5=Inputs!$C$17)*$G$173*$H$171*$H$173)</f>
        <v>57.07</v>
      </c>
      <c r="Y176" s="42" t="n">
        <f aca="false">-($D$171+$J$171)*(Y$5=0)+IF(AND(Y$5-$K$171&gt;=1,Y$5-$K$171&lt;=Inputs!$C$13),INDEX($N$174:$AL$174,1,Y$5-$K$171+1)*INDEX($N$175:$AL$175,1,Y$5-$K$171+1),0)-$I$171*((Y$5=Inputs!$C$12)*$C$173*$D$171+(Y$5=Inputs!$C$13)*$D$173*($D$171+Inputs!$C$14))+$I$171*((Y$5=Inputs!$C$15+$K$171)*$E$173*$I$173+(Y$5=Inputs!$C$16+$K$171)*$F$173*$J$173+(Y$5=Inputs!$C$17)*$G$173*$H$171*$H$173)</f>
        <v>48.7666666666666</v>
      </c>
      <c r="Z176" s="42" t="n">
        <f aca="false">-($D$171+$J$171)*(Z$5=0)+IF(AND(Z$5-$K$171&gt;=1,Z$5-$K$171&lt;=Inputs!$C$13),INDEX($N$174:$AL$174,1,Z$5-$K$171+1)*INDEX($N$175:$AL$175,1,Z$5-$K$171+1),0)-$I$171*((Z$5=Inputs!$C$12)*$C$173*$D$171+(Z$5=Inputs!$C$13)*$D$173*($D$171+Inputs!$C$14))+$I$171*((Z$5=Inputs!$C$15+$K$171)*$E$173*$I$173+(Z$5=Inputs!$C$16+$K$171)*$F$173*$J$173+(Z$5=Inputs!$C$17)*$G$173*$H$171*$H$173)</f>
        <v>-638.756666666666</v>
      </c>
      <c r="AA176" s="42" t="n">
        <f aca="false">-($D$171+$J$171)*(AA$5=0)+IF(AND(AA$5-$K$171&gt;=1,AA$5-$K$171&lt;=Inputs!$C$13),INDEX($N$174:$AL$174,1,AA$5-$K$171+1)*INDEX($N$175:$AL$175,1,AA$5-$K$171+1),0)-$I$171*((AA$5=Inputs!$C$12)*$C$173*$D$171+(AA$5=Inputs!$C$13)*$D$173*($D$171+Inputs!$C$14))+$I$171*((AA$5=Inputs!$C$15+$K$171)*$E$173*$I$173+(AA$5=Inputs!$C$16+$K$171)*$F$173*$J$173+(AA$5=Inputs!$C$17)*$G$173*$H$171*$H$173)</f>
        <v>49.7199999999999</v>
      </c>
      <c r="AB176" s="42" t="n">
        <f aca="false">-($D$171+$J$171)*(AB$5=0)+IF(AND(AB$5-$K$171&gt;=1,AB$5-$K$171&lt;=Inputs!$C$13),INDEX($N$174:$AL$174,1,AB$5-$K$171+1)*INDEX($N$175:$AL$175,1,AB$5-$K$171+1),0)-$I$171*((AB$5=Inputs!$C$12)*$C$173*$D$171+(AB$5=Inputs!$C$13)*$D$173*($D$171+Inputs!$C$14))+$I$171*((AB$5=Inputs!$C$15+$K$171)*$E$173*$I$173+(AB$5=Inputs!$C$16+$K$171)*$F$173*$J$173+(AB$5=Inputs!$C$17)*$G$173*$H$171*$H$173)</f>
        <v>60.3633333333333</v>
      </c>
      <c r="AC176" s="42" t="n">
        <f aca="false">-($D$171+$J$171)*(AC$5=0)+IF(AND(AC$5-$K$171&gt;=1,AC$5-$K$171&lt;=Inputs!$C$13),INDEX($N$174:$AL$174,1,AC$5-$K$171+1)*INDEX($N$175:$AL$175,1,AC$5-$K$171+1),0)-$I$171*((AC$5=Inputs!$C$12)*$C$173*$D$171+(AC$5=Inputs!$C$13)*$D$173*($D$171+Inputs!$C$14))+$I$171*((AC$5=Inputs!$C$15+$K$171)*$E$173*$I$173+(AC$5=Inputs!$C$16+$K$171)*$F$173*$J$173+(AC$5=Inputs!$C$17)*$G$173*$H$171*$H$173)</f>
        <v>61.0866666666666</v>
      </c>
      <c r="AD176" s="42" t="n">
        <f aca="false">-($D$171+$J$171)*(AD$5=0)+IF(AND(AD$5-$K$171&gt;=1,AD$5-$K$171&lt;=Inputs!$C$13),INDEX($N$174:$AL$174,1,AD$5-$K$171+1)*INDEX($N$175:$AL$175,1,AD$5-$K$171+1),0)-$I$171*((AD$5=Inputs!$C$12)*$C$173*$D$171+(AD$5=Inputs!$C$13)*$D$173*($D$171+Inputs!$C$14))+$I$171*((AD$5=Inputs!$C$15+$K$171)*$E$173*$I$173+(AD$5=Inputs!$C$16+$K$171)*$F$173*$J$173+(AD$5=Inputs!$C$17)*$G$173*$H$171*$H$173)</f>
        <v>61.8100000000003</v>
      </c>
      <c r="AE176" s="42" t="n">
        <f aca="false">-($D$171+$J$171)*(AE$5=0)+IF(AND(AE$5-$K$171&gt;=1,AE$5-$K$171&lt;=Inputs!$C$13),INDEX($N$174:$AL$174,1,AE$5-$K$171+1)*INDEX($N$175:$AL$175,1,AE$5-$K$171+1),0)-$I$171*((AE$5=Inputs!$C$12)*$C$173*$D$171+(AE$5=Inputs!$C$13)*$D$173*($D$171+Inputs!$C$14))+$I$171*((AE$5=Inputs!$C$15+$K$171)*$E$173*$I$173+(AE$5=Inputs!$C$16+$K$171)*$F$173*$J$173+(AE$5=Inputs!$C$17)*$G$173*$H$171*$H$173)</f>
        <v>62.5333333333333</v>
      </c>
      <c r="AF176" s="42" t="n">
        <f aca="false">-($D$171+$J$171)*(AF$5=0)+IF(AND(AF$5-$K$171&gt;=1,AF$5-$K$171&lt;=Inputs!$C$13),INDEX($N$174:$AL$174,1,AF$5-$K$171+1)*INDEX($N$175:$AL$175,1,AF$5-$K$171+1),0)-$I$171*((AF$5=Inputs!$C$12)*$C$173*$D$171+(AF$5=Inputs!$C$13)*$D$173*($D$171+Inputs!$C$14))+$I$171*((AF$5=Inputs!$C$15+$K$171)*$E$173*$I$173+(AF$5=Inputs!$C$16+$K$171)*$F$173*$J$173+(AF$5=Inputs!$C$17)*$G$173*$H$171*$H$173)</f>
        <v>63.2566666666666</v>
      </c>
      <c r="AG176" s="42" t="n">
        <f aca="false">-($D$171+$J$171)*(AG$5=0)+IF(AND(AG$5-$K$171&gt;=1,AG$5-$K$171&lt;=Inputs!$C$13),INDEX($N$174:$AL$174,1,AG$5-$K$171+1)*INDEX($N$175:$AL$175,1,AG$5-$K$171+1),0)-$I$171*((AG$5=Inputs!$C$12)*$C$173*$D$171+(AG$5=Inputs!$C$13)*$D$173*($D$171+Inputs!$C$14))+$I$171*((AG$5=Inputs!$C$15+$K$171)*$E$173*$I$173+(AG$5=Inputs!$C$16+$K$171)*$F$173*$J$173+(AG$5=Inputs!$C$17)*$G$173*$H$171*$H$173)</f>
        <v>63.98</v>
      </c>
      <c r="AH176" s="42" t="n">
        <f aca="false">-($D$171+$J$171)*(AH$5=0)+IF(AND(AH$5-$K$171&gt;=1,AH$5-$K$171&lt;=Inputs!$C$13),INDEX($N$174:$AL$174,1,AH$5-$K$171+1)*INDEX($N$175:$AL$175,1,AH$5-$K$171+1),0)-$I$171*((AH$5=Inputs!$C$12)*$C$173*$D$171+(AH$5=Inputs!$C$13)*$D$173*($D$171+Inputs!$C$14))+$I$171*((AH$5=Inputs!$C$15+$K$171)*$E$173*$I$173+(AH$5=Inputs!$C$16+$K$171)*$F$173*$J$173+(AH$5=Inputs!$C$17)*$G$173*$H$171*$H$173)</f>
        <v>46.2166666666668</v>
      </c>
      <c r="AI176" s="42" t="n">
        <f aca="false">-($D$171+$J$171)*(AI$5=0)+IF(AND(AI$5-$K$171&gt;=1,AI$5-$K$171&lt;=Inputs!$C$13),INDEX($N$174:$AL$174,1,AI$5-$K$171+1)*INDEX($N$175:$AL$175,1,AI$5-$K$171+1),0)-$I$171*((AI$5=Inputs!$C$12)*$C$173*$D$171+(AI$5=Inputs!$C$13)*$D$173*($D$171+Inputs!$C$14))+$I$171*((AI$5=Inputs!$C$15+$K$171)*$E$173*$I$173+(AI$5=Inputs!$C$16+$K$171)*$F$173*$J$173+(AI$5=Inputs!$C$17)*$G$173*$H$171*$H$173)</f>
        <v>46.7333333333332</v>
      </c>
      <c r="AJ176" s="42" t="n">
        <f aca="false">-($D$171+$J$171)*(AJ$5=0)+IF(AND(AJ$5-$K$171&gt;=1,AJ$5-$K$171&lt;=Inputs!$C$13),INDEX($N$174:$AL$174,1,AJ$5-$K$171+1)*INDEX($N$175:$AL$175,1,AJ$5-$K$171+1),0)-$I$171*((AJ$5=Inputs!$C$12)*$C$173*$D$171+(AJ$5=Inputs!$C$13)*$D$173*($D$171+Inputs!$C$14))+$I$171*((AJ$5=Inputs!$C$15+$K$171)*$E$173*$I$173+(AJ$5=Inputs!$C$16+$K$171)*$F$173*$J$173+(AJ$5=Inputs!$C$17)*$G$173*$H$171*$H$173)</f>
        <v>47.2499999999998</v>
      </c>
      <c r="AK176" s="42" t="n">
        <f aca="false">-($D$171+$J$171)*(AK$5=0)+IF(AND(AK$5-$K$171&gt;=1,AK$5-$K$171&lt;=Inputs!$C$13),INDEX($N$174:$AL$174,1,AK$5-$K$171+1)*INDEX($N$175:$AL$175,1,AK$5-$K$171+1),0)-$I$171*((AK$5=Inputs!$C$12)*$C$173*$D$171+(AK$5=Inputs!$C$13)*$D$173*($D$171+Inputs!$C$14))+$I$171*((AK$5=Inputs!$C$15+$K$171)*$E$173*$I$173+(AK$5=Inputs!$C$16+$K$171)*$F$173*$J$173+(AK$5=Inputs!$C$17)*$G$173*$H$171*$H$173)</f>
        <v>47.7666666666668</v>
      </c>
      <c r="AL176" s="42" t="n">
        <f aca="false">-($D$171+$J$171)*(AL$5=0)+IF(AND(AL$5-$K$171&gt;=1,AL$5-$K$171&lt;=Inputs!$C$13),INDEX($N$174:$AL$174,1,AL$5-$K$171+1)*INDEX($N$175:$AL$175,1,AL$5-$K$171+1),0)-$I$171*((AL$5=Inputs!$C$12)*$C$173*$D$171+(AL$5=Inputs!$C$13)*$D$173*($D$171+Inputs!$C$14))+$I$171*((AL$5=Inputs!$C$15+$K$171)*$E$173*$I$173+(AL$5=Inputs!$C$16+$K$171)*$F$173*$J$173+(AL$5=Inputs!$C$17)*$G$173*$H$171*$H$173)</f>
        <v>-801.716666666667</v>
      </c>
      <c r="AM176" s="42" t="n">
        <f aca="false">-($D$171+$J$171)*(AM$5=0)+IF(AND(AM$5-$K$171&gt;=1,AM$5-$K$171&lt;=Inputs!$C$13),INDEX($N$174:$AL$174,1,AM$5-$K$171+1)*INDEX($N$175:$AL$175,1,AM$5-$K$171+1),0)-$I$171*((AM$5=Inputs!$C$12)*$C$173*$D$171+(AM$5=Inputs!$C$13)*$D$173*($D$171+Inputs!$C$14))+$I$171*((AM$5=Inputs!$C$15+$K$171)*$E$173*$I$173+(AM$5=Inputs!$C$16+$K$171)*$F$173*$J$173+(AM$5=Inputs!$C$17)*$G$173*$H$171*$H$173)</f>
        <v>48.7999999999998</v>
      </c>
      <c r="AN176" s="42" t="n">
        <f aca="false">-($D$171+$J$171)*(AN$5=0)+IF(AND(AN$5-$K$171&gt;=1,AN$5-$K$171&lt;=Inputs!$C$13),INDEX($N$174:$AL$174,1,AN$5-$K$171+1)*INDEX($N$175:$AL$175,1,AN$5-$K$171+1),0)-$I$171*((AN$5=Inputs!$C$12)*$C$173*$D$171+(AN$5=Inputs!$C$13)*$D$173*($D$171+Inputs!$C$14))+$I$171*((AN$5=Inputs!$C$15+$K$171)*$E$173*$I$173+(AN$5=Inputs!$C$16+$K$171)*$F$173*$J$173+(AN$5=Inputs!$C$17)*$G$173*$H$171*$H$173)</f>
        <v>0</v>
      </c>
      <c r="AO176" s="42" t="n">
        <f aca="false">-($D$171+$J$171)*(AO$5=0)+IF(AND(AO$5-$K$171&gt;=1,AO$5-$K$171&lt;=Inputs!$C$13),INDEX($N$174:$AL$174,1,AO$5-$K$171+1)*INDEX($N$175:$AL$175,1,AO$5-$K$171+1),0)-$I$171*((AO$5=Inputs!$C$12)*$C$173*$D$171+(AO$5=Inputs!$C$13)*$D$173*($D$171+Inputs!$C$14))+$I$171*((AO$5=Inputs!$C$15+$K$171)*$E$173*$I$173+(AO$5=Inputs!$C$16+$K$171)*$F$173*$J$173+(AO$5=Inputs!$C$17)*$G$173*$H$171*$H$173)</f>
        <v>0</v>
      </c>
      <c r="AP176" s="42" t="n">
        <f aca="false">-($D$171+$J$171)*(AP$5=0)+IF(AND(AP$5-$K$171&gt;=1,AP$5-$K$171&lt;=Inputs!$C$13),INDEX($N$174:$AL$174,1,AP$5-$K$171+1)*INDEX($N$175:$AL$175,1,AP$5-$K$171+1),0)-$I$171*((AP$5=Inputs!$C$12)*$C$173*$D$171+(AP$5=Inputs!$C$13)*$D$173*($D$171+Inputs!$C$14))+$I$171*((AP$5=Inputs!$C$15+$K$171)*$E$173*$I$173+(AP$5=Inputs!$C$16+$K$171)*$F$173*$J$173+(AP$5=Inputs!$C$17)*$G$173*$H$171*$H$173)</f>
        <v>750</v>
      </c>
      <c r="AQ176" s="42" t="n">
        <f aca="false">-($D$171+$J$171)*(AQ$5=0)+IF(AND(AQ$5-$K$171&gt;=1,AQ$5-$K$171&lt;=Inputs!$C$13),INDEX($N$174:$AL$174,1,AQ$5-$K$171+1)*INDEX($N$175:$AL$175,1,AQ$5-$K$171+1),0)-$I$171*((AQ$5=Inputs!$C$12)*$C$173*$D$171+(AQ$5=Inputs!$C$13)*$D$173*($D$171+Inputs!$C$14))+$I$171*((AQ$5=Inputs!$C$15+$K$171)*$E$173*$I$173+(AQ$5=Inputs!$C$16+$K$171)*$F$173*$J$173+(AQ$5=Inputs!$C$17)*$G$173*$H$171*$H$173)</f>
        <v>0</v>
      </c>
      <c r="AR176" s="42" t="n">
        <f aca="false">-($D$171+$J$171)*(AR$5=0)+IF(AND(AR$5-$K$171&gt;=1,AR$5-$K$171&lt;=Inputs!$C$13),INDEX($N$174:$AL$174,1,AR$5-$K$171+1)*INDEX($N$175:$AL$175,1,AR$5-$K$171+1),0)-$I$171*((AR$5=Inputs!$C$12)*$C$173*$D$171+(AR$5=Inputs!$C$13)*$D$173*($D$171+Inputs!$C$14))+$I$171*((AR$5=Inputs!$C$15+$K$171)*$E$173*$I$173+(AR$5=Inputs!$C$16+$K$171)*$F$173*$J$173+(AR$5=Inputs!$C$17)*$G$173*$H$171*$H$173)</f>
        <v>0</v>
      </c>
      <c r="AS176" s="42" t="n">
        <f aca="false">-($D$171+$J$171)*(AS$5=0)+IF(AND(AS$5-$K$171&gt;=1,AS$5-$K$171&lt;=Inputs!$C$13),INDEX($N$174:$AL$174,1,AS$5-$K$171+1)*INDEX($N$175:$AL$175,1,AS$5-$K$171+1),0)-$I$171*((AS$5=Inputs!$C$12)*$C$173*$D$171+(AS$5=Inputs!$C$13)*$D$173*($D$171+Inputs!$C$14))+$I$171*((AS$5=Inputs!$C$15+$K$171)*$E$173*$I$173+(AS$5=Inputs!$C$16+$K$171)*$F$173*$J$173+(AS$5=Inputs!$C$17)*$G$173*$H$171*$H$173)</f>
        <v>432.9</v>
      </c>
      <c r="AT176" s="42" t="n">
        <f aca="false">-($D$171+$J$171)*(AT$5=0)+IF(AND(AT$5-$K$171&gt;=1,AT$5-$K$171&lt;=Inputs!$C$13),INDEX($N$174:$AL$174,1,AT$5-$K$171+1)*INDEX($N$175:$AL$175,1,AT$5-$K$171+1),0)-$I$171*((AT$5=Inputs!$C$12)*$C$173*$D$171+(AT$5=Inputs!$C$13)*$D$173*($D$171+Inputs!$C$14))+$I$171*((AT$5=Inputs!$C$15+$K$171)*$E$173*$I$173+(AT$5=Inputs!$C$16+$K$171)*$F$173*$J$173+(AT$5=Inputs!$C$17)*$G$173*$H$171*$H$173)</f>
        <v>0</v>
      </c>
      <c r="AU176" s="42" t="n">
        <f aca="false">-($D$171+$J$171)*(AU$5=0)+IF(AND(AU$5-$K$171&gt;=1,AU$5-$K$171&lt;=Inputs!$C$13),INDEX($N$174:$AL$174,1,AU$5-$K$171+1)*INDEX($N$175:$AL$175,1,AU$5-$K$171+1),0)-$I$171*((AU$5=Inputs!$C$12)*$C$173*$D$171+(AU$5=Inputs!$C$13)*$D$173*($D$171+Inputs!$C$14))+$I$171*((AU$5=Inputs!$C$15+$K$171)*$E$173*$I$173+(AU$5=Inputs!$C$16+$K$171)*$F$173*$J$173+(AU$5=Inputs!$C$17)*$G$173*$H$171*$H$173)</f>
        <v>0</v>
      </c>
      <c r="AV176" s="42" t="n">
        <f aca="false">-($D$171+$J$171)*(AV$5=0)+IF(AND(AV$5-$K$171&gt;=1,AV$5-$K$171&lt;=Inputs!$C$13),INDEX($N$174:$AL$174,1,AV$5-$K$171+1)*INDEX($N$175:$AL$175,1,AV$5-$K$171+1),0)-$I$171*((AV$5=Inputs!$C$12)*$C$173*$D$171+(AV$5=Inputs!$C$13)*$D$173*($D$171+Inputs!$C$14))+$I$171*((AV$5=Inputs!$C$15+$K$171)*$E$173*$I$173+(AV$5=Inputs!$C$16+$K$171)*$F$173*$J$173+(AV$5=Inputs!$C$17)*$G$173*$H$171*$H$173)</f>
        <v>0</v>
      </c>
      <c r="AW176" s="42" t="n">
        <f aca="false">-($D$171+$J$171)*(AW$5=0)+IF(AND(AW$5-$K$171&gt;=1,AW$5-$K$171&lt;=Inputs!$C$13),INDEX($N$174:$AL$174,1,AW$5-$K$171+1)*INDEX($N$175:$AL$175,1,AW$5-$K$171+1),0)-$I$171*((AW$5=Inputs!$C$12)*$C$173*$D$171+(AW$5=Inputs!$C$13)*$D$173*($D$171+Inputs!$C$14))+$I$171*((AW$5=Inputs!$C$15+$K$171)*$E$173*$I$173+(AW$5=Inputs!$C$16+$K$171)*$F$173*$J$173+(AW$5=Inputs!$C$17)*$G$173*$H$171*$H$173)</f>
        <v>0</v>
      </c>
      <c r="AX176" s="42" t="n">
        <f aca="false">-($D$171+$J$171)*(AX$5=0)+IF(AND(AX$5-$K$171&gt;=1,AX$5-$K$171&lt;=Inputs!$C$13),INDEX($N$174:$AL$174,1,AX$5-$K$171+1)*INDEX($N$175:$AL$175,1,AX$5-$K$171+1),0)-$I$171*((AX$5=Inputs!$C$12)*$C$173*$D$171+(AX$5=Inputs!$C$13)*$D$173*($D$171+Inputs!$C$14))+$I$171*((AX$5=Inputs!$C$15+$K$171)*$E$173*$I$173+(AX$5=Inputs!$C$16+$K$171)*$F$173*$J$173+(AX$5=Inputs!$C$17)*$G$173*$H$171*$H$173)</f>
        <v>371.25</v>
      </c>
      <c r="AY176" s="42" t="n">
        <f aca="false">-($D$171+$J$171)*(AY$5=0)+IF(AND(AY$5-$K$171&gt;=1,AY$5-$K$171&lt;=Inputs!$C$13),INDEX($N$174:$AL$174,1,AY$5-$K$171+1)*INDEX($N$175:$AL$175,1,AY$5-$K$171+1),0)-$I$171*((AY$5=Inputs!$C$12)*$C$173*$D$171+(AY$5=Inputs!$C$13)*$D$173*($D$171+Inputs!$C$14))+$I$171*((AY$5=Inputs!$C$15+$K$171)*$E$173*$I$173+(AY$5=Inputs!$C$16+$K$171)*$F$173*$J$173+(AY$5=Inputs!$C$17)*$G$173*$H$171*$H$173)</f>
        <v>0</v>
      </c>
    </row>
    <row r="178" customFormat="false" ht="15" hidden="false" customHeight="false" outlineLevel="0" collapsed="false">
      <c r="B178" s="7" t="s">
        <v>260</v>
      </c>
      <c r="C178" s="8"/>
      <c r="D178" s="8"/>
      <c r="E178" s="8"/>
      <c r="F178" s="8"/>
      <c r="G178" s="8"/>
      <c r="H178" s="8"/>
      <c r="I178" s="8"/>
      <c r="J178" s="8"/>
      <c r="K178" s="8"/>
      <c r="L178" s="8"/>
    </row>
    <row r="179" customFormat="false" ht="30" hidden="false" customHeight="true" outlineLevel="0" collapsed="false">
      <c r="B179" s="37"/>
      <c r="C179" s="38" t="s">
        <v>169</v>
      </c>
      <c r="D179" s="38" t="s">
        <v>170</v>
      </c>
      <c r="E179" s="38" t="s">
        <v>171</v>
      </c>
      <c r="F179" s="38" t="s">
        <v>43</v>
      </c>
      <c r="G179" s="38" t="s">
        <v>44</v>
      </c>
      <c r="H179" s="38" t="s">
        <v>45</v>
      </c>
      <c r="I179" s="38" t="s">
        <v>172</v>
      </c>
      <c r="J179" s="38" t="s">
        <v>90</v>
      </c>
      <c r="K179" s="38" t="s">
        <v>89</v>
      </c>
      <c r="L179" s="38" t="s">
        <v>173</v>
      </c>
    </row>
    <row r="180" customFormat="false" ht="15" hidden="false" customHeight="false" outlineLevel="0" collapsed="false">
      <c r="B180" s="39" t="s">
        <v>174</v>
      </c>
      <c r="C180" s="26" t="n">
        <f aca="false">Inputs!$F$43*Inputs!$E$58</f>
        <v>0.13</v>
      </c>
      <c r="D180" s="30" t="n">
        <f aca="false">Inputs!$E$43</f>
        <v>1600</v>
      </c>
      <c r="E180" s="26" t="n">
        <f aca="false">IF(Inputs!$G$43=1,Inputs!$F$27,MIN(1,MAX(0,INDEX(Inputs!$F$23:$F$27,MATCH(Inputs!$C$43,Inputs!$B$23:$B$27,0))+INDEX(Inputs!$C$48:$C$51,MATCH(Inputs!$D$58,Inputs!$B$48:$B$51,0)))))</f>
        <v>0.35</v>
      </c>
      <c r="F180" s="25" t="n">
        <f aca="false">IF(Inputs!$G$43=1,Inputs!$G$27,INDEX(Inputs!$G$23:$G$27,MATCH(Inputs!$C$43,Inputs!$B$23:$B$27,0)))</f>
        <v>0.1</v>
      </c>
      <c r="G180" s="25" t="n">
        <f aca="false">IF(Inputs!$G$43=1,Inputs!$H$27,INDEX(Inputs!$H$23:$H$27,MATCH(Inputs!$C$43,Inputs!$B$23:$B$27,0)))*INDEX(Inputs!$D$48:$D$51,MATCH(Inputs!$D$58,Inputs!$B$48:$B$51,0))</f>
        <v>0.0375</v>
      </c>
      <c r="H180" s="25" t="n">
        <f aca="false">MAX(0,IF(Inputs!$G$43=1,Inputs!$I$27,INDEX(Inputs!$I$23:$I$27,MATCH(Inputs!$C$43,Inputs!$B$23:$B$27,0)))+INDEX(Inputs!$E$48:$E$51,MATCH(Inputs!$D$58,Inputs!$B$48:$B$51,0)))</f>
        <v>0</v>
      </c>
      <c r="I180" s="22" t="n">
        <f aca="false">IF(Inputs!$G$43=1,0,INDEX(Inputs!$J$23:$J$27,MATCH(Inputs!$C$43,Inputs!$B$23:$B$27,0)))</f>
        <v>0</v>
      </c>
      <c r="J180" s="23" t="n">
        <f aca="false">Inputs!$G$58</f>
        <v>10</v>
      </c>
      <c r="K180" s="22" t="n">
        <f aca="false">Inputs!$F$58</f>
        <v>1</v>
      </c>
      <c r="L180" s="22" t="n">
        <f aca="false">Inputs!$C$58</f>
        <v>1</v>
      </c>
    </row>
    <row r="181" customFormat="false" ht="30" hidden="false" customHeight="true" outlineLevel="0" collapsed="false">
      <c r="B181" s="37"/>
      <c r="C181" s="38" t="s">
        <v>175</v>
      </c>
      <c r="D181" s="38" t="s">
        <v>176</v>
      </c>
      <c r="E181" s="38" t="s">
        <v>177</v>
      </c>
      <c r="F181" s="38" t="s">
        <v>178</v>
      </c>
      <c r="G181" s="38" t="s">
        <v>112</v>
      </c>
      <c r="H181" s="38" t="s">
        <v>179</v>
      </c>
      <c r="I181" s="38" t="s">
        <v>180</v>
      </c>
      <c r="J181" s="38" t="s">
        <v>181</v>
      </c>
      <c r="K181" s="38" t="s">
        <v>182</v>
      </c>
      <c r="L181" s="38" t="s">
        <v>183</v>
      </c>
    </row>
    <row r="182" customFormat="false" ht="15" hidden="false" customHeight="false" outlineLevel="0" collapsed="false">
      <c r="B182" s="39" t="s">
        <v>184</v>
      </c>
      <c r="C182" s="40" t="n">
        <f aca="false">1-$E$180*CHOOSE($L$180,INDEX(Timing!$C$7:$AA$7,1,Inputs!$C$12+1),INDEX(Timing!$C$8:$AA$8,1,Inputs!$C$12+1))</f>
        <v>0.734</v>
      </c>
      <c r="D182" s="40" t="n">
        <f aca="false">1-$E$180*CHOOSE($L$180,INDEX(Timing!$C$7:$AA$7,1,Inputs!$C$13+1),INDEX(Timing!$C$8:$AA$8,1,Inputs!$C$13+1))</f>
        <v>0.65</v>
      </c>
      <c r="E182" s="40" t="n">
        <f aca="false">$I$180*$D$182*$F$180</f>
        <v>0</v>
      </c>
      <c r="F182" s="40" t="n">
        <f aca="false">$I$180*($D$182-$E$182)*$G$180</f>
        <v>0</v>
      </c>
      <c r="G182" s="40" t="n">
        <f aca="false">$I$180*($D$182-$E$182-$F$182)</f>
        <v>0</v>
      </c>
      <c r="H182" s="23" t="n">
        <f aca="false">$I$180*(3*$D$180+Inputs!$C$14)</f>
        <v>0</v>
      </c>
      <c r="I182" s="23" t="n">
        <f aca="false">$I$180*($D$180*(1+IF($C$180&lt;=0,0,MAX($C$180*Inputs!$C$15/12,Inputs!$C$8)))+$D$180*(1+Inputs!$C$11*(Inputs!$C$15-Inputs!$C$12)/12)+$D$180*(1+Inputs!$C$11*(Inputs!$C$15-Inputs!$C$13)/12)+Inputs!$C$14)</f>
        <v>0</v>
      </c>
      <c r="J182" s="23" t="n">
        <f aca="false">$I$180*($D$180*(1+IF($C$180&lt;=0,0,MAX($C$180*Inputs!$C$16/12,Inputs!$C$8)))+$D$180*(1+Inputs!$C$11*(Inputs!$C$16-Inputs!$C$12)/12)+$D$180*(1+Inputs!$C$11*(Inputs!$C$16-Inputs!$C$13)/12)+Inputs!$C$14)</f>
        <v>0</v>
      </c>
      <c r="K182" s="40" t="n">
        <f aca="false">IRR($N$185:$AY$185,-0.05)</f>
        <v>-0.0796907670056498</v>
      </c>
      <c r="L182" s="41" t="n">
        <f aca="false">(1+$K$182)^12-1</f>
        <v>-0.630847894979521</v>
      </c>
    </row>
    <row r="183" customFormat="false" ht="15" hidden="false" customHeight="false" outlineLevel="0" collapsed="false">
      <c r="B183" s="9" t="s">
        <v>185</v>
      </c>
      <c r="N183" s="40" t="n">
        <f aca="false">0</f>
        <v>0</v>
      </c>
      <c r="O183" s="40" t="n">
        <f aca="false">$E$180*(CHOOSE($L$180,Timing!D$7,Timing!D$8)-CHOOSE($L$180,Timing!C$7,Timing!C$8))</f>
        <v>0.042</v>
      </c>
      <c r="P183" s="40" t="n">
        <f aca="false">$E$180*(CHOOSE($L$180,Timing!E$7,Timing!E$8)-CHOOSE($L$180,Timing!D$7,Timing!D$8))</f>
        <v>0.035</v>
      </c>
      <c r="Q183" s="40" t="n">
        <f aca="false">$E$180*(CHOOSE($L$180,Timing!F$7,Timing!F$8)-CHOOSE($L$180,Timing!E$7,Timing!E$8))</f>
        <v>0.0315</v>
      </c>
      <c r="R183" s="40" t="n">
        <f aca="false">$E$180*(CHOOSE($L$180,Timing!G$7,Timing!G$8)-CHOOSE($L$180,Timing!F$7,Timing!F$8))</f>
        <v>0.0245</v>
      </c>
      <c r="S183" s="40" t="n">
        <f aca="false">$E$180*(CHOOSE($L$180,Timing!H$7,Timing!H$8)-CHOOSE($L$180,Timing!G$7,Timing!G$8))</f>
        <v>0.0245</v>
      </c>
      <c r="T183" s="40" t="n">
        <f aca="false">$E$180*(CHOOSE($L$180,Timing!I$7,Timing!I$8)-CHOOSE($L$180,Timing!H$7,Timing!H$8))</f>
        <v>0.0245</v>
      </c>
      <c r="U183" s="40" t="n">
        <f aca="false">$E$180*(CHOOSE($L$180,Timing!J$7,Timing!J$8)-CHOOSE($L$180,Timing!I$7,Timing!I$8))</f>
        <v>0.0151666666666667</v>
      </c>
      <c r="V183" s="40" t="n">
        <f aca="false">$E$180*(CHOOSE($L$180,Timing!K$7,Timing!K$8)-CHOOSE($L$180,Timing!J$7,Timing!J$8))</f>
        <v>0.0151666666666667</v>
      </c>
      <c r="W183" s="40" t="n">
        <f aca="false">$E$180*(CHOOSE($L$180,Timing!L$7,Timing!L$8)-CHOOSE($L$180,Timing!K$7,Timing!K$8))</f>
        <v>0.0151666666666667</v>
      </c>
      <c r="X183" s="40" t="n">
        <f aca="false">$E$180*(CHOOSE($L$180,Timing!M$7,Timing!M$8)-CHOOSE($L$180,Timing!L$7,Timing!L$8))</f>
        <v>0.0128333333333333</v>
      </c>
      <c r="Y183" s="40" t="n">
        <f aca="false">$E$180*(CHOOSE($L$180,Timing!N$7,Timing!N$8)-CHOOSE($L$180,Timing!M$7,Timing!M$8))</f>
        <v>0.0128333333333334</v>
      </c>
      <c r="Z183" s="40" t="n">
        <f aca="false">$E$180*(CHOOSE($L$180,Timing!O$7,Timing!O$8)-CHOOSE($L$180,Timing!N$7,Timing!N$8))</f>
        <v>0.0128333333333333</v>
      </c>
      <c r="AA183" s="40" t="n">
        <f aca="false">$E$180*(CHOOSE($L$180,Timing!P$7,Timing!P$8)-CHOOSE($L$180,Timing!O$7,Timing!O$8))</f>
        <v>0.00816666666666666</v>
      </c>
      <c r="AB183" s="40" t="n">
        <f aca="false">$E$180*(CHOOSE($L$180,Timing!Q$7,Timing!Q$8)-CHOOSE($L$180,Timing!P$7,Timing!P$8))</f>
        <v>0.00816666666666666</v>
      </c>
      <c r="AC183" s="40" t="n">
        <f aca="false">$E$180*(CHOOSE($L$180,Timing!R$7,Timing!R$8)-CHOOSE($L$180,Timing!Q$7,Timing!Q$8))</f>
        <v>0.0081666666666667</v>
      </c>
      <c r="AD183" s="40" t="n">
        <f aca="false">$E$180*(CHOOSE($L$180,Timing!S$7,Timing!S$8)-CHOOSE($L$180,Timing!R$7,Timing!R$8))</f>
        <v>0.00816666666666666</v>
      </c>
      <c r="AE183" s="40" t="n">
        <f aca="false">$E$180*(CHOOSE($L$180,Timing!T$7,Timing!T$8)-CHOOSE($L$180,Timing!S$7,Timing!S$8))</f>
        <v>0.00816666666666666</v>
      </c>
      <c r="AF183" s="40" t="n">
        <f aca="false">$E$180*(CHOOSE($L$180,Timing!U$7,Timing!U$8)-CHOOSE($L$180,Timing!T$7,Timing!T$8))</f>
        <v>0.00816666666666666</v>
      </c>
      <c r="AG183" s="40" t="n">
        <f aca="false">$E$180*(CHOOSE($L$180,Timing!V$7,Timing!V$8)-CHOOSE($L$180,Timing!U$7,Timing!U$8))</f>
        <v>0.00583333333333335</v>
      </c>
      <c r="AH183" s="40" t="n">
        <f aca="false">$E$180*(CHOOSE($L$180,Timing!W$7,Timing!W$8)-CHOOSE($L$180,Timing!V$7,Timing!V$8))</f>
        <v>0.00583333333333331</v>
      </c>
      <c r="AI183" s="40" t="n">
        <f aca="false">$E$180*(CHOOSE($L$180,Timing!X$7,Timing!X$8)-CHOOSE($L$180,Timing!W$7,Timing!W$8))</f>
        <v>0.00583333333333331</v>
      </c>
      <c r="AJ183" s="40" t="n">
        <f aca="false">$E$180*(CHOOSE($L$180,Timing!Y$7,Timing!Y$8)-CHOOSE($L$180,Timing!X$7,Timing!X$8))</f>
        <v>0.00583333333333335</v>
      </c>
      <c r="AK183" s="40" t="n">
        <f aca="false">$E$180*(CHOOSE($L$180,Timing!Z$7,Timing!Z$8)-CHOOSE($L$180,Timing!Y$7,Timing!Y$8))</f>
        <v>0.00583333333333335</v>
      </c>
      <c r="AL183" s="40" t="n">
        <f aca="false">$E$180*(CHOOSE($L$180,Timing!AA$7,Timing!AA$8)-CHOOSE($L$180,Timing!Z$7,Timing!Z$8))</f>
        <v>0.00583333333333331</v>
      </c>
    </row>
    <row r="184" customFormat="false" ht="15" hidden="false" customHeight="false" outlineLevel="0" collapsed="false">
      <c r="B184" s="9" t="s">
        <v>186</v>
      </c>
      <c r="N184" s="42" t="n">
        <f aca="false">0</f>
        <v>0</v>
      </c>
      <c r="O184" s="42" t="n">
        <f aca="false">$D$180*(1+IF($C$180&lt;=0,0,MAX($C$180*O$5/12,Inputs!$C$8)))+$I$180*(O$5&gt;Inputs!$C$12)*$D$180*(1+Inputs!$C$11*(O$5-Inputs!$C$12)/12)</f>
        <v>1680</v>
      </c>
      <c r="P184" s="42" t="n">
        <f aca="false">$D$180*(1+IF($C$180&lt;=0,0,MAX($C$180*P$5/12,Inputs!$C$8)))+$I$180*(P$5&gt;Inputs!$C$12)*$D$180*(1+Inputs!$C$11*(P$5-Inputs!$C$12)/12)</f>
        <v>1680</v>
      </c>
      <c r="Q184" s="42" t="n">
        <f aca="false">$D$180*(1+IF($C$180&lt;=0,0,MAX($C$180*Q$5/12,Inputs!$C$8)))+$I$180*(Q$5&gt;Inputs!$C$12)*$D$180*(1+Inputs!$C$11*(Q$5-Inputs!$C$12)/12)</f>
        <v>1680</v>
      </c>
      <c r="R184" s="42" t="n">
        <f aca="false">$D$180*(1+IF($C$180&lt;=0,0,MAX($C$180*R$5/12,Inputs!$C$8)))+$I$180*(R$5&gt;Inputs!$C$12)*$D$180*(1+Inputs!$C$11*(R$5-Inputs!$C$12)/12)</f>
        <v>1680</v>
      </c>
      <c r="S184" s="42" t="n">
        <f aca="false">$D$180*(1+IF($C$180&lt;=0,0,MAX($C$180*S$5/12,Inputs!$C$8)))+$I$180*(S$5&gt;Inputs!$C$12)*$D$180*(1+Inputs!$C$11*(S$5-Inputs!$C$12)/12)</f>
        <v>1686.66666666667</v>
      </c>
      <c r="T184" s="42" t="n">
        <f aca="false">$D$180*(1+IF($C$180&lt;=0,0,MAX($C$180*T$5/12,Inputs!$C$8)))+$I$180*(T$5&gt;Inputs!$C$12)*$D$180*(1+Inputs!$C$11*(T$5-Inputs!$C$12)/12)</f>
        <v>1704</v>
      </c>
      <c r="U184" s="42" t="n">
        <f aca="false">$D$180*(1+IF($C$180&lt;=0,0,MAX($C$180*U$5/12,Inputs!$C$8)))+$I$180*(U$5&gt;Inputs!$C$12)*$D$180*(1+Inputs!$C$11*(U$5-Inputs!$C$12)/12)</f>
        <v>1721.33333333333</v>
      </c>
      <c r="V184" s="42" t="n">
        <f aca="false">$D$180*(1+IF($C$180&lt;=0,0,MAX($C$180*V$5/12,Inputs!$C$8)))+$I$180*(V$5&gt;Inputs!$C$12)*$D$180*(1+Inputs!$C$11*(V$5-Inputs!$C$12)/12)</f>
        <v>1738.66666666667</v>
      </c>
      <c r="W184" s="42" t="n">
        <f aca="false">$D$180*(1+IF($C$180&lt;=0,0,MAX($C$180*W$5/12,Inputs!$C$8)))+$I$180*(W$5&gt;Inputs!$C$12)*$D$180*(1+Inputs!$C$11*(W$5-Inputs!$C$12)/12)</f>
        <v>1756</v>
      </c>
      <c r="X184" s="42" t="n">
        <f aca="false">$D$180*(1+IF($C$180&lt;=0,0,MAX($C$180*X$5/12,Inputs!$C$8)))+$I$180*(X$5&gt;Inputs!$C$12)*$D$180*(1+Inputs!$C$11*(X$5-Inputs!$C$12)/12)</f>
        <v>1773.33333333333</v>
      </c>
      <c r="Y184" s="42" t="n">
        <f aca="false">$D$180*(1+IF($C$180&lt;=0,0,MAX($C$180*Y$5/12,Inputs!$C$8)))+$I$180*(Y$5&gt;Inputs!$C$12)*$D$180*(1+Inputs!$C$11*(Y$5-Inputs!$C$12)/12)</f>
        <v>1790.66666666667</v>
      </c>
      <c r="Z184" s="42" t="n">
        <f aca="false">$D$180*(1+IF($C$180&lt;=0,0,MAX($C$180*Z$5/12,Inputs!$C$8)))+$I$180*(Z$5&gt;Inputs!$C$12)*$D$180*(1+Inputs!$C$11*(Z$5-Inputs!$C$12)/12)</f>
        <v>1808</v>
      </c>
      <c r="AA184" s="42" t="n">
        <f aca="false">$D$180*(1+IF($C$180&lt;=0,0,MAX($C$180*AA$5/12,Inputs!$C$8)))+$I$180*(AA$5&gt;Inputs!$C$12)*$D$180*(1+Inputs!$C$11*(AA$5-Inputs!$C$12)/12)</f>
        <v>1825.33333333333</v>
      </c>
      <c r="AB184" s="42" t="n">
        <f aca="false">$D$180*(1+IF($C$180&lt;=0,0,MAX($C$180*AB$5/12,Inputs!$C$8)))+$I$180*(AB$5&gt;Inputs!$C$12)*$D$180*(1+Inputs!$C$11*(AB$5-Inputs!$C$12)/12)</f>
        <v>1842.66666666667</v>
      </c>
      <c r="AC184" s="42" t="n">
        <f aca="false">$D$180*(1+IF($C$180&lt;=0,0,MAX($C$180*AC$5/12,Inputs!$C$8)))+$I$180*(AC$5&gt;Inputs!$C$12)*$D$180*(1+Inputs!$C$11*(AC$5-Inputs!$C$12)/12)</f>
        <v>1860</v>
      </c>
      <c r="AD184" s="42" t="n">
        <f aca="false">$D$180*(1+IF($C$180&lt;=0,0,MAX($C$180*AD$5/12,Inputs!$C$8)))+$I$180*(AD$5&gt;Inputs!$C$12)*$D$180*(1+Inputs!$C$11*(AD$5-Inputs!$C$12)/12)</f>
        <v>1877.33333333333</v>
      </c>
      <c r="AE184" s="42" t="n">
        <f aca="false">$D$180*(1+IF($C$180&lt;=0,0,MAX($C$180*AE$5/12,Inputs!$C$8)))+$I$180*(AE$5&gt;Inputs!$C$12)*$D$180*(1+Inputs!$C$11*(AE$5-Inputs!$C$12)/12)</f>
        <v>1894.66666666667</v>
      </c>
      <c r="AF184" s="42" t="n">
        <f aca="false">$D$180*(1+IF($C$180&lt;=0,0,MAX($C$180*AF$5/12,Inputs!$C$8)))+$I$180*(AF$5&gt;Inputs!$C$12)*$D$180*(1+Inputs!$C$11*(AF$5-Inputs!$C$12)/12)</f>
        <v>1912</v>
      </c>
      <c r="AG184" s="42" t="n">
        <f aca="false">$D$180*(1+IF($C$180&lt;=0,0,MAX($C$180*AG$5/12,Inputs!$C$8)))+$I$180*(AG$5&gt;Inputs!$C$12)*$D$180*(1+Inputs!$C$11*(AG$5-Inputs!$C$12)/12)</f>
        <v>1929.33333333333</v>
      </c>
      <c r="AH184" s="42" t="n">
        <f aca="false">$D$180*(1+IF($C$180&lt;=0,0,MAX($C$180*AH$5/12,Inputs!$C$8)))+$I$180*(AH$5&gt;Inputs!$C$12)*$D$180*(1+Inputs!$C$11*(AH$5-Inputs!$C$12)/12)</f>
        <v>1946.66666666667</v>
      </c>
      <c r="AI184" s="42" t="n">
        <f aca="false">$D$180*(1+IF($C$180&lt;=0,0,MAX($C$180*AI$5/12,Inputs!$C$8)))+$I$180*(AI$5&gt;Inputs!$C$12)*$D$180*(1+Inputs!$C$11*(AI$5-Inputs!$C$12)/12)</f>
        <v>1964</v>
      </c>
      <c r="AJ184" s="42" t="n">
        <f aca="false">$D$180*(1+IF($C$180&lt;=0,0,MAX($C$180*AJ$5/12,Inputs!$C$8)))+$I$180*(AJ$5&gt;Inputs!$C$12)*$D$180*(1+Inputs!$C$11*(AJ$5-Inputs!$C$12)/12)</f>
        <v>1981.33333333333</v>
      </c>
      <c r="AK184" s="42" t="n">
        <f aca="false">$D$180*(1+IF($C$180&lt;=0,0,MAX($C$180*AK$5/12,Inputs!$C$8)))+$I$180*(AK$5&gt;Inputs!$C$12)*$D$180*(1+Inputs!$C$11*(AK$5-Inputs!$C$12)/12)</f>
        <v>1998.66666666667</v>
      </c>
      <c r="AL184" s="42" t="n">
        <f aca="false">$D$180*(1+IF($C$180&lt;=0,0,MAX($C$180*AL$5/12,Inputs!$C$8)))+$I$180*(AL$5&gt;Inputs!$C$12)*$D$180*(1+Inputs!$C$11*(AL$5-Inputs!$C$12)/12)</f>
        <v>2016</v>
      </c>
    </row>
    <row r="185" customFormat="false" ht="15" hidden="false" customHeight="false" outlineLevel="0" collapsed="false">
      <c r="B185" s="31" t="s">
        <v>187</v>
      </c>
      <c r="N185" s="42" t="n">
        <f aca="false">-($D$180+$J$180)*(N$5=0)+IF(AND(N$5-$K$180&gt;=1,N$5-$K$180&lt;=Inputs!$C$13),INDEX($N$183:$AL$183,1,N$5-$K$180+1)*INDEX($N$184:$AL$184,1,N$5-$K$180+1),0)-$I$180*((N$5=Inputs!$C$12)*$C$182*$D$180+(N$5=Inputs!$C$13)*$D$182*($D$180+Inputs!$C$14))+$I$180*((N$5=Inputs!$C$15+$K$180)*$E$182*$I$182+(N$5=Inputs!$C$16+$K$180)*$F$182*$J$182+(N$5=Inputs!$C$17)*$G$182*$H$180*$H$182)</f>
        <v>-1610</v>
      </c>
      <c r="O185" s="42" t="n">
        <f aca="false">-($D$180+$J$180)*(O$5=0)+IF(AND(O$5-$K$180&gt;=1,O$5-$K$180&lt;=Inputs!$C$13),INDEX($N$183:$AL$183,1,O$5-$K$180+1)*INDEX($N$184:$AL$184,1,O$5-$K$180+1),0)-$I$180*((O$5=Inputs!$C$12)*$C$182*$D$180+(O$5=Inputs!$C$13)*$D$182*($D$180+Inputs!$C$14))+$I$180*((O$5=Inputs!$C$15+$K$180)*$E$182*$I$182+(O$5=Inputs!$C$16+$K$180)*$F$182*$J$182+(O$5=Inputs!$C$17)*$G$182*$H$180*$H$182)</f>
        <v>0</v>
      </c>
      <c r="P185" s="42" t="n">
        <f aca="false">-($D$180+$J$180)*(P$5=0)+IF(AND(P$5-$K$180&gt;=1,P$5-$K$180&lt;=Inputs!$C$13),INDEX($N$183:$AL$183,1,P$5-$K$180+1)*INDEX($N$184:$AL$184,1,P$5-$K$180+1),0)-$I$180*((P$5=Inputs!$C$12)*$C$182*$D$180+(P$5=Inputs!$C$13)*$D$182*($D$180+Inputs!$C$14))+$I$180*((P$5=Inputs!$C$15+$K$180)*$E$182*$I$182+(P$5=Inputs!$C$16+$K$180)*$F$182*$J$182+(P$5=Inputs!$C$17)*$G$182*$H$180*$H$182)</f>
        <v>70.56</v>
      </c>
      <c r="Q185" s="42" t="n">
        <f aca="false">-($D$180+$J$180)*(Q$5=0)+IF(AND(Q$5-$K$180&gt;=1,Q$5-$K$180&lt;=Inputs!$C$13),INDEX($N$183:$AL$183,1,Q$5-$K$180+1)*INDEX($N$184:$AL$184,1,Q$5-$K$180+1),0)-$I$180*((Q$5=Inputs!$C$12)*$C$182*$D$180+(Q$5=Inputs!$C$13)*$D$182*($D$180+Inputs!$C$14))+$I$180*((Q$5=Inputs!$C$15+$K$180)*$E$182*$I$182+(Q$5=Inputs!$C$16+$K$180)*$F$182*$J$182+(Q$5=Inputs!$C$17)*$G$182*$H$180*$H$182)</f>
        <v>58.8</v>
      </c>
      <c r="R185" s="42" t="n">
        <f aca="false">-($D$180+$J$180)*(R$5=0)+IF(AND(R$5-$K$180&gt;=1,R$5-$K$180&lt;=Inputs!$C$13),INDEX($N$183:$AL$183,1,R$5-$K$180+1)*INDEX($N$184:$AL$184,1,R$5-$K$180+1),0)-$I$180*((R$5=Inputs!$C$12)*$C$182*$D$180+(R$5=Inputs!$C$13)*$D$182*($D$180+Inputs!$C$14))+$I$180*((R$5=Inputs!$C$15+$K$180)*$E$182*$I$182+(R$5=Inputs!$C$16+$K$180)*$F$182*$J$182+(R$5=Inputs!$C$17)*$G$182*$H$180*$H$182)</f>
        <v>52.92</v>
      </c>
      <c r="S185" s="42" t="n">
        <f aca="false">-($D$180+$J$180)*(S$5=0)+IF(AND(S$5-$K$180&gt;=1,S$5-$K$180&lt;=Inputs!$C$13),INDEX($N$183:$AL$183,1,S$5-$K$180+1)*INDEX($N$184:$AL$184,1,S$5-$K$180+1),0)-$I$180*((S$5=Inputs!$C$12)*$C$182*$D$180+(S$5=Inputs!$C$13)*$D$182*($D$180+Inputs!$C$14))+$I$180*((S$5=Inputs!$C$15+$K$180)*$E$182*$I$182+(S$5=Inputs!$C$16+$K$180)*$F$182*$J$182+(S$5=Inputs!$C$17)*$G$182*$H$180*$H$182)</f>
        <v>41.16</v>
      </c>
      <c r="T185" s="42" t="n">
        <f aca="false">-($D$180+$J$180)*(T$5=0)+IF(AND(T$5-$K$180&gt;=1,T$5-$K$180&lt;=Inputs!$C$13),INDEX($N$183:$AL$183,1,T$5-$K$180+1)*INDEX($N$184:$AL$184,1,T$5-$K$180+1),0)-$I$180*((T$5=Inputs!$C$12)*$C$182*$D$180+(T$5=Inputs!$C$13)*$D$182*($D$180+Inputs!$C$14))+$I$180*((T$5=Inputs!$C$15+$K$180)*$E$182*$I$182+(T$5=Inputs!$C$16+$K$180)*$F$182*$J$182+(T$5=Inputs!$C$17)*$G$182*$H$180*$H$182)</f>
        <v>41.3233333333333</v>
      </c>
      <c r="U185" s="42" t="n">
        <f aca="false">-($D$180+$J$180)*(U$5=0)+IF(AND(U$5-$K$180&gt;=1,U$5-$K$180&lt;=Inputs!$C$13),INDEX($N$183:$AL$183,1,U$5-$K$180+1)*INDEX($N$184:$AL$184,1,U$5-$K$180+1),0)-$I$180*((U$5=Inputs!$C$12)*$C$182*$D$180+(U$5=Inputs!$C$13)*$D$182*($D$180+Inputs!$C$14))+$I$180*((U$5=Inputs!$C$15+$K$180)*$E$182*$I$182+(U$5=Inputs!$C$16+$K$180)*$F$182*$J$182+(U$5=Inputs!$C$17)*$G$182*$H$180*$H$182)</f>
        <v>41.748</v>
      </c>
      <c r="V185" s="42" t="n">
        <f aca="false">-($D$180+$J$180)*(V$5=0)+IF(AND(V$5-$K$180&gt;=1,V$5-$K$180&lt;=Inputs!$C$13),INDEX($N$183:$AL$183,1,V$5-$K$180+1)*INDEX($N$184:$AL$184,1,V$5-$K$180+1),0)-$I$180*((V$5=Inputs!$C$12)*$C$182*$D$180+(V$5=Inputs!$C$13)*$D$182*($D$180+Inputs!$C$14))+$I$180*((V$5=Inputs!$C$15+$K$180)*$E$182*$I$182+(V$5=Inputs!$C$16+$K$180)*$F$182*$J$182+(V$5=Inputs!$C$17)*$G$182*$H$180*$H$182)</f>
        <v>26.1068888888889</v>
      </c>
      <c r="W185" s="42" t="n">
        <f aca="false">-($D$180+$J$180)*(W$5=0)+IF(AND(W$5-$K$180&gt;=1,W$5-$K$180&lt;=Inputs!$C$13),INDEX($N$183:$AL$183,1,W$5-$K$180+1)*INDEX($N$184:$AL$184,1,W$5-$K$180+1),0)-$I$180*((W$5=Inputs!$C$12)*$C$182*$D$180+(W$5=Inputs!$C$13)*$D$182*($D$180+Inputs!$C$14))+$I$180*((W$5=Inputs!$C$15+$K$180)*$E$182*$I$182+(W$5=Inputs!$C$16+$K$180)*$F$182*$J$182+(W$5=Inputs!$C$17)*$G$182*$H$180*$H$182)</f>
        <v>26.3697777777778</v>
      </c>
      <c r="X185" s="42" t="n">
        <f aca="false">-($D$180+$J$180)*(X$5=0)+IF(AND(X$5-$K$180&gt;=1,X$5-$K$180&lt;=Inputs!$C$13),INDEX($N$183:$AL$183,1,X$5-$K$180+1)*INDEX($N$184:$AL$184,1,X$5-$K$180+1),0)-$I$180*((X$5=Inputs!$C$12)*$C$182*$D$180+(X$5=Inputs!$C$13)*$D$182*($D$180+Inputs!$C$14))+$I$180*((X$5=Inputs!$C$15+$K$180)*$E$182*$I$182+(X$5=Inputs!$C$16+$K$180)*$F$182*$J$182+(X$5=Inputs!$C$17)*$G$182*$H$180*$H$182)</f>
        <v>26.6326666666667</v>
      </c>
      <c r="Y185" s="42" t="n">
        <f aca="false">-($D$180+$J$180)*(Y$5=0)+IF(AND(Y$5-$K$180&gt;=1,Y$5-$K$180&lt;=Inputs!$C$13),INDEX($N$183:$AL$183,1,Y$5-$K$180+1)*INDEX($N$184:$AL$184,1,Y$5-$K$180+1),0)-$I$180*((Y$5=Inputs!$C$12)*$C$182*$D$180+(Y$5=Inputs!$C$13)*$D$182*($D$180+Inputs!$C$14))+$I$180*((Y$5=Inputs!$C$15+$K$180)*$E$182*$I$182+(Y$5=Inputs!$C$16+$K$180)*$F$182*$J$182+(Y$5=Inputs!$C$17)*$G$182*$H$180*$H$182)</f>
        <v>22.7577777777778</v>
      </c>
      <c r="Z185" s="42" t="n">
        <f aca="false">-($D$180+$J$180)*(Z$5=0)+IF(AND(Z$5-$K$180&gt;=1,Z$5-$K$180&lt;=Inputs!$C$13),INDEX($N$183:$AL$183,1,Z$5-$K$180+1)*INDEX($N$184:$AL$184,1,Z$5-$K$180+1),0)-$I$180*((Z$5=Inputs!$C$12)*$C$182*$D$180+(Z$5=Inputs!$C$13)*$D$182*($D$180+Inputs!$C$14))+$I$180*((Z$5=Inputs!$C$15+$K$180)*$E$182*$I$182+(Z$5=Inputs!$C$16+$K$180)*$F$182*$J$182+(Z$5=Inputs!$C$17)*$G$182*$H$180*$H$182)</f>
        <v>22.9802222222223</v>
      </c>
      <c r="AA185" s="42" t="n">
        <f aca="false">-($D$180+$J$180)*(AA$5=0)+IF(AND(AA$5-$K$180&gt;=1,AA$5-$K$180&lt;=Inputs!$C$13),INDEX($N$183:$AL$183,1,AA$5-$K$180+1)*INDEX($N$184:$AL$184,1,AA$5-$K$180+1),0)-$I$180*((AA$5=Inputs!$C$12)*$C$182*$D$180+(AA$5=Inputs!$C$13)*$D$182*($D$180+Inputs!$C$14))+$I$180*((AA$5=Inputs!$C$15+$K$180)*$E$182*$I$182+(AA$5=Inputs!$C$16+$K$180)*$F$182*$J$182+(AA$5=Inputs!$C$17)*$G$182*$H$180*$H$182)</f>
        <v>23.2026666666666</v>
      </c>
      <c r="AB185" s="42" t="n">
        <f aca="false">-($D$180+$J$180)*(AB$5=0)+IF(AND(AB$5-$K$180&gt;=1,AB$5-$K$180&lt;=Inputs!$C$13),INDEX($N$183:$AL$183,1,AB$5-$K$180+1)*INDEX($N$184:$AL$184,1,AB$5-$K$180+1),0)-$I$180*((AB$5=Inputs!$C$12)*$C$182*$D$180+(AB$5=Inputs!$C$13)*$D$182*($D$180+Inputs!$C$14))+$I$180*((AB$5=Inputs!$C$15+$K$180)*$E$182*$I$182+(AB$5=Inputs!$C$16+$K$180)*$F$182*$J$182+(AB$5=Inputs!$C$17)*$G$182*$H$180*$H$182)</f>
        <v>14.9068888888889</v>
      </c>
      <c r="AC185" s="42" t="n">
        <f aca="false">-($D$180+$J$180)*(AC$5=0)+IF(AND(AC$5-$K$180&gt;=1,AC$5-$K$180&lt;=Inputs!$C$13),INDEX($N$183:$AL$183,1,AC$5-$K$180+1)*INDEX($N$184:$AL$184,1,AC$5-$K$180+1),0)-$I$180*((AC$5=Inputs!$C$12)*$C$182*$D$180+(AC$5=Inputs!$C$13)*$D$182*($D$180+Inputs!$C$14))+$I$180*((AC$5=Inputs!$C$15+$K$180)*$E$182*$I$182+(AC$5=Inputs!$C$16+$K$180)*$F$182*$J$182+(AC$5=Inputs!$C$17)*$G$182*$H$180*$H$182)</f>
        <v>15.0484444444444</v>
      </c>
      <c r="AD185" s="42" t="n">
        <f aca="false">-($D$180+$J$180)*(AD$5=0)+IF(AND(AD$5-$K$180&gt;=1,AD$5-$K$180&lt;=Inputs!$C$13),INDEX($N$183:$AL$183,1,AD$5-$K$180+1)*INDEX($N$184:$AL$184,1,AD$5-$K$180+1),0)-$I$180*((AD$5=Inputs!$C$12)*$C$182*$D$180+(AD$5=Inputs!$C$13)*$D$182*($D$180+Inputs!$C$14))+$I$180*((AD$5=Inputs!$C$15+$K$180)*$E$182*$I$182+(AD$5=Inputs!$C$16+$K$180)*$F$182*$J$182+(AD$5=Inputs!$C$17)*$G$182*$H$180*$H$182)</f>
        <v>15.1900000000001</v>
      </c>
      <c r="AE185" s="42" t="n">
        <f aca="false">-($D$180+$J$180)*(AE$5=0)+IF(AND(AE$5-$K$180&gt;=1,AE$5-$K$180&lt;=Inputs!$C$13),INDEX($N$183:$AL$183,1,AE$5-$K$180+1)*INDEX($N$184:$AL$184,1,AE$5-$K$180+1),0)-$I$180*((AE$5=Inputs!$C$12)*$C$182*$D$180+(AE$5=Inputs!$C$13)*$D$182*($D$180+Inputs!$C$14))+$I$180*((AE$5=Inputs!$C$15+$K$180)*$E$182*$I$182+(AE$5=Inputs!$C$16+$K$180)*$F$182*$J$182+(AE$5=Inputs!$C$17)*$G$182*$H$180*$H$182)</f>
        <v>15.3315555555555</v>
      </c>
      <c r="AF185" s="42" t="n">
        <f aca="false">-($D$180+$J$180)*(AF$5=0)+IF(AND(AF$5-$K$180&gt;=1,AF$5-$K$180&lt;=Inputs!$C$13),INDEX($N$183:$AL$183,1,AF$5-$K$180+1)*INDEX($N$184:$AL$184,1,AF$5-$K$180+1),0)-$I$180*((AF$5=Inputs!$C$12)*$C$182*$D$180+(AF$5=Inputs!$C$13)*$D$182*($D$180+Inputs!$C$14))+$I$180*((AF$5=Inputs!$C$15+$K$180)*$E$182*$I$182+(AF$5=Inputs!$C$16+$K$180)*$F$182*$J$182+(AF$5=Inputs!$C$17)*$G$182*$H$180*$H$182)</f>
        <v>15.4731111111111</v>
      </c>
      <c r="AG185" s="42" t="n">
        <f aca="false">-($D$180+$J$180)*(AG$5=0)+IF(AND(AG$5-$K$180&gt;=1,AG$5-$K$180&lt;=Inputs!$C$13),INDEX($N$183:$AL$183,1,AG$5-$K$180+1)*INDEX($N$184:$AL$184,1,AG$5-$K$180+1),0)-$I$180*((AG$5=Inputs!$C$12)*$C$182*$D$180+(AG$5=Inputs!$C$13)*$D$182*($D$180+Inputs!$C$14))+$I$180*((AG$5=Inputs!$C$15+$K$180)*$E$182*$I$182+(AG$5=Inputs!$C$16+$K$180)*$F$182*$J$182+(AG$5=Inputs!$C$17)*$G$182*$H$180*$H$182)</f>
        <v>15.6146666666667</v>
      </c>
      <c r="AH185" s="42" t="n">
        <f aca="false">-($D$180+$J$180)*(AH$5=0)+IF(AND(AH$5-$K$180&gt;=1,AH$5-$K$180&lt;=Inputs!$C$13),INDEX($N$183:$AL$183,1,AH$5-$K$180+1)*INDEX($N$184:$AL$184,1,AH$5-$K$180+1),0)-$I$180*((AH$5=Inputs!$C$12)*$C$182*$D$180+(AH$5=Inputs!$C$13)*$D$182*($D$180+Inputs!$C$14))+$I$180*((AH$5=Inputs!$C$15+$K$180)*$E$182*$I$182+(AH$5=Inputs!$C$16+$K$180)*$F$182*$J$182+(AH$5=Inputs!$C$17)*$G$182*$H$180*$H$182)</f>
        <v>11.2544444444445</v>
      </c>
      <c r="AI185" s="42" t="n">
        <f aca="false">-($D$180+$J$180)*(AI$5=0)+IF(AND(AI$5-$K$180&gt;=1,AI$5-$K$180&lt;=Inputs!$C$13),INDEX($N$183:$AL$183,1,AI$5-$K$180+1)*INDEX($N$184:$AL$184,1,AI$5-$K$180+1),0)-$I$180*((AI$5=Inputs!$C$12)*$C$182*$D$180+(AI$5=Inputs!$C$13)*$D$182*($D$180+Inputs!$C$14))+$I$180*((AI$5=Inputs!$C$15+$K$180)*$E$182*$I$182+(AI$5=Inputs!$C$16+$K$180)*$F$182*$J$182+(AI$5=Inputs!$C$17)*$G$182*$H$180*$H$182)</f>
        <v>11.3555555555555</v>
      </c>
      <c r="AJ185" s="42" t="n">
        <f aca="false">-($D$180+$J$180)*(AJ$5=0)+IF(AND(AJ$5-$K$180&gt;=1,AJ$5-$K$180&lt;=Inputs!$C$13),INDEX($N$183:$AL$183,1,AJ$5-$K$180+1)*INDEX($N$184:$AL$184,1,AJ$5-$K$180+1),0)-$I$180*((AJ$5=Inputs!$C$12)*$C$182*$D$180+(AJ$5=Inputs!$C$13)*$D$182*($D$180+Inputs!$C$14))+$I$180*((AJ$5=Inputs!$C$15+$K$180)*$E$182*$I$182+(AJ$5=Inputs!$C$16+$K$180)*$F$182*$J$182+(AJ$5=Inputs!$C$17)*$G$182*$H$180*$H$182)</f>
        <v>11.4566666666666</v>
      </c>
      <c r="AK185" s="42" t="n">
        <f aca="false">-($D$180+$J$180)*(AK$5=0)+IF(AND(AK$5-$K$180&gt;=1,AK$5-$K$180&lt;=Inputs!$C$13),INDEX($N$183:$AL$183,1,AK$5-$K$180+1)*INDEX($N$184:$AL$184,1,AK$5-$K$180+1),0)-$I$180*((AK$5=Inputs!$C$12)*$C$182*$D$180+(AK$5=Inputs!$C$13)*$D$182*($D$180+Inputs!$C$14))+$I$180*((AK$5=Inputs!$C$15+$K$180)*$E$182*$I$182+(AK$5=Inputs!$C$16+$K$180)*$F$182*$J$182+(AK$5=Inputs!$C$17)*$G$182*$H$180*$H$182)</f>
        <v>11.5577777777778</v>
      </c>
      <c r="AL185" s="42" t="n">
        <f aca="false">-($D$180+$J$180)*(AL$5=0)+IF(AND(AL$5-$K$180&gt;=1,AL$5-$K$180&lt;=Inputs!$C$13),INDEX($N$183:$AL$183,1,AL$5-$K$180+1)*INDEX($N$184:$AL$184,1,AL$5-$K$180+1),0)-$I$180*((AL$5=Inputs!$C$12)*$C$182*$D$180+(AL$5=Inputs!$C$13)*$D$182*($D$180+Inputs!$C$14))+$I$180*((AL$5=Inputs!$C$15+$K$180)*$E$182*$I$182+(AL$5=Inputs!$C$16+$K$180)*$F$182*$J$182+(AL$5=Inputs!$C$17)*$G$182*$H$180*$H$182)</f>
        <v>11.6588888888889</v>
      </c>
      <c r="AM185" s="42" t="n">
        <f aca="false">-($D$180+$J$180)*(AM$5=0)+IF(AND(AM$5-$K$180&gt;=1,AM$5-$K$180&lt;=Inputs!$C$13),INDEX($N$183:$AL$183,1,AM$5-$K$180+1)*INDEX($N$184:$AL$184,1,AM$5-$K$180+1),0)-$I$180*((AM$5=Inputs!$C$12)*$C$182*$D$180+(AM$5=Inputs!$C$13)*$D$182*($D$180+Inputs!$C$14))+$I$180*((AM$5=Inputs!$C$15+$K$180)*$E$182*$I$182+(AM$5=Inputs!$C$16+$K$180)*$F$182*$J$182+(AM$5=Inputs!$C$17)*$G$182*$H$180*$H$182)</f>
        <v>11.76</v>
      </c>
      <c r="AN185" s="42" t="n">
        <f aca="false">-($D$180+$J$180)*(AN$5=0)+IF(AND(AN$5-$K$180&gt;=1,AN$5-$K$180&lt;=Inputs!$C$13),INDEX($N$183:$AL$183,1,AN$5-$K$180+1)*INDEX($N$184:$AL$184,1,AN$5-$K$180+1),0)-$I$180*((AN$5=Inputs!$C$12)*$C$182*$D$180+(AN$5=Inputs!$C$13)*$D$182*($D$180+Inputs!$C$14))+$I$180*((AN$5=Inputs!$C$15+$K$180)*$E$182*$I$182+(AN$5=Inputs!$C$16+$K$180)*$F$182*$J$182+(AN$5=Inputs!$C$17)*$G$182*$H$180*$H$182)</f>
        <v>0</v>
      </c>
      <c r="AO185" s="42" t="n">
        <f aca="false">-($D$180+$J$180)*(AO$5=0)+IF(AND(AO$5-$K$180&gt;=1,AO$5-$K$180&lt;=Inputs!$C$13),INDEX($N$183:$AL$183,1,AO$5-$K$180+1)*INDEX($N$184:$AL$184,1,AO$5-$K$180+1),0)-$I$180*((AO$5=Inputs!$C$12)*$C$182*$D$180+(AO$5=Inputs!$C$13)*$D$182*($D$180+Inputs!$C$14))+$I$180*((AO$5=Inputs!$C$15+$K$180)*$E$182*$I$182+(AO$5=Inputs!$C$16+$K$180)*$F$182*$J$182+(AO$5=Inputs!$C$17)*$G$182*$H$180*$H$182)</f>
        <v>0</v>
      </c>
      <c r="AP185" s="42" t="n">
        <f aca="false">-($D$180+$J$180)*(AP$5=0)+IF(AND(AP$5-$K$180&gt;=1,AP$5-$K$180&lt;=Inputs!$C$13),INDEX($N$183:$AL$183,1,AP$5-$K$180+1)*INDEX($N$184:$AL$184,1,AP$5-$K$180+1),0)-$I$180*((AP$5=Inputs!$C$12)*$C$182*$D$180+(AP$5=Inputs!$C$13)*$D$182*($D$180+Inputs!$C$14))+$I$180*((AP$5=Inputs!$C$15+$K$180)*$E$182*$I$182+(AP$5=Inputs!$C$16+$K$180)*$F$182*$J$182+(AP$5=Inputs!$C$17)*$G$182*$H$180*$H$182)</f>
        <v>0</v>
      </c>
      <c r="AQ185" s="42" t="n">
        <f aca="false">-($D$180+$J$180)*(AQ$5=0)+IF(AND(AQ$5-$K$180&gt;=1,AQ$5-$K$180&lt;=Inputs!$C$13),INDEX($N$183:$AL$183,1,AQ$5-$K$180+1)*INDEX($N$184:$AL$184,1,AQ$5-$K$180+1),0)-$I$180*((AQ$5=Inputs!$C$12)*$C$182*$D$180+(AQ$5=Inputs!$C$13)*$D$182*($D$180+Inputs!$C$14))+$I$180*((AQ$5=Inputs!$C$15+$K$180)*$E$182*$I$182+(AQ$5=Inputs!$C$16+$K$180)*$F$182*$J$182+(AQ$5=Inputs!$C$17)*$G$182*$H$180*$H$182)</f>
        <v>0</v>
      </c>
      <c r="AR185" s="42" t="n">
        <f aca="false">-($D$180+$J$180)*(AR$5=0)+IF(AND(AR$5-$K$180&gt;=1,AR$5-$K$180&lt;=Inputs!$C$13),INDEX($N$183:$AL$183,1,AR$5-$K$180+1)*INDEX($N$184:$AL$184,1,AR$5-$K$180+1),0)-$I$180*((AR$5=Inputs!$C$12)*$C$182*$D$180+(AR$5=Inputs!$C$13)*$D$182*($D$180+Inputs!$C$14))+$I$180*((AR$5=Inputs!$C$15+$K$180)*$E$182*$I$182+(AR$5=Inputs!$C$16+$K$180)*$F$182*$J$182+(AR$5=Inputs!$C$17)*$G$182*$H$180*$H$182)</f>
        <v>0</v>
      </c>
      <c r="AS185" s="42" t="n">
        <f aca="false">-($D$180+$J$180)*(AS$5=0)+IF(AND(AS$5-$K$180&gt;=1,AS$5-$K$180&lt;=Inputs!$C$13),INDEX($N$183:$AL$183,1,AS$5-$K$180+1)*INDEX($N$184:$AL$184,1,AS$5-$K$180+1),0)-$I$180*((AS$5=Inputs!$C$12)*$C$182*$D$180+(AS$5=Inputs!$C$13)*$D$182*($D$180+Inputs!$C$14))+$I$180*((AS$5=Inputs!$C$15+$K$180)*$E$182*$I$182+(AS$5=Inputs!$C$16+$K$180)*$F$182*$J$182+(AS$5=Inputs!$C$17)*$G$182*$H$180*$H$182)</f>
        <v>0</v>
      </c>
      <c r="AT185" s="42" t="n">
        <f aca="false">-($D$180+$J$180)*(AT$5=0)+IF(AND(AT$5-$K$180&gt;=1,AT$5-$K$180&lt;=Inputs!$C$13),INDEX($N$183:$AL$183,1,AT$5-$K$180+1)*INDEX($N$184:$AL$184,1,AT$5-$K$180+1),0)-$I$180*((AT$5=Inputs!$C$12)*$C$182*$D$180+(AT$5=Inputs!$C$13)*$D$182*($D$180+Inputs!$C$14))+$I$180*((AT$5=Inputs!$C$15+$K$180)*$E$182*$I$182+(AT$5=Inputs!$C$16+$K$180)*$F$182*$J$182+(AT$5=Inputs!$C$17)*$G$182*$H$180*$H$182)</f>
        <v>0</v>
      </c>
      <c r="AU185" s="42" t="n">
        <f aca="false">-($D$180+$J$180)*(AU$5=0)+IF(AND(AU$5-$K$180&gt;=1,AU$5-$K$180&lt;=Inputs!$C$13),INDEX($N$183:$AL$183,1,AU$5-$K$180+1)*INDEX($N$184:$AL$184,1,AU$5-$K$180+1),0)-$I$180*((AU$5=Inputs!$C$12)*$C$182*$D$180+(AU$5=Inputs!$C$13)*$D$182*($D$180+Inputs!$C$14))+$I$180*((AU$5=Inputs!$C$15+$K$180)*$E$182*$I$182+(AU$5=Inputs!$C$16+$K$180)*$F$182*$J$182+(AU$5=Inputs!$C$17)*$G$182*$H$180*$H$182)</f>
        <v>0</v>
      </c>
      <c r="AV185" s="42" t="n">
        <f aca="false">-($D$180+$J$180)*(AV$5=0)+IF(AND(AV$5-$K$180&gt;=1,AV$5-$K$180&lt;=Inputs!$C$13),INDEX($N$183:$AL$183,1,AV$5-$K$180+1)*INDEX($N$184:$AL$184,1,AV$5-$K$180+1),0)-$I$180*((AV$5=Inputs!$C$12)*$C$182*$D$180+(AV$5=Inputs!$C$13)*$D$182*($D$180+Inputs!$C$14))+$I$180*((AV$5=Inputs!$C$15+$K$180)*$E$182*$I$182+(AV$5=Inputs!$C$16+$K$180)*$F$182*$J$182+(AV$5=Inputs!$C$17)*$G$182*$H$180*$H$182)</f>
        <v>0</v>
      </c>
      <c r="AW185" s="42" t="n">
        <f aca="false">-($D$180+$J$180)*(AW$5=0)+IF(AND(AW$5-$K$180&gt;=1,AW$5-$K$180&lt;=Inputs!$C$13),INDEX($N$183:$AL$183,1,AW$5-$K$180+1)*INDEX($N$184:$AL$184,1,AW$5-$K$180+1),0)-$I$180*((AW$5=Inputs!$C$12)*$C$182*$D$180+(AW$5=Inputs!$C$13)*$D$182*($D$180+Inputs!$C$14))+$I$180*((AW$5=Inputs!$C$15+$K$180)*$E$182*$I$182+(AW$5=Inputs!$C$16+$K$180)*$F$182*$J$182+(AW$5=Inputs!$C$17)*$G$182*$H$180*$H$182)</f>
        <v>0</v>
      </c>
      <c r="AX185" s="42" t="n">
        <f aca="false">-($D$180+$J$180)*(AX$5=0)+IF(AND(AX$5-$K$180&gt;=1,AX$5-$K$180&lt;=Inputs!$C$13),INDEX($N$183:$AL$183,1,AX$5-$K$180+1)*INDEX($N$184:$AL$184,1,AX$5-$K$180+1),0)-$I$180*((AX$5=Inputs!$C$12)*$C$182*$D$180+(AX$5=Inputs!$C$13)*$D$182*($D$180+Inputs!$C$14))+$I$180*((AX$5=Inputs!$C$15+$K$180)*$E$182*$I$182+(AX$5=Inputs!$C$16+$K$180)*$F$182*$J$182+(AX$5=Inputs!$C$17)*$G$182*$H$180*$H$182)</f>
        <v>0</v>
      </c>
      <c r="AY185" s="42" t="n">
        <f aca="false">-($D$180+$J$180)*(AY$5=0)+IF(AND(AY$5-$K$180&gt;=1,AY$5-$K$180&lt;=Inputs!$C$13),INDEX($N$183:$AL$183,1,AY$5-$K$180+1)*INDEX($N$184:$AL$184,1,AY$5-$K$180+1),0)-$I$180*((AY$5=Inputs!$C$12)*$C$182*$D$180+(AY$5=Inputs!$C$13)*$D$182*($D$180+Inputs!$C$14))+$I$180*((AY$5=Inputs!$C$15+$K$180)*$E$182*$I$182+(AY$5=Inputs!$C$16+$K$180)*$F$182*$J$182+(AY$5=Inputs!$C$17)*$G$182*$H$180*$H$182)</f>
        <v>0</v>
      </c>
    </row>
    <row r="187" customFormat="false" ht="15" hidden="false" customHeight="false" outlineLevel="0" collapsed="false">
      <c r="B187" s="7" t="s">
        <v>261</v>
      </c>
      <c r="C187" s="8"/>
      <c r="D187" s="8"/>
      <c r="E187" s="8"/>
      <c r="F187" s="8"/>
      <c r="G187" s="8"/>
      <c r="H187" s="8"/>
      <c r="I187" s="8"/>
      <c r="J187" s="8"/>
      <c r="K187" s="8"/>
      <c r="L187" s="8"/>
    </row>
    <row r="188" customFormat="false" ht="30" hidden="false" customHeight="true" outlineLevel="0" collapsed="false">
      <c r="B188" s="37"/>
      <c r="C188" s="38" t="s">
        <v>169</v>
      </c>
      <c r="D188" s="38" t="s">
        <v>170</v>
      </c>
      <c r="E188" s="38" t="s">
        <v>171</v>
      </c>
      <c r="F188" s="38" t="s">
        <v>43</v>
      </c>
      <c r="G188" s="38" t="s">
        <v>44</v>
      </c>
      <c r="H188" s="38" t="s">
        <v>45</v>
      </c>
      <c r="I188" s="38" t="s">
        <v>172</v>
      </c>
      <c r="J188" s="38" t="s">
        <v>90</v>
      </c>
      <c r="K188" s="38" t="s">
        <v>89</v>
      </c>
      <c r="L188" s="38" t="s">
        <v>173</v>
      </c>
    </row>
    <row r="189" customFormat="false" ht="15" hidden="false" customHeight="false" outlineLevel="0" collapsed="false">
      <c r="B189" s="39" t="s">
        <v>174</v>
      </c>
      <c r="C189" s="26" t="n">
        <f aca="false">Inputs!$F$39*Inputs!$E$59</f>
        <v>0.005</v>
      </c>
      <c r="D189" s="30" t="n">
        <f aca="false">Inputs!$E$39</f>
        <v>4200</v>
      </c>
      <c r="E189" s="26" t="n">
        <f aca="false">IF(Inputs!$G$39=1,Inputs!$F$27,MIN(1,MAX(0,INDEX(Inputs!$F$23:$F$27,MATCH(Inputs!$C$39,Inputs!$B$23:$B$27,0))+INDEX(Inputs!$C$48:$C$51,MATCH(Inputs!$D$59,Inputs!$B$48:$B$51,0)))))</f>
        <v>0.885</v>
      </c>
      <c r="F189" s="25" t="n">
        <f aca="false">IF(Inputs!$G$39=1,Inputs!$G$27,INDEX(Inputs!$G$23:$G$27,MATCH(Inputs!$C$39,Inputs!$B$23:$B$27,0)))</f>
        <v>0.8</v>
      </c>
      <c r="G189" s="25" t="n">
        <f aca="false">IF(Inputs!$G$39=1,Inputs!$H$27,INDEX(Inputs!$H$23:$H$27,MATCH(Inputs!$C$39,Inputs!$B$23:$B$27,0)))*INDEX(Inputs!$D$48:$D$51,MATCH(Inputs!$D$59,Inputs!$B$48:$B$51,0))</f>
        <v>0.475</v>
      </c>
      <c r="H189" s="25" t="n">
        <f aca="false">MAX(0,IF(Inputs!$G$39=1,Inputs!$I$27,INDEX(Inputs!$I$23:$I$27,MATCH(Inputs!$C$39,Inputs!$B$23:$B$27,0)))+INDEX(Inputs!$E$48:$E$51,MATCH(Inputs!$D$59,Inputs!$B$48:$B$51,0)))</f>
        <v>0.7</v>
      </c>
      <c r="I189" s="22" t="n">
        <f aca="false">IF(Inputs!$G$39=1,0,INDEX(Inputs!$J$23:$J$27,MATCH(Inputs!$C$39,Inputs!$B$23:$B$27,0)))</f>
        <v>1</v>
      </c>
      <c r="J189" s="23" t="n">
        <f aca="false">Inputs!$G$59</f>
        <v>10</v>
      </c>
      <c r="K189" s="22" t="n">
        <f aca="false">Inputs!$F$59</f>
        <v>1</v>
      </c>
      <c r="L189" s="22" t="n">
        <f aca="false">Inputs!$C$59</f>
        <v>1</v>
      </c>
    </row>
    <row r="190" customFormat="false" ht="30" hidden="false" customHeight="true" outlineLevel="0" collapsed="false">
      <c r="B190" s="37"/>
      <c r="C190" s="38" t="s">
        <v>175</v>
      </c>
      <c r="D190" s="38" t="s">
        <v>176</v>
      </c>
      <c r="E190" s="38" t="s">
        <v>177</v>
      </c>
      <c r="F190" s="38" t="s">
        <v>178</v>
      </c>
      <c r="G190" s="38" t="s">
        <v>112</v>
      </c>
      <c r="H190" s="38" t="s">
        <v>179</v>
      </c>
      <c r="I190" s="38" t="s">
        <v>180</v>
      </c>
      <c r="J190" s="38" t="s">
        <v>181</v>
      </c>
      <c r="K190" s="38" t="s">
        <v>182</v>
      </c>
      <c r="L190" s="38" t="s">
        <v>183</v>
      </c>
    </row>
    <row r="191" customFormat="false" ht="15" hidden="false" customHeight="false" outlineLevel="0" collapsed="false">
      <c r="B191" s="39" t="s">
        <v>184</v>
      </c>
      <c r="C191" s="40" t="n">
        <f aca="false">1-$E$189*CHOOSE($L$189,INDEX(Timing!$C$7:$AA$7,1,Inputs!$C$12+1),INDEX(Timing!$C$8:$AA$8,1,Inputs!$C$12+1))</f>
        <v>0.3274</v>
      </c>
      <c r="D191" s="40" t="n">
        <f aca="false">1-$E$189*CHOOSE($L$189,INDEX(Timing!$C$7:$AA$7,1,Inputs!$C$13+1),INDEX(Timing!$C$8:$AA$8,1,Inputs!$C$13+1))</f>
        <v>0.115</v>
      </c>
      <c r="E191" s="40" t="n">
        <f aca="false">$I$189*$D$191*$F$189</f>
        <v>0.092</v>
      </c>
      <c r="F191" s="40" t="n">
        <f aca="false">$I$189*($D$191-$E$191)*$G$189</f>
        <v>0.010925</v>
      </c>
      <c r="G191" s="40" t="n">
        <f aca="false">$I$189*($D$191-$E$191-$F$191)</f>
        <v>0.012075</v>
      </c>
      <c r="H191" s="23" t="n">
        <f aca="false">$I$189*(3*$D$189+Inputs!$C$14)</f>
        <v>14400</v>
      </c>
      <c r="I191" s="23" t="n">
        <f aca="false">$I$189*($D$189*(1+IF($C$189&lt;=0,0,MAX($C$189*Inputs!$C$15/12,Inputs!$C$8)))+$D$189*(1+Inputs!$C$11*(Inputs!$C$15-Inputs!$C$12)/12)+$D$189*(1+Inputs!$C$11*(Inputs!$C$15-Inputs!$C$13)/12)+Inputs!$C$14)</f>
        <v>15744</v>
      </c>
      <c r="J191" s="23" t="n">
        <f aca="false">$I$189*($D$189*(1+IF($C$189&lt;=0,0,MAX($C$189*Inputs!$C$16/12,Inputs!$C$8)))+$D$189*(1+Inputs!$C$11*(Inputs!$C$16-Inputs!$C$12)/12)+$D$189*(1+Inputs!$C$11*(Inputs!$C$16-Inputs!$C$13)/12)+Inputs!$C$14)</f>
        <v>16122</v>
      </c>
      <c r="K191" s="40" t="n">
        <f aca="false">IRR($N$194:$AY$194,0.005)</f>
        <v>0.0051314261477956</v>
      </c>
      <c r="L191" s="41" t="n">
        <f aca="false">(1+$K$191)^12-1</f>
        <v>0.0633450671121123</v>
      </c>
    </row>
    <row r="192" customFormat="false" ht="15" hidden="false" customHeight="false" outlineLevel="0" collapsed="false">
      <c r="B192" s="9" t="s">
        <v>185</v>
      </c>
      <c r="N192" s="40" t="n">
        <f aca="false">0</f>
        <v>0</v>
      </c>
      <c r="O192" s="40" t="n">
        <f aca="false">$E$189*(CHOOSE($L$189,Timing!D$7,Timing!D$8)-CHOOSE($L$189,Timing!C$7,Timing!C$8))</f>
        <v>0.1062</v>
      </c>
      <c r="P192" s="40" t="n">
        <f aca="false">$E$189*(CHOOSE($L$189,Timing!E$7,Timing!E$8)-CHOOSE($L$189,Timing!D$7,Timing!D$8))</f>
        <v>0.0885</v>
      </c>
      <c r="Q192" s="40" t="n">
        <f aca="false">$E$189*(CHOOSE($L$189,Timing!F$7,Timing!F$8)-CHOOSE($L$189,Timing!E$7,Timing!E$8))</f>
        <v>0.07965</v>
      </c>
      <c r="R192" s="40" t="n">
        <f aca="false">$E$189*(CHOOSE($L$189,Timing!G$7,Timing!G$8)-CHOOSE($L$189,Timing!F$7,Timing!F$8))</f>
        <v>0.06195</v>
      </c>
      <c r="S192" s="40" t="n">
        <f aca="false">$E$189*(CHOOSE($L$189,Timing!H$7,Timing!H$8)-CHOOSE($L$189,Timing!G$7,Timing!G$8))</f>
        <v>0.06195</v>
      </c>
      <c r="T192" s="40" t="n">
        <f aca="false">$E$189*(CHOOSE($L$189,Timing!I$7,Timing!I$8)-CHOOSE($L$189,Timing!H$7,Timing!H$8))</f>
        <v>0.06195</v>
      </c>
      <c r="U192" s="40" t="n">
        <f aca="false">$E$189*(CHOOSE($L$189,Timing!J$7,Timing!J$8)-CHOOSE($L$189,Timing!I$7,Timing!I$8))</f>
        <v>0.03835</v>
      </c>
      <c r="V192" s="40" t="n">
        <f aca="false">$E$189*(CHOOSE($L$189,Timing!K$7,Timing!K$8)-CHOOSE($L$189,Timing!J$7,Timing!J$8))</f>
        <v>0.03835</v>
      </c>
      <c r="W192" s="40" t="n">
        <f aca="false">$E$189*(CHOOSE($L$189,Timing!L$7,Timing!L$8)-CHOOSE($L$189,Timing!K$7,Timing!K$8))</f>
        <v>0.03835</v>
      </c>
      <c r="X192" s="40" t="n">
        <f aca="false">$E$189*(CHOOSE($L$189,Timing!M$7,Timing!M$8)-CHOOSE($L$189,Timing!L$7,Timing!L$8))</f>
        <v>0.03245</v>
      </c>
      <c r="Y192" s="40" t="n">
        <f aca="false">$E$189*(CHOOSE($L$189,Timing!N$7,Timing!N$8)-CHOOSE($L$189,Timing!M$7,Timing!M$8))</f>
        <v>0.0324500000000001</v>
      </c>
      <c r="Z192" s="40" t="n">
        <f aca="false">$E$189*(CHOOSE($L$189,Timing!O$7,Timing!O$8)-CHOOSE($L$189,Timing!N$7,Timing!N$8))</f>
        <v>0.03245</v>
      </c>
      <c r="AA192" s="40" t="n">
        <f aca="false">$E$189*(CHOOSE($L$189,Timing!P$7,Timing!P$8)-CHOOSE($L$189,Timing!O$7,Timing!O$8))</f>
        <v>0.02065</v>
      </c>
      <c r="AB192" s="40" t="n">
        <f aca="false">$E$189*(CHOOSE($L$189,Timing!Q$7,Timing!Q$8)-CHOOSE($L$189,Timing!P$7,Timing!P$8))</f>
        <v>0.02065</v>
      </c>
      <c r="AC192" s="40" t="n">
        <f aca="false">$E$189*(CHOOSE($L$189,Timing!R$7,Timing!R$8)-CHOOSE($L$189,Timing!Q$7,Timing!Q$8))</f>
        <v>0.0206500000000001</v>
      </c>
      <c r="AD192" s="40" t="n">
        <f aca="false">$E$189*(CHOOSE($L$189,Timing!S$7,Timing!S$8)-CHOOSE($L$189,Timing!R$7,Timing!R$8))</f>
        <v>0.02065</v>
      </c>
      <c r="AE192" s="40" t="n">
        <f aca="false">$E$189*(CHOOSE($L$189,Timing!T$7,Timing!T$8)-CHOOSE($L$189,Timing!S$7,Timing!S$8))</f>
        <v>0.02065</v>
      </c>
      <c r="AF192" s="40" t="n">
        <f aca="false">$E$189*(CHOOSE($L$189,Timing!U$7,Timing!U$8)-CHOOSE($L$189,Timing!T$7,Timing!T$8))</f>
        <v>0.02065</v>
      </c>
      <c r="AG192" s="40" t="n">
        <f aca="false">$E$189*(CHOOSE($L$189,Timing!V$7,Timing!V$8)-CHOOSE($L$189,Timing!U$7,Timing!U$8))</f>
        <v>0.01475</v>
      </c>
      <c r="AH192" s="40" t="n">
        <f aca="false">$E$189*(CHOOSE($L$189,Timing!W$7,Timing!W$8)-CHOOSE($L$189,Timing!V$7,Timing!V$8))</f>
        <v>0.0147499999999999</v>
      </c>
      <c r="AI192" s="40" t="n">
        <f aca="false">$E$189*(CHOOSE($L$189,Timing!X$7,Timing!X$8)-CHOOSE($L$189,Timing!W$7,Timing!W$8))</f>
        <v>0.0147499999999999</v>
      </c>
      <c r="AJ192" s="40" t="n">
        <f aca="false">$E$189*(CHOOSE($L$189,Timing!Y$7,Timing!Y$8)-CHOOSE($L$189,Timing!X$7,Timing!X$8))</f>
        <v>0.01475</v>
      </c>
      <c r="AK192" s="40" t="n">
        <f aca="false">$E$189*(CHOOSE($L$189,Timing!Z$7,Timing!Z$8)-CHOOSE($L$189,Timing!Y$7,Timing!Y$8))</f>
        <v>0.01475</v>
      </c>
      <c r="AL192" s="40" t="n">
        <f aca="false">$E$189*(CHOOSE($L$189,Timing!AA$7,Timing!AA$8)-CHOOSE($L$189,Timing!Z$7,Timing!Z$8))</f>
        <v>0.0147499999999999</v>
      </c>
    </row>
    <row r="193" customFormat="false" ht="15" hidden="false" customHeight="false" outlineLevel="0" collapsed="false">
      <c r="B193" s="9" t="s">
        <v>186</v>
      </c>
      <c r="N193" s="42" t="n">
        <f aca="false">0</f>
        <v>0</v>
      </c>
      <c r="O193" s="42" t="n">
        <f aca="false">$D$189*(1+IF($C$189&lt;=0,0,MAX($C$189*O$5/12,Inputs!$C$8)))+$I$189*(O$5&gt;Inputs!$C$12)*$D$189*(1+Inputs!$C$11*(O$5-Inputs!$C$12)/12)</f>
        <v>4410</v>
      </c>
      <c r="P193" s="42" t="n">
        <f aca="false">$D$189*(1+IF($C$189&lt;=0,0,MAX($C$189*P$5/12,Inputs!$C$8)))+$I$189*(P$5&gt;Inputs!$C$12)*$D$189*(1+Inputs!$C$11*(P$5-Inputs!$C$12)/12)</f>
        <v>4410</v>
      </c>
      <c r="Q193" s="42" t="n">
        <f aca="false">$D$189*(1+IF($C$189&lt;=0,0,MAX($C$189*Q$5/12,Inputs!$C$8)))+$I$189*(Q$5&gt;Inputs!$C$12)*$D$189*(1+Inputs!$C$11*(Q$5-Inputs!$C$12)/12)</f>
        <v>4410</v>
      </c>
      <c r="R193" s="42" t="n">
        <f aca="false">$D$189*(1+IF($C$189&lt;=0,0,MAX($C$189*R$5/12,Inputs!$C$8)))+$I$189*(R$5&gt;Inputs!$C$12)*$D$189*(1+Inputs!$C$11*(R$5-Inputs!$C$12)/12)</f>
        <v>4410</v>
      </c>
      <c r="S193" s="42" t="n">
        <f aca="false">$D$189*(1+IF($C$189&lt;=0,0,MAX($C$189*S$5/12,Inputs!$C$8)))+$I$189*(S$5&gt;Inputs!$C$12)*$D$189*(1+Inputs!$C$11*(S$5-Inputs!$C$12)/12)</f>
        <v>4410</v>
      </c>
      <c r="T193" s="42" t="n">
        <f aca="false">$D$189*(1+IF($C$189&lt;=0,0,MAX($C$189*T$5/12,Inputs!$C$8)))+$I$189*(T$5&gt;Inputs!$C$12)*$D$189*(1+Inputs!$C$11*(T$5-Inputs!$C$12)/12)</f>
        <v>4410</v>
      </c>
      <c r="U193" s="42" t="n">
        <f aca="false">$D$189*(1+IF($C$189&lt;=0,0,MAX($C$189*U$5/12,Inputs!$C$8)))+$I$189*(U$5&gt;Inputs!$C$12)*$D$189*(1+Inputs!$C$11*(U$5-Inputs!$C$12)/12)</f>
        <v>4410</v>
      </c>
      <c r="V193" s="42" t="n">
        <f aca="false">$D$189*(1+IF($C$189&lt;=0,0,MAX($C$189*V$5/12,Inputs!$C$8)))+$I$189*(V$5&gt;Inputs!$C$12)*$D$189*(1+Inputs!$C$11*(V$5-Inputs!$C$12)/12)</f>
        <v>4410</v>
      </c>
      <c r="W193" s="42" t="n">
        <f aca="false">$D$189*(1+IF($C$189&lt;=0,0,MAX($C$189*W$5/12,Inputs!$C$8)))+$I$189*(W$5&gt;Inputs!$C$12)*$D$189*(1+Inputs!$C$11*(W$5-Inputs!$C$12)/12)</f>
        <v>4410</v>
      </c>
      <c r="X193" s="42" t="n">
        <f aca="false">$D$189*(1+IF($C$189&lt;=0,0,MAX($C$189*X$5/12,Inputs!$C$8)))+$I$189*(X$5&gt;Inputs!$C$12)*$D$189*(1+Inputs!$C$11*(X$5-Inputs!$C$12)/12)</f>
        <v>4410</v>
      </c>
      <c r="Y193" s="42" t="n">
        <f aca="false">$D$189*(1+IF($C$189&lt;=0,0,MAX($C$189*Y$5/12,Inputs!$C$8)))+$I$189*(Y$5&gt;Inputs!$C$12)*$D$189*(1+Inputs!$C$11*(Y$5-Inputs!$C$12)/12)</f>
        <v>4410</v>
      </c>
      <c r="Z193" s="42" t="n">
        <f aca="false">$D$189*(1+IF($C$189&lt;=0,0,MAX($C$189*Z$5/12,Inputs!$C$8)))+$I$189*(Z$5&gt;Inputs!$C$12)*$D$189*(1+Inputs!$C$11*(Z$5-Inputs!$C$12)/12)</f>
        <v>4410</v>
      </c>
      <c r="AA193" s="42" t="n">
        <f aca="false">$D$189*(1+IF($C$189&lt;=0,0,MAX($C$189*AA$5/12,Inputs!$C$8)))+$I$189*(AA$5&gt;Inputs!$C$12)*$D$189*(1+Inputs!$C$11*(AA$5-Inputs!$C$12)/12)</f>
        <v>8673</v>
      </c>
      <c r="AB193" s="42" t="n">
        <f aca="false">$D$189*(1+IF($C$189&lt;=0,0,MAX($C$189*AB$5/12,Inputs!$C$8)))+$I$189*(AB$5&gt;Inputs!$C$12)*$D$189*(1+Inputs!$C$11*(AB$5-Inputs!$C$12)/12)</f>
        <v>8736</v>
      </c>
      <c r="AC193" s="42" t="n">
        <f aca="false">$D$189*(1+IF($C$189&lt;=0,0,MAX($C$189*AC$5/12,Inputs!$C$8)))+$I$189*(AC$5&gt;Inputs!$C$12)*$D$189*(1+Inputs!$C$11*(AC$5-Inputs!$C$12)/12)</f>
        <v>8799</v>
      </c>
      <c r="AD193" s="42" t="n">
        <f aca="false">$D$189*(1+IF($C$189&lt;=0,0,MAX($C$189*AD$5/12,Inputs!$C$8)))+$I$189*(AD$5&gt;Inputs!$C$12)*$D$189*(1+Inputs!$C$11*(AD$5-Inputs!$C$12)/12)</f>
        <v>8862</v>
      </c>
      <c r="AE193" s="42" t="n">
        <f aca="false">$D$189*(1+IF($C$189&lt;=0,0,MAX($C$189*AE$5/12,Inputs!$C$8)))+$I$189*(AE$5&gt;Inputs!$C$12)*$D$189*(1+Inputs!$C$11*(AE$5-Inputs!$C$12)/12)</f>
        <v>8925</v>
      </c>
      <c r="AF193" s="42" t="n">
        <f aca="false">$D$189*(1+IF($C$189&lt;=0,0,MAX($C$189*AF$5/12,Inputs!$C$8)))+$I$189*(AF$5&gt;Inputs!$C$12)*$D$189*(1+Inputs!$C$11*(AF$5-Inputs!$C$12)/12)</f>
        <v>8988</v>
      </c>
      <c r="AG193" s="42" t="n">
        <f aca="false">$D$189*(1+IF($C$189&lt;=0,0,MAX($C$189*AG$5/12,Inputs!$C$8)))+$I$189*(AG$5&gt;Inputs!$C$12)*$D$189*(1+Inputs!$C$11*(AG$5-Inputs!$C$12)/12)</f>
        <v>9051</v>
      </c>
      <c r="AH193" s="42" t="n">
        <f aca="false">$D$189*(1+IF($C$189&lt;=0,0,MAX($C$189*AH$5/12,Inputs!$C$8)))+$I$189*(AH$5&gt;Inputs!$C$12)*$D$189*(1+Inputs!$C$11*(AH$5-Inputs!$C$12)/12)</f>
        <v>9114</v>
      </c>
      <c r="AI193" s="42" t="n">
        <f aca="false">$D$189*(1+IF($C$189&lt;=0,0,MAX($C$189*AI$5/12,Inputs!$C$8)))+$I$189*(AI$5&gt;Inputs!$C$12)*$D$189*(1+Inputs!$C$11*(AI$5-Inputs!$C$12)/12)</f>
        <v>9177</v>
      </c>
      <c r="AJ193" s="42" t="n">
        <f aca="false">$D$189*(1+IF($C$189&lt;=0,0,MAX($C$189*AJ$5/12,Inputs!$C$8)))+$I$189*(AJ$5&gt;Inputs!$C$12)*$D$189*(1+Inputs!$C$11*(AJ$5-Inputs!$C$12)/12)</f>
        <v>9240</v>
      </c>
      <c r="AK193" s="42" t="n">
        <f aca="false">$D$189*(1+IF($C$189&lt;=0,0,MAX($C$189*AK$5/12,Inputs!$C$8)))+$I$189*(AK$5&gt;Inputs!$C$12)*$D$189*(1+Inputs!$C$11*(AK$5-Inputs!$C$12)/12)</f>
        <v>9303</v>
      </c>
      <c r="AL193" s="42" t="n">
        <f aca="false">$D$189*(1+IF($C$189&lt;=0,0,MAX($C$189*AL$5/12,Inputs!$C$8)))+$I$189*(AL$5&gt;Inputs!$C$12)*$D$189*(1+Inputs!$C$11*(AL$5-Inputs!$C$12)/12)</f>
        <v>9366</v>
      </c>
    </row>
    <row r="194" customFormat="false" ht="15" hidden="false" customHeight="false" outlineLevel="0" collapsed="false">
      <c r="B194" s="31" t="s">
        <v>187</v>
      </c>
      <c r="N194" s="42" t="n">
        <f aca="false">-($D$189+$J$189)*(N$5=0)+IF(AND(N$5-$K$189&gt;=1,N$5-$K$189&lt;=Inputs!$C$13),INDEX($N$192:$AL$192,1,N$5-$K$189+1)*INDEX($N$193:$AL$193,1,N$5-$K$189+1),0)-$I$189*((N$5=Inputs!$C$12)*$C$191*$D$189+(N$5=Inputs!$C$13)*$D$191*($D$189+Inputs!$C$14))+$I$189*((N$5=Inputs!$C$15+$K$189)*$E$191*$I$191+(N$5=Inputs!$C$16+$K$189)*$F$191*$J$191+(N$5=Inputs!$C$17)*$G$191*$H$189*$H$191)</f>
        <v>-4210</v>
      </c>
      <c r="O194" s="42" t="n">
        <f aca="false">-($D$189+$J$189)*(O$5=0)+IF(AND(O$5-$K$189&gt;=1,O$5-$K$189&lt;=Inputs!$C$13),INDEX($N$192:$AL$192,1,O$5-$K$189+1)*INDEX($N$193:$AL$193,1,O$5-$K$189+1),0)-$I$189*((O$5=Inputs!$C$12)*$C$191*$D$189+(O$5=Inputs!$C$13)*$D$191*($D$189+Inputs!$C$14))+$I$189*((O$5=Inputs!$C$15+$K$189)*$E$191*$I$191+(O$5=Inputs!$C$16+$K$189)*$F$191*$J$191+(O$5=Inputs!$C$17)*$G$191*$H$189*$H$191)</f>
        <v>0</v>
      </c>
      <c r="P194" s="42" t="n">
        <f aca="false">-($D$189+$J$189)*(P$5=0)+IF(AND(P$5-$K$189&gt;=1,P$5-$K$189&lt;=Inputs!$C$13),INDEX($N$192:$AL$192,1,P$5-$K$189+1)*INDEX($N$193:$AL$193,1,P$5-$K$189+1),0)-$I$189*((P$5=Inputs!$C$12)*$C$191*$D$189+(P$5=Inputs!$C$13)*$D$191*($D$189+Inputs!$C$14))+$I$189*((P$5=Inputs!$C$15+$K$189)*$E$191*$I$191+(P$5=Inputs!$C$16+$K$189)*$F$191*$J$191+(P$5=Inputs!$C$17)*$G$191*$H$189*$H$191)</f>
        <v>468.342</v>
      </c>
      <c r="Q194" s="42" t="n">
        <f aca="false">-($D$189+$J$189)*(Q$5=0)+IF(AND(Q$5-$K$189&gt;=1,Q$5-$K$189&lt;=Inputs!$C$13),INDEX($N$192:$AL$192,1,Q$5-$K$189+1)*INDEX($N$193:$AL$193,1,Q$5-$K$189+1),0)-$I$189*((Q$5=Inputs!$C$12)*$C$191*$D$189+(Q$5=Inputs!$C$13)*$D$191*($D$189+Inputs!$C$14))+$I$189*((Q$5=Inputs!$C$15+$K$189)*$E$191*$I$191+(Q$5=Inputs!$C$16+$K$189)*$F$191*$J$191+(Q$5=Inputs!$C$17)*$G$191*$H$189*$H$191)</f>
        <v>390.285</v>
      </c>
      <c r="R194" s="42" t="n">
        <f aca="false">-($D$189+$J$189)*(R$5=0)+IF(AND(R$5-$K$189&gt;=1,R$5-$K$189&lt;=Inputs!$C$13),INDEX($N$192:$AL$192,1,R$5-$K$189+1)*INDEX($N$193:$AL$193,1,R$5-$K$189+1),0)-$I$189*((R$5=Inputs!$C$12)*$C$191*$D$189+(R$5=Inputs!$C$13)*$D$191*($D$189+Inputs!$C$14))+$I$189*((R$5=Inputs!$C$15+$K$189)*$E$191*$I$191+(R$5=Inputs!$C$16+$K$189)*$F$191*$J$191+(R$5=Inputs!$C$17)*$G$191*$H$189*$H$191)</f>
        <v>351.2565</v>
      </c>
      <c r="S194" s="42" t="n">
        <f aca="false">-($D$189+$J$189)*(S$5=0)+IF(AND(S$5-$K$189&gt;=1,S$5-$K$189&lt;=Inputs!$C$13),INDEX($N$192:$AL$192,1,S$5-$K$189+1)*INDEX($N$193:$AL$193,1,S$5-$K$189+1),0)-$I$189*((S$5=Inputs!$C$12)*$C$191*$D$189+(S$5=Inputs!$C$13)*$D$191*($D$189+Inputs!$C$14))+$I$189*((S$5=Inputs!$C$15+$K$189)*$E$191*$I$191+(S$5=Inputs!$C$16+$K$189)*$F$191*$J$191+(S$5=Inputs!$C$17)*$G$191*$H$189*$H$191)</f>
        <v>273.1995</v>
      </c>
      <c r="T194" s="42" t="n">
        <f aca="false">-($D$189+$J$189)*(T$5=0)+IF(AND(T$5-$K$189&gt;=1,T$5-$K$189&lt;=Inputs!$C$13),INDEX($N$192:$AL$192,1,T$5-$K$189+1)*INDEX($N$193:$AL$193,1,T$5-$K$189+1),0)-$I$189*((T$5=Inputs!$C$12)*$C$191*$D$189+(T$5=Inputs!$C$13)*$D$191*($D$189+Inputs!$C$14))+$I$189*((T$5=Inputs!$C$15+$K$189)*$E$191*$I$191+(T$5=Inputs!$C$16+$K$189)*$F$191*$J$191+(T$5=Inputs!$C$17)*$G$191*$H$189*$H$191)</f>
        <v>273.1995</v>
      </c>
      <c r="U194" s="42" t="n">
        <f aca="false">-($D$189+$J$189)*(U$5=0)+IF(AND(U$5-$K$189&gt;=1,U$5-$K$189&lt;=Inputs!$C$13),INDEX($N$192:$AL$192,1,U$5-$K$189+1)*INDEX($N$193:$AL$193,1,U$5-$K$189+1),0)-$I$189*((U$5=Inputs!$C$12)*$C$191*$D$189+(U$5=Inputs!$C$13)*$D$191*($D$189+Inputs!$C$14))+$I$189*((U$5=Inputs!$C$15+$K$189)*$E$191*$I$191+(U$5=Inputs!$C$16+$K$189)*$F$191*$J$191+(U$5=Inputs!$C$17)*$G$191*$H$189*$H$191)</f>
        <v>273.1995</v>
      </c>
      <c r="V194" s="42" t="n">
        <f aca="false">-($D$189+$J$189)*(V$5=0)+IF(AND(V$5-$K$189&gt;=1,V$5-$K$189&lt;=Inputs!$C$13),INDEX($N$192:$AL$192,1,V$5-$K$189+1)*INDEX($N$193:$AL$193,1,V$5-$K$189+1),0)-$I$189*((V$5=Inputs!$C$12)*$C$191*$D$189+(V$5=Inputs!$C$13)*$D$191*($D$189+Inputs!$C$14))+$I$189*((V$5=Inputs!$C$15+$K$189)*$E$191*$I$191+(V$5=Inputs!$C$16+$K$189)*$F$191*$J$191+(V$5=Inputs!$C$17)*$G$191*$H$189*$H$191)</f>
        <v>169.1235</v>
      </c>
      <c r="W194" s="42" t="n">
        <f aca="false">-($D$189+$J$189)*(W$5=0)+IF(AND(W$5-$K$189&gt;=1,W$5-$K$189&lt;=Inputs!$C$13),INDEX($N$192:$AL$192,1,W$5-$K$189+1)*INDEX($N$193:$AL$193,1,W$5-$K$189+1),0)-$I$189*((W$5=Inputs!$C$12)*$C$191*$D$189+(W$5=Inputs!$C$13)*$D$191*($D$189+Inputs!$C$14))+$I$189*((W$5=Inputs!$C$15+$K$189)*$E$191*$I$191+(W$5=Inputs!$C$16+$K$189)*$F$191*$J$191+(W$5=Inputs!$C$17)*$G$191*$H$189*$H$191)</f>
        <v>169.1235</v>
      </c>
      <c r="X194" s="42" t="n">
        <f aca="false">-($D$189+$J$189)*(X$5=0)+IF(AND(X$5-$K$189&gt;=1,X$5-$K$189&lt;=Inputs!$C$13),INDEX($N$192:$AL$192,1,X$5-$K$189+1)*INDEX($N$193:$AL$193,1,X$5-$K$189+1),0)-$I$189*((X$5=Inputs!$C$12)*$C$191*$D$189+(X$5=Inputs!$C$13)*$D$191*($D$189+Inputs!$C$14))+$I$189*((X$5=Inputs!$C$15+$K$189)*$E$191*$I$191+(X$5=Inputs!$C$16+$K$189)*$F$191*$J$191+(X$5=Inputs!$C$17)*$G$191*$H$189*$H$191)</f>
        <v>169.1235</v>
      </c>
      <c r="Y194" s="42" t="n">
        <f aca="false">-($D$189+$J$189)*(Y$5=0)+IF(AND(Y$5-$K$189&gt;=1,Y$5-$K$189&lt;=Inputs!$C$13),INDEX($N$192:$AL$192,1,Y$5-$K$189+1)*INDEX($N$193:$AL$193,1,Y$5-$K$189+1),0)-$I$189*((Y$5=Inputs!$C$12)*$C$191*$D$189+(Y$5=Inputs!$C$13)*$D$191*($D$189+Inputs!$C$14))+$I$189*((Y$5=Inputs!$C$15+$K$189)*$E$191*$I$191+(Y$5=Inputs!$C$16+$K$189)*$F$191*$J$191+(Y$5=Inputs!$C$17)*$G$191*$H$189*$H$191)</f>
        <v>143.1045</v>
      </c>
      <c r="Z194" s="42" t="n">
        <f aca="false">-($D$189+$J$189)*(Z$5=0)+IF(AND(Z$5-$K$189&gt;=1,Z$5-$K$189&lt;=Inputs!$C$13),INDEX($N$192:$AL$192,1,Z$5-$K$189+1)*INDEX($N$193:$AL$193,1,Z$5-$K$189+1),0)-$I$189*((Z$5=Inputs!$C$12)*$C$191*$D$189+(Z$5=Inputs!$C$13)*$D$191*($D$189+Inputs!$C$14))+$I$189*((Z$5=Inputs!$C$15+$K$189)*$E$191*$I$191+(Z$5=Inputs!$C$16+$K$189)*$F$191*$J$191+(Z$5=Inputs!$C$17)*$G$191*$H$189*$H$191)</f>
        <v>-1231.9755</v>
      </c>
      <c r="AA194" s="42" t="n">
        <f aca="false">-($D$189+$J$189)*(AA$5=0)+IF(AND(AA$5-$K$189&gt;=1,AA$5-$K$189&lt;=Inputs!$C$13),INDEX($N$192:$AL$192,1,AA$5-$K$189+1)*INDEX($N$193:$AL$193,1,AA$5-$K$189+1),0)-$I$189*((AA$5=Inputs!$C$12)*$C$191*$D$189+(AA$5=Inputs!$C$13)*$D$191*($D$189+Inputs!$C$14))+$I$189*((AA$5=Inputs!$C$15+$K$189)*$E$191*$I$191+(AA$5=Inputs!$C$16+$K$189)*$F$191*$J$191+(AA$5=Inputs!$C$17)*$G$191*$H$189*$H$191)</f>
        <v>143.1045</v>
      </c>
      <c r="AB194" s="42" t="n">
        <f aca="false">-($D$189+$J$189)*(AB$5=0)+IF(AND(AB$5-$K$189&gt;=1,AB$5-$K$189&lt;=Inputs!$C$13),INDEX($N$192:$AL$192,1,AB$5-$K$189+1)*INDEX($N$193:$AL$193,1,AB$5-$K$189+1),0)-$I$189*((AB$5=Inputs!$C$12)*$C$191*$D$189+(AB$5=Inputs!$C$13)*$D$191*($D$189+Inputs!$C$14))+$I$189*((AB$5=Inputs!$C$15+$K$189)*$E$191*$I$191+(AB$5=Inputs!$C$16+$K$189)*$F$191*$J$191+(AB$5=Inputs!$C$17)*$G$191*$H$189*$H$191)</f>
        <v>179.09745</v>
      </c>
      <c r="AC194" s="42" t="n">
        <f aca="false">-($D$189+$J$189)*(AC$5=0)+IF(AND(AC$5-$K$189&gt;=1,AC$5-$K$189&lt;=Inputs!$C$13),INDEX($N$192:$AL$192,1,AC$5-$K$189+1)*INDEX($N$193:$AL$193,1,AC$5-$K$189+1),0)-$I$189*((AC$5=Inputs!$C$12)*$C$191*$D$189+(AC$5=Inputs!$C$13)*$D$191*($D$189+Inputs!$C$14))+$I$189*((AC$5=Inputs!$C$15+$K$189)*$E$191*$I$191+(AC$5=Inputs!$C$16+$K$189)*$F$191*$J$191+(AC$5=Inputs!$C$17)*$G$191*$H$189*$H$191)</f>
        <v>180.3984</v>
      </c>
      <c r="AD194" s="42" t="n">
        <f aca="false">-($D$189+$J$189)*(AD$5=0)+IF(AND(AD$5-$K$189&gt;=1,AD$5-$K$189&lt;=Inputs!$C$13),INDEX($N$192:$AL$192,1,AD$5-$K$189+1)*INDEX($N$193:$AL$193,1,AD$5-$K$189+1),0)-$I$189*((AD$5=Inputs!$C$12)*$C$191*$D$189+(AD$5=Inputs!$C$13)*$D$191*($D$189+Inputs!$C$14))+$I$189*((AD$5=Inputs!$C$15+$K$189)*$E$191*$I$191+(AD$5=Inputs!$C$16+$K$189)*$F$191*$J$191+(AD$5=Inputs!$C$17)*$G$191*$H$189*$H$191)</f>
        <v>181.699350000001</v>
      </c>
      <c r="AE194" s="42" t="n">
        <f aca="false">-($D$189+$J$189)*(AE$5=0)+IF(AND(AE$5-$K$189&gt;=1,AE$5-$K$189&lt;=Inputs!$C$13),INDEX($N$192:$AL$192,1,AE$5-$K$189+1)*INDEX($N$193:$AL$193,1,AE$5-$K$189+1),0)-$I$189*((AE$5=Inputs!$C$12)*$C$191*$D$189+(AE$5=Inputs!$C$13)*$D$191*($D$189+Inputs!$C$14))+$I$189*((AE$5=Inputs!$C$15+$K$189)*$E$191*$I$191+(AE$5=Inputs!$C$16+$K$189)*$F$191*$J$191+(AE$5=Inputs!$C$17)*$G$191*$H$189*$H$191)</f>
        <v>183.0003</v>
      </c>
      <c r="AF194" s="42" t="n">
        <f aca="false">-($D$189+$J$189)*(AF$5=0)+IF(AND(AF$5-$K$189&gt;=1,AF$5-$K$189&lt;=Inputs!$C$13),INDEX($N$192:$AL$192,1,AF$5-$K$189+1)*INDEX($N$193:$AL$193,1,AF$5-$K$189+1),0)-$I$189*((AF$5=Inputs!$C$12)*$C$191*$D$189+(AF$5=Inputs!$C$13)*$D$191*($D$189+Inputs!$C$14))+$I$189*((AF$5=Inputs!$C$15+$K$189)*$E$191*$I$191+(AF$5=Inputs!$C$16+$K$189)*$F$191*$J$191+(AF$5=Inputs!$C$17)*$G$191*$H$189*$H$191)</f>
        <v>184.30125</v>
      </c>
      <c r="AG194" s="42" t="n">
        <f aca="false">-($D$189+$J$189)*(AG$5=0)+IF(AND(AG$5-$K$189&gt;=1,AG$5-$K$189&lt;=Inputs!$C$13),INDEX($N$192:$AL$192,1,AG$5-$K$189+1)*INDEX($N$193:$AL$193,1,AG$5-$K$189+1),0)-$I$189*((AG$5=Inputs!$C$12)*$C$191*$D$189+(AG$5=Inputs!$C$13)*$D$191*($D$189+Inputs!$C$14))+$I$189*((AG$5=Inputs!$C$15+$K$189)*$E$191*$I$191+(AG$5=Inputs!$C$16+$K$189)*$F$191*$J$191+(AG$5=Inputs!$C$17)*$G$191*$H$189*$H$191)</f>
        <v>185.6022</v>
      </c>
      <c r="AH194" s="42" t="n">
        <f aca="false">-($D$189+$J$189)*(AH$5=0)+IF(AND(AH$5-$K$189&gt;=1,AH$5-$K$189&lt;=Inputs!$C$13),INDEX($N$192:$AL$192,1,AH$5-$K$189+1)*INDEX($N$193:$AL$193,1,AH$5-$K$189+1),0)-$I$189*((AH$5=Inputs!$C$12)*$C$191*$D$189+(AH$5=Inputs!$C$13)*$D$191*($D$189+Inputs!$C$14))+$I$189*((AH$5=Inputs!$C$15+$K$189)*$E$191*$I$191+(AH$5=Inputs!$C$16+$K$189)*$F$191*$J$191+(AH$5=Inputs!$C$17)*$G$191*$H$189*$H$191)</f>
        <v>133.50225</v>
      </c>
      <c r="AI194" s="42" t="n">
        <f aca="false">-($D$189+$J$189)*(AI$5=0)+IF(AND(AI$5-$K$189&gt;=1,AI$5-$K$189&lt;=Inputs!$C$13),INDEX($N$192:$AL$192,1,AI$5-$K$189+1)*INDEX($N$193:$AL$193,1,AI$5-$K$189+1),0)-$I$189*((AI$5=Inputs!$C$12)*$C$191*$D$189+(AI$5=Inputs!$C$13)*$D$191*($D$189+Inputs!$C$14))+$I$189*((AI$5=Inputs!$C$15+$K$189)*$E$191*$I$191+(AI$5=Inputs!$C$16+$K$189)*$F$191*$J$191+(AI$5=Inputs!$C$17)*$G$191*$H$189*$H$191)</f>
        <v>134.4315</v>
      </c>
      <c r="AJ194" s="42" t="n">
        <f aca="false">-($D$189+$J$189)*(AJ$5=0)+IF(AND(AJ$5-$K$189&gt;=1,AJ$5-$K$189&lt;=Inputs!$C$13),INDEX($N$192:$AL$192,1,AJ$5-$K$189+1)*INDEX($N$193:$AL$193,1,AJ$5-$K$189+1),0)-$I$189*((AJ$5=Inputs!$C$12)*$C$191*$D$189+(AJ$5=Inputs!$C$13)*$D$191*($D$189+Inputs!$C$14))+$I$189*((AJ$5=Inputs!$C$15+$K$189)*$E$191*$I$191+(AJ$5=Inputs!$C$16+$K$189)*$F$191*$J$191+(AJ$5=Inputs!$C$17)*$G$191*$H$189*$H$191)</f>
        <v>135.36075</v>
      </c>
      <c r="AK194" s="42" t="n">
        <f aca="false">-($D$189+$J$189)*(AK$5=0)+IF(AND(AK$5-$K$189&gt;=1,AK$5-$K$189&lt;=Inputs!$C$13),INDEX($N$192:$AL$192,1,AK$5-$K$189+1)*INDEX($N$193:$AL$193,1,AK$5-$K$189+1),0)-$I$189*((AK$5=Inputs!$C$12)*$C$191*$D$189+(AK$5=Inputs!$C$13)*$D$191*($D$189+Inputs!$C$14))+$I$189*((AK$5=Inputs!$C$15+$K$189)*$E$191*$I$191+(AK$5=Inputs!$C$16+$K$189)*$F$191*$J$191+(AK$5=Inputs!$C$17)*$G$191*$H$189*$H$191)</f>
        <v>136.29</v>
      </c>
      <c r="AL194" s="42" t="n">
        <f aca="false">-($D$189+$J$189)*(AL$5=0)+IF(AND(AL$5-$K$189&gt;=1,AL$5-$K$189&lt;=Inputs!$C$13),INDEX($N$192:$AL$192,1,AL$5-$K$189+1)*INDEX($N$193:$AL$193,1,AL$5-$K$189+1),0)-$I$189*((AL$5=Inputs!$C$12)*$C$191*$D$189+(AL$5=Inputs!$C$13)*$D$191*($D$189+Inputs!$C$14))+$I$189*((AL$5=Inputs!$C$15+$K$189)*$E$191*$I$191+(AL$5=Inputs!$C$16+$K$189)*$F$191*$J$191+(AL$5=Inputs!$C$17)*$G$191*$H$189*$H$191)</f>
        <v>-552.78075</v>
      </c>
      <c r="AM194" s="42" t="n">
        <f aca="false">-($D$189+$J$189)*(AM$5=0)+IF(AND(AM$5-$K$189&gt;=1,AM$5-$K$189&lt;=Inputs!$C$13),INDEX($N$192:$AL$192,1,AM$5-$K$189+1)*INDEX($N$193:$AL$193,1,AM$5-$K$189+1),0)-$I$189*((AM$5=Inputs!$C$12)*$C$191*$D$189+(AM$5=Inputs!$C$13)*$D$191*($D$189+Inputs!$C$14))+$I$189*((AM$5=Inputs!$C$15+$K$189)*$E$191*$I$191+(AM$5=Inputs!$C$16+$K$189)*$F$191*$J$191+(AM$5=Inputs!$C$17)*$G$191*$H$189*$H$191)</f>
        <v>138.1485</v>
      </c>
      <c r="AN194" s="42" t="n">
        <f aca="false">-($D$189+$J$189)*(AN$5=0)+IF(AND(AN$5-$K$189&gt;=1,AN$5-$K$189&lt;=Inputs!$C$13),INDEX($N$192:$AL$192,1,AN$5-$K$189+1)*INDEX($N$193:$AL$193,1,AN$5-$K$189+1),0)-$I$189*((AN$5=Inputs!$C$12)*$C$191*$D$189+(AN$5=Inputs!$C$13)*$D$191*($D$189+Inputs!$C$14))+$I$189*((AN$5=Inputs!$C$15+$K$189)*$E$191*$I$191+(AN$5=Inputs!$C$16+$K$189)*$F$191*$J$191+(AN$5=Inputs!$C$17)*$G$191*$H$189*$H$191)</f>
        <v>0</v>
      </c>
      <c r="AO194" s="42" t="n">
        <f aca="false">-($D$189+$J$189)*(AO$5=0)+IF(AND(AO$5-$K$189&gt;=1,AO$5-$K$189&lt;=Inputs!$C$13),INDEX($N$192:$AL$192,1,AO$5-$K$189+1)*INDEX($N$193:$AL$193,1,AO$5-$K$189+1),0)-$I$189*((AO$5=Inputs!$C$12)*$C$191*$D$189+(AO$5=Inputs!$C$13)*$D$191*($D$189+Inputs!$C$14))+$I$189*((AO$5=Inputs!$C$15+$K$189)*$E$191*$I$191+(AO$5=Inputs!$C$16+$K$189)*$F$191*$J$191+(AO$5=Inputs!$C$17)*$G$191*$H$189*$H$191)</f>
        <v>0</v>
      </c>
      <c r="AP194" s="42" t="n">
        <f aca="false">-($D$189+$J$189)*(AP$5=0)+IF(AND(AP$5-$K$189&gt;=1,AP$5-$K$189&lt;=Inputs!$C$13),INDEX($N$192:$AL$192,1,AP$5-$K$189+1)*INDEX($N$193:$AL$193,1,AP$5-$K$189+1),0)-$I$189*((AP$5=Inputs!$C$12)*$C$191*$D$189+(AP$5=Inputs!$C$13)*$D$191*($D$189+Inputs!$C$14))+$I$189*((AP$5=Inputs!$C$15+$K$189)*$E$191*$I$191+(AP$5=Inputs!$C$16+$K$189)*$F$191*$J$191+(AP$5=Inputs!$C$17)*$G$191*$H$189*$H$191)</f>
        <v>1448.448</v>
      </c>
      <c r="AQ194" s="42" t="n">
        <f aca="false">-($D$189+$J$189)*(AQ$5=0)+IF(AND(AQ$5-$K$189&gt;=1,AQ$5-$K$189&lt;=Inputs!$C$13),INDEX($N$192:$AL$192,1,AQ$5-$K$189+1)*INDEX($N$193:$AL$193,1,AQ$5-$K$189+1),0)-$I$189*((AQ$5=Inputs!$C$12)*$C$191*$D$189+(AQ$5=Inputs!$C$13)*$D$191*($D$189+Inputs!$C$14))+$I$189*((AQ$5=Inputs!$C$15+$K$189)*$E$191*$I$191+(AQ$5=Inputs!$C$16+$K$189)*$F$191*$J$191+(AQ$5=Inputs!$C$17)*$G$191*$H$189*$H$191)</f>
        <v>0</v>
      </c>
      <c r="AR194" s="42" t="n">
        <f aca="false">-($D$189+$J$189)*(AR$5=0)+IF(AND(AR$5-$K$189&gt;=1,AR$5-$K$189&lt;=Inputs!$C$13),INDEX($N$192:$AL$192,1,AR$5-$K$189+1)*INDEX($N$193:$AL$193,1,AR$5-$K$189+1),0)-$I$189*((AR$5=Inputs!$C$12)*$C$191*$D$189+(AR$5=Inputs!$C$13)*$D$191*($D$189+Inputs!$C$14))+$I$189*((AR$5=Inputs!$C$15+$K$189)*$E$191*$I$191+(AR$5=Inputs!$C$16+$K$189)*$F$191*$J$191+(AR$5=Inputs!$C$17)*$G$191*$H$189*$H$191)</f>
        <v>0</v>
      </c>
      <c r="AS194" s="42" t="n">
        <f aca="false">-($D$189+$J$189)*(AS$5=0)+IF(AND(AS$5-$K$189&gt;=1,AS$5-$K$189&lt;=Inputs!$C$13),INDEX($N$192:$AL$192,1,AS$5-$K$189+1)*INDEX($N$193:$AL$193,1,AS$5-$K$189+1),0)-$I$189*((AS$5=Inputs!$C$12)*$C$191*$D$189+(AS$5=Inputs!$C$13)*$D$191*($D$189+Inputs!$C$14))+$I$189*((AS$5=Inputs!$C$15+$K$189)*$E$191*$I$191+(AS$5=Inputs!$C$16+$K$189)*$F$191*$J$191+(AS$5=Inputs!$C$17)*$G$191*$H$189*$H$191)</f>
        <v>176.13285</v>
      </c>
      <c r="AT194" s="42" t="n">
        <f aca="false">-($D$189+$J$189)*(AT$5=0)+IF(AND(AT$5-$K$189&gt;=1,AT$5-$K$189&lt;=Inputs!$C$13),INDEX($N$192:$AL$192,1,AT$5-$K$189+1)*INDEX($N$193:$AL$193,1,AT$5-$K$189+1),0)-$I$189*((AT$5=Inputs!$C$12)*$C$191*$D$189+(AT$5=Inputs!$C$13)*$D$191*($D$189+Inputs!$C$14))+$I$189*((AT$5=Inputs!$C$15+$K$189)*$E$191*$I$191+(AT$5=Inputs!$C$16+$K$189)*$F$191*$J$191+(AT$5=Inputs!$C$17)*$G$191*$H$189*$H$191)</f>
        <v>0</v>
      </c>
      <c r="AU194" s="42" t="n">
        <f aca="false">-($D$189+$J$189)*(AU$5=0)+IF(AND(AU$5-$K$189&gt;=1,AU$5-$K$189&lt;=Inputs!$C$13),INDEX($N$192:$AL$192,1,AU$5-$K$189+1)*INDEX($N$193:$AL$193,1,AU$5-$K$189+1),0)-$I$189*((AU$5=Inputs!$C$12)*$C$191*$D$189+(AU$5=Inputs!$C$13)*$D$191*($D$189+Inputs!$C$14))+$I$189*((AU$5=Inputs!$C$15+$K$189)*$E$191*$I$191+(AU$5=Inputs!$C$16+$K$189)*$F$191*$J$191+(AU$5=Inputs!$C$17)*$G$191*$H$189*$H$191)</f>
        <v>0</v>
      </c>
      <c r="AV194" s="42" t="n">
        <f aca="false">-($D$189+$J$189)*(AV$5=0)+IF(AND(AV$5-$K$189&gt;=1,AV$5-$K$189&lt;=Inputs!$C$13),INDEX($N$192:$AL$192,1,AV$5-$K$189+1)*INDEX($N$193:$AL$193,1,AV$5-$K$189+1),0)-$I$189*((AV$5=Inputs!$C$12)*$C$191*$D$189+(AV$5=Inputs!$C$13)*$D$191*($D$189+Inputs!$C$14))+$I$189*((AV$5=Inputs!$C$15+$K$189)*$E$191*$I$191+(AV$5=Inputs!$C$16+$K$189)*$F$191*$J$191+(AV$5=Inputs!$C$17)*$G$191*$H$189*$H$191)</f>
        <v>0</v>
      </c>
      <c r="AW194" s="42" t="n">
        <f aca="false">-($D$189+$J$189)*(AW$5=0)+IF(AND(AW$5-$K$189&gt;=1,AW$5-$K$189&lt;=Inputs!$C$13),INDEX($N$192:$AL$192,1,AW$5-$K$189+1)*INDEX($N$193:$AL$193,1,AW$5-$K$189+1),0)-$I$189*((AW$5=Inputs!$C$12)*$C$191*$D$189+(AW$5=Inputs!$C$13)*$D$191*($D$189+Inputs!$C$14))+$I$189*((AW$5=Inputs!$C$15+$K$189)*$E$191*$I$191+(AW$5=Inputs!$C$16+$K$189)*$F$191*$J$191+(AW$5=Inputs!$C$17)*$G$191*$H$189*$H$191)</f>
        <v>0</v>
      </c>
      <c r="AX194" s="42" t="n">
        <f aca="false">-($D$189+$J$189)*(AX$5=0)+IF(AND(AX$5-$K$189&gt;=1,AX$5-$K$189&lt;=Inputs!$C$13),INDEX($N$192:$AL$192,1,AX$5-$K$189+1)*INDEX($N$193:$AL$193,1,AX$5-$K$189+1),0)-$I$189*((AX$5=Inputs!$C$12)*$C$191*$D$189+(AX$5=Inputs!$C$13)*$D$191*($D$189+Inputs!$C$14))+$I$189*((AX$5=Inputs!$C$15+$K$189)*$E$191*$I$191+(AX$5=Inputs!$C$16+$K$189)*$F$191*$J$191+(AX$5=Inputs!$C$17)*$G$191*$H$189*$H$191)</f>
        <v>121.716</v>
      </c>
      <c r="AY194" s="42" t="n">
        <f aca="false">-($D$189+$J$189)*(AY$5=0)+IF(AND(AY$5-$K$189&gt;=1,AY$5-$K$189&lt;=Inputs!$C$13),INDEX($N$192:$AL$192,1,AY$5-$K$189+1)*INDEX($N$193:$AL$193,1,AY$5-$K$189+1),0)-$I$189*((AY$5=Inputs!$C$12)*$C$191*$D$189+(AY$5=Inputs!$C$13)*$D$191*($D$189+Inputs!$C$14))+$I$189*((AY$5=Inputs!$C$15+$K$189)*$E$191*$I$191+(AY$5=Inputs!$C$16+$K$189)*$F$191*$J$191+(AY$5=Inputs!$C$17)*$G$191*$H$189*$H$191)</f>
        <v>0</v>
      </c>
    </row>
    <row r="196" customFormat="false" ht="15" hidden="false" customHeight="false" outlineLevel="0" collapsed="false">
      <c r="B196" s="7" t="s">
        <v>262</v>
      </c>
      <c r="C196" s="8"/>
      <c r="D196" s="8"/>
      <c r="E196" s="8"/>
      <c r="F196" s="8"/>
      <c r="G196" s="8"/>
      <c r="H196" s="8"/>
      <c r="I196" s="8"/>
      <c r="J196" s="8"/>
      <c r="K196" s="8"/>
      <c r="L196" s="8"/>
    </row>
    <row r="197" customFormat="false" ht="30" hidden="false" customHeight="true" outlineLevel="0" collapsed="false">
      <c r="B197" s="37"/>
      <c r="C197" s="38" t="s">
        <v>169</v>
      </c>
      <c r="D197" s="38" t="s">
        <v>170</v>
      </c>
      <c r="E197" s="38" t="s">
        <v>171</v>
      </c>
      <c r="F197" s="38" t="s">
        <v>43</v>
      </c>
      <c r="G197" s="38" t="s">
        <v>44</v>
      </c>
      <c r="H197" s="38" t="s">
        <v>45</v>
      </c>
      <c r="I197" s="38" t="s">
        <v>172</v>
      </c>
      <c r="J197" s="38" t="s">
        <v>90</v>
      </c>
      <c r="K197" s="38" t="s">
        <v>89</v>
      </c>
      <c r="L197" s="38" t="s">
        <v>173</v>
      </c>
    </row>
    <row r="198" customFormat="false" ht="15" hidden="false" customHeight="false" outlineLevel="0" collapsed="false">
      <c r="B198" s="39" t="s">
        <v>174</v>
      </c>
      <c r="C198" s="26" t="n">
        <f aca="false">Inputs!$F$40*Inputs!$E$59</f>
        <v>0.07</v>
      </c>
      <c r="D198" s="30" t="n">
        <f aca="false">Inputs!$E$40</f>
        <v>3600</v>
      </c>
      <c r="E198" s="26" t="n">
        <f aca="false">IF(Inputs!$G$40=1,Inputs!$F$27,MIN(1,MAX(0,INDEX(Inputs!$F$23:$F$27,MATCH(Inputs!$C$40,Inputs!$B$23:$B$27,0))+INDEX(Inputs!$C$48:$C$51,MATCH(Inputs!$D$59,Inputs!$B$48:$B$51,0)))))</f>
        <v>0.83</v>
      </c>
      <c r="F198" s="25" t="n">
        <f aca="false">IF(Inputs!$G$40=1,Inputs!$G$27,INDEX(Inputs!$G$23:$G$27,MATCH(Inputs!$C$40,Inputs!$B$23:$B$27,0)))</f>
        <v>0.6</v>
      </c>
      <c r="G198" s="25" t="n">
        <f aca="false">IF(Inputs!$G$40=1,Inputs!$H$27,INDEX(Inputs!$H$23:$H$27,MATCH(Inputs!$C$40,Inputs!$B$23:$B$27,0)))*INDEX(Inputs!$D$48:$D$51,MATCH(Inputs!$D$59,Inputs!$B$48:$B$51,0))</f>
        <v>0.425</v>
      </c>
      <c r="H198" s="25" t="n">
        <f aca="false">MAX(0,IF(Inputs!$G$40=1,Inputs!$I$27,INDEX(Inputs!$I$23:$I$27,MATCH(Inputs!$C$40,Inputs!$B$23:$B$27,0)))+INDEX(Inputs!$E$48:$E$51,MATCH(Inputs!$D$59,Inputs!$B$48:$B$51,0)))</f>
        <v>0.7</v>
      </c>
      <c r="I198" s="22" t="n">
        <f aca="false">IF(Inputs!$G$40=1,0,INDEX(Inputs!$J$23:$J$27,MATCH(Inputs!$C$40,Inputs!$B$23:$B$27,0)))</f>
        <v>1</v>
      </c>
      <c r="J198" s="23" t="n">
        <f aca="false">Inputs!$G$59</f>
        <v>10</v>
      </c>
      <c r="K198" s="22" t="n">
        <f aca="false">Inputs!$F$59</f>
        <v>1</v>
      </c>
      <c r="L198" s="22" t="n">
        <f aca="false">Inputs!$C$59</f>
        <v>1</v>
      </c>
    </row>
    <row r="199" customFormat="false" ht="30" hidden="false" customHeight="true" outlineLevel="0" collapsed="false">
      <c r="B199" s="37"/>
      <c r="C199" s="38" t="s">
        <v>175</v>
      </c>
      <c r="D199" s="38" t="s">
        <v>176</v>
      </c>
      <c r="E199" s="38" t="s">
        <v>177</v>
      </c>
      <c r="F199" s="38" t="s">
        <v>178</v>
      </c>
      <c r="G199" s="38" t="s">
        <v>112</v>
      </c>
      <c r="H199" s="38" t="s">
        <v>179</v>
      </c>
      <c r="I199" s="38" t="s">
        <v>180</v>
      </c>
      <c r="J199" s="38" t="s">
        <v>181</v>
      </c>
      <c r="K199" s="38" t="s">
        <v>182</v>
      </c>
      <c r="L199" s="38" t="s">
        <v>183</v>
      </c>
    </row>
    <row r="200" customFormat="false" ht="15" hidden="false" customHeight="false" outlineLevel="0" collapsed="false">
      <c r="B200" s="39" t="s">
        <v>184</v>
      </c>
      <c r="C200" s="40" t="n">
        <f aca="false">1-$E$198*CHOOSE($L$198,INDEX(Timing!$C$7:$AA$7,1,Inputs!$C$12+1),INDEX(Timing!$C$8:$AA$8,1,Inputs!$C$12+1))</f>
        <v>0.3692</v>
      </c>
      <c r="D200" s="40" t="n">
        <f aca="false">1-$E$198*CHOOSE($L$198,INDEX(Timing!$C$7:$AA$7,1,Inputs!$C$13+1),INDEX(Timing!$C$8:$AA$8,1,Inputs!$C$13+1))</f>
        <v>0.17</v>
      </c>
      <c r="E200" s="40" t="n">
        <f aca="false">$I$198*$D$200*$F$198</f>
        <v>0.102</v>
      </c>
      <c r="F200" s="40" t="n">
        <f aca="false">$I$198*($D$200-$E$200)*$G$198</f>
        <v>0.0289</v>
      </c>
      <c r="G200" s="40" t="n">
        <f aca="false">$I$198*($D$200-$E$200-$F$200)</f>
        <v>0.0391</v>
      </c>
      <c r="H200" s="23" t="n">
        <f aca="false">$I$198*(3*$D$198+Inputs!$C$14)</f>
        <v>12600</v>
      </c>
      <c r="I200" s="23" t="n">
        <f aca="false">$I$198*($D$198*(1+IF($C$198&lt;=0,0,MAX($C$198*Inputs!$C$15/12,Inputs!$C$8)))+$D$198*(1+Inputs!$C$11*(Inputs!$C$15-Inputs!$C$12)/12)+$D$198*(1+Inputs!$C$11*(Inputs!$C$15-Inputs!$C$13)/12)+Inputs!$C$14)</f>
        <v>14139</v>
      </c>
      <c r="J200" s="23" t="n">
        <f aca="false">$I$198*($D$198*(1+IF($C$198&lt;=0,0,MAX($C$198*Inputs!$C$16/12,Inputs!$C$8)))+$D$198*(1+Inputs!$C$11*(Inputs!$C$16-Inputs!$C$12)/12)+$D$198*(1+Inputs!$C$11*(Inputs!$C$16-Inputs!$C$13)/12)+Inputs!$C$14)</f>
        <v>14526</v>
      </c>
      <c r="K200" s="40" t="n">
        <f aca="false">IRR($N$203:$AY$203,0.005)</f>
        <v>0.00460072246509506</v>
      </c>
      <c r="L200" s="41" t="n">
        <f aca="false">(1+$K$200)^12-1</f>
        <v>0.0566273157222856</v>
      </c>
    </row>
    <row r="201" customFormat="false" ht="15" hidden="false" customHeight="false" outlineLevel="0" collapsed="false">
      <c r="B201" s="9" t="s">
        <v>185</v>
      </c>
      <c r="N201" s="40" t="n">
        <f aca="false">0</f>
        <v>0</v>
      </c>
      <c r="O201" s="40" t="n">
        <f aca="false">$E$198*(CHOOSE($L$198,Timing!D$7,Timing!D$8)-CHOOSE($L$198,Timing!C$7,Timing!C$8))</f>
        <v>0.0996</v>
      </c>
      <c r="P201" s="40" t="n">
        <f aca="false">$E$198*(CHOOSE($L$198,Timing!E$7,Timing!E$8)-CHOOSE($L$198,Timing!D$7,Timing!D$8))</f>
        <v>0.083</v>
      </c>
      <c r="Q201" s="40" t="n">
        <f aca="false">$E$198*(CHOOSE($L$198,Timing!F$7,Timing!F$8)-CHOOSE($L$198,Timing!E$7,Timing!E$8))</f>
        <v>0.0747</v>
      </c>
      <c r="R201" s="40" t="n">
        <f aca="false">$E$198*(CHOOSE($L$198,Timing!G$7,Timing!G$8)-CHOOSE($L$198,Timing!F$7,Timing!F$8))</f>
        <v>0.0581</v>
      </c>
      <c r="S201" s="40" t="n">
        <f aca="false">$E$198*(CHOOSE($L$198,Timing!H$7,Timing!H$8)-CHOOSE($L$198,Timing!G$7,Timing!G$8))</f>
        <v>0.0581</v>
      </c>
      <c r="T201" s="40" t="n">
        <f aca="false">$E$198*(CHOOSE($L$198,Timing!I$7,Timing!I$8)-CHOOSE($L$198,Timing!H$7,Timing!H$8))</f>
        <v>0.0581</v>
      </c>
      <c r="U201" s="40" t="n">
        <f aca="false">$E$198*(CHOOSE($L$198,Timing!J$7,Timing!J$8)-CHOOSE($L$198,Timing!I$7,Timing!I$8))</f>
        <v>0.0359666666666667</v>
      </c>
      <c r="V201" s="40" t="n">
        <f aca="false">$E$198*(CHOOSE($L$198,Timing!K$7,Timing!K$8)-CHOOSE($L$198,Timing!J$7,Timing!J$8))</f>
        <v>0.0359666666666667</v>
      </c>
      <c r="W201" s="40" t="n">
        <f aca="false">$E$198*(CHOOSE($L$198,Timing!L$7,Timing!L$8)-CHOOSE($L$198,Timing!K$7,Timing!K$8))</f>
        <v>0.0359666666666667</v>
      </c>
      <c r="X201" s="40" t="n">
        <f aca="false">$E$198*(CHOOSE($L$198,Timing!M$7,Timing!M$8)-CHOOSE($L$198,Timing!L$7,Timing!L$8))</f>
        <v>0.0304333333333333</v>
      </c>
      <c r="Y201" s="40" t="n">
        <f aca="false">$E$198*(CHOOSE($L$198,Timing!N$7,Timing!N$8)-CHOOSE($L$198,Timing!M$7,Timing!M$8))</f>
        <v>0.0304333333333334</v>
      </c>
      <c r="Z201" s="40" t="n">
        <f aca="false">$E$198*(CHOOSE($L$198,Timing!O$7,Timing!O$8)-CHOOSE($L$198,Timing!N$7,Timing!N$8))</f>
        <v>0.0304333333333333</v>
      </c>
      <c r="AA201" s="40" t="n">
        <f aca="false">$E$198*(CHOOSE($L$198,Timing!P$7,Timing!P$8)-CHOOSE($L$198,Timing!O$7,Timing!O$8))</f>
        <v>0.0193666666666667</v>
      </c>
      <c r="AB201" s="40" t="n">
        <f aca="false">$E$198*(CHOOSE($L$198,Timing!Q$7,Timing!Q$8)-CHOOSE($L$198,Timing!P$7,Timing!P$8))</f>
        <v>0.0193666666666667</v>
      </c>
      <c r="AC201" s="40" t="n">
        <f aca="false">$E$198*(CHOOSE($L$198,Timing!R$7,Timing!R$8)-CHOOSE($L$198,Timing!Q$7,Timing!Q$8))</f>
        <v>0.0193666666666667</v>
      </c>
      <c r="AD201" s="40" t="n">
        <f aca="false">$E$198*(CHOOSE($L$198,Timing!S$7,Timing!S$8)-CHOOSE($L$198,Timing!R$7,Timing!R$8))</f>
        <v>0.0193666666666667</v>
      </c>
      <c r="AE201" s="40" t="n">
        <f aca="false">$E$198*(CHOOSE($L$198,Timing!T$7,Timing!T$8)-CHOOSE($L$198,Timing!S$7,Timing!S$8))</f>
        <v>0.0193666666666667</v>
      </c>
      <c r="AF201" s="40" t="n">
        <f aca="false">$E$198*(CHOOSE($L$198,Timing!U$7,Timing!U$8)-CHOOSE($L$198,Timing!T$7,Timing!T$8))</f>
        <v>0.0193666666666667</v>
      </c>
      <c r="AG201" s="40" t="n">
        <f aca="false">$E$198*(CHOOSE($L$198,Timing!V$7,Timing!V$8)-CHOOSE($L$198,Timing!U$7,Timing!U$8))</f>
        <v>0.0138333333333334</v>
      </c>
      <c r="AH201" s="40" t="n">
        <f aca="false">$E$198*(CHOOSE($L$198,Timing!W$7,Timing!W$8)-CHOOSE($L$198,Timing!V$7,Timing!V$8))</f>
        <v>0.0138333333333333</v>
      </c>
      <c r="AI201" s="40" t="n">
        <f aca="false">$E$198*(CHOOSE($L$198,Timing!X$7,Timing!X$8)-CHOOSE($L$198,Timing!W$7,Timing!W$8))</f>
        <v>0.0138333333333333</v>
      </c>
      <c r="AJ201" s="40" t="n">
        <f aca="false">$E$198*(CHOOSE($L$198,Timing!Y$7,Timing!Y$8)-CHOOSE($L$198,Timing!X$7,Timing!X$8))</f>
        <v>0.0138333333333334</v>
      </c>
      <c r="AK201" s="40" t="n">
        <f aca="false">$E$198*(CHOOSE($L$198,Timing!Z$7,Timing!Z$8)-CHOOSE($L$198,Timing!Y$7,Timing!Y$8))</f>
        <v>0.0138333333333334</v>
      </c>
      <c r="AL201" s="40" t="n">
        <f aca="false">$E$198*(CHOOSE($L$198,Timing!AA$7,Timing!AA$8)-CHOOSE($L$198,Timing!Z$7,Timing!Z$8))</f>
        <v>0.0138333333333333</v>
      </c>
    </row>
    <row r="202" customFormat="false" ht="15" hidden="false" customHeight="false" outlineLevel="0" collapsed="false">
      <c r="B202" s="9" t="s">
        <v>186</v>
      </c>
      <c r="N202" s="42" t="n">
        <f aca="false">0</f>
        <v>0</v>
      </c>
      <c r="O202" s="42" t="n">
        <f aca="false">$D$198*(1+IF($C$198&lt;=0,0,MAX($C$198*O$5/12,Inputs!$C$8)))+$I$198*(O$5&gt;Inputs!$C$12)*$D$198*(1+Inputs!$C$11*(O$5-Inputs!$C$12)/12)</f>
        <v>3780</v>
      </c>
      <c r="P202" s="42" t="n">
        <f aca="false">$D$198*(1+IF($C$198&lt;=0,0,MAX($C$198*P$5/12,Inputs!$C$8)))+$I$198*(P$5&gt;Inputs!$C$12)*$D$198*(1+Inputs!$C$11*(P$5-Inputs!$C$12)/12)</f>
        <v>3780</v>
      </c>
      <c r="Q202" s="42" t="n">
        <f aca="false">$D$198*(1+IF($C$198&lt;=0,0,MAX($C$198*Q$5/12,Inputs!$C$8)))+$I$198*(Q$5&gt;Inputs!$C$12)*$D$198*(1+Inputs!$C$11*(Q$5-Inputs!$C$12)/12)</f>
        <v>3780</v>
      </c>
      <c r="R202" s="42" t="n">
        <f aca="false">$D$198*(1+IF($C$198&lt;=0,0,MAX($C$198*R$5/12,Inputs!$C$8)))+$I$198*(R$5&gt;Inputs!$C$12)*$D$198*(1+Inputs!$C$11*(R$5-Inputs!$C$12)/12)</f>
        <v>3780</v>
      </c>
      <c r="S202" s="42" t="n">
        <f aca="false">$D$198*(1+IF($C$198&lt;=0,0,MAX($C$198*S$5/12,Inputs!$C$8)))+$I$198*(S$5&gt;Inputs!$C$12)*$D$198*(1+Inputs!$C$11*(S$5-Inputs!$C$12)/12)</f>
        <v>3780</v>
      </c>
      <c r="T202" s="42" t="n">
        <f aca="false">$D$198*(1+IF($C$198&lt;=0,0,MAX($C$198*T$5/12,Inputs!$C$8)))+$I$198*(T$5&gt;Inputs!$C$12)*$D$198*(1+Inputs!$C$11*(T$5-Inputs!$C$12)/12)</f>
        <v>3780</v>
      </c>
      <c r="U202" s="42" t="n">
        <f aca="false">$D$198*(1+IF($C$198&lt;=0,0,MAX($C$198*U$5/12,Inputs!$C$8)))+$I$198*(U$5&gt;Inputs!$C$12)*$D$198*(1+Inputs!$C$11*(U$5-Inputs!$C$12)/12)</f>
        <v>3780</v>
      </c>
      <c r="V202" s="42" t="n">
        <f aca="false">$D$198*(1+IF($C$198&lt;=0,0,MAX($C$198*V$5/12,Inputs!$C$8)))+$I$198*(V$5&gt;Inputs!$C$12)*$D$198*(1+Inputs!$C$11*(V$5-Inputs!$C$12)/12)</f>
        <v>3780</v>
      </c>
      <c r="W202" s="42" t="n">
        <f aca="false">$D$198*(1+IF($C$198&lt;=0,0,MAX($C$198*W$5/12,Inputs!$C$8)))+$I$198*(W$5&gt;Inputs!$C$12)*$D$198*(1+Inputs!$C$11*(W$5-Inputs!$C$12)/12)</f>
        <v>3789</v>
      </c>
      <c r="X202" s="42" t="n">
        <f aca="false">$D$198*(1+IF($C$198&lt;=0,0,MAX($C$198*X$5/12,Inputs!$C$8)))+$I$198*(X$5&gt;Inputs!$C$12)*$D$198*(1+Inputs!$C$11*(X$5-Inputs!$C$12)/12)</f>
        <v>3810</v>
      </c>
      <c r="Y202" s="42" t="n">
        <f aca="false">$D$198*(1+IF($C$198&lt;=0,0,MAX($C$198*Y$5/12,Inputs!$C$8)))+$I$198*(Y$5&gt;Inputs!$C$12)*$D$198*(1+Inputs!$C$11*(Y$5-Inputs!$C$12)/12)</f>
        <v>3831</v>
      </c>
      <c r="Z202" s="42" t="n">
        <f aca="false">$D$198*(1+IF($C$198&lt;=0,0,MAX($C$198*Z$5/12,Inputs!$C$8)))+$I$198*(Z$5&gt;Inputs!$C$12)*$D$198*(1+Inputs!$C$11*(Z$5-Inputs!$C$12)/12)</f>
        <v>3852</v>
      </c>
      <c r="AA202" s="42" t="n">
        <f aca="false">$D$198*(1+IF($C$198&lt;=0,0,MAX($C$198*AA$5/12,Inputs!$C$8)))+$I$198*(AA$5&gt;Inputs!$C$12)*$D$198*(1+Inputs!$C$11*(AA$5-Inputs!$C$12)/12)</f>
        <v>7527</v>
      </c>
      <c r="AB202" s="42" t="n">
        <f aca="false">$D$198*(1+IF($C$198&lt;=0,0,MAX($C$198*AB$5/12,Inputs!$C$8)))+$I$198*(AB$5&gt;Inputs!$C$12)*$D$198*(1+Inputs!$C$11*(AB$5-Inputs!$C$12)/12)</f>
        <v>7602</v>
      </c>
      <c r="AC202" s="42" t="n">
        <f aca="false">$D$198*(1+IF($C$198&lt;=0,0,MAX($C$198*AC$5/12,Inputs!$C$8)))+$I$198*(AC$5&gt;Inputs!$C$12)*$D$198*(1+Inputs!$C$11*(AC$5-Inputs!$C$12)/12)</f>
        <v>7677</v>
      </c>
      <c r="AD202" s="42" t="n">
        <f aca="false">$D$198*(1+IF($C$198&lt;=0,0,MAX($C$198*AD$5/12,Inputs!$C$8)))+$I$198*(AD$5&gt;Inputs!$C$12)*$D$198*(1+Inputs!$C$11*(AD$5-Inputs!$C$12)/12)</f>
        <v>7752</v>
      </c>
      <c r="AE202" s="42" t="n">
        <f aca="false">$D$198*(1+IF($C$198&lt;=0,0,MAX($C$198*AE$5/12,Inputs!$C$8)))+$I$198*(AE$5&gt;Inputs!$C$12)*$D$198*(1+Inputs!$C$11*(AE$5-Inputs!$C$12)/12)</f>
        <v>7827</v>
      </c>
      <c r="AF202" s="42" t="n">
        <f aca="false">$D$198*(1+IF($C$198&lt;=0,0,MAX($C$198*AF$5/12,Inputs!$C$8)))+$I$198*(AF$5&gt;Inputs!$C$12)*$D$198*(1+Inputs!$C$11*(AF$5-Inputs!$C$12)/12)</f>
        <v>7902</v>
      </c>
      <c r="AG202" s="42" t="n">
        <f aca="false">$D$198*(1+IF($C$198&lt;=0,0,MAX($C$198*AG$5/12,Inputs!$C$8)))+$I$198*(AG$5&gt;Inputs!$C$12)*$D$198*(1+Inputs!$C$11*(AG$5-Inputs!$C$12)/12)</f>
        <v>7977</v>
      </c>
      <c r="AH202" s="42" t="n">
        <f aca="false">$D$198*(1+IF($C$198&lt;=0,0,MAX($C$198*AH$5/12,Inputs!$C$8)))+$I$198*(AH$5&gt;Inputs!$C$12)*$D$198*(1+Inputs!$C$11*(AH$5-Inputs!$C$12)/12)</f>
        <v>8052</v>
      </c>
      <c r="AI202" s="42" t="n">
        <f aca="false">$D$198*(1+IF($C$198&lt;=0,0,MAX($C$198*AI$5/12,Inputs!$C$8)))+$I$198*(AI$5&gt;Inputs!$C$12)*$D$198*(1+Inputs!$C$11*(AI$5-Inputs!$C$12)/12)</f>
        <v>8127</v>
      </c>
      <c r="AJ202" s="42" t="n">
        <f aca="false">$D$198*(1+IF($C$198&lt;=0,0,MAX($C$198*AJ$5/12,Inputs!$C$8)))+$I$198*(AJ$5&gt;Inputs!$C$12)*$D$198*(1+Inputs!$C$11*(AJ$5-Inputs!$C$12)/12)</f>
        <v>8202</v>
      </c>
      <c r="AK202" s="42" t="n">
        <f aca="false">$D$198*(1+IF($C$198&lt;=0,0,MAX($C$198*AK$5/12,Inputs!$C$8)))+$I$198*(AK$5&gt;Inputs!$C$12)*$D$198*(1+Inputs!$C$11*(AK$5-Inputs!$C$12)/12)</f>
        <v>8277</v>
      </c>
      <c r="AL202" s="42" t="n">
        <f aca="false">$D$198*(1+IF($C$198&lt;=0,0,MAX($C$198*AL$5/12,Inputs!$C$8)))+$I$198*(AL$5&gt;Inputs!$C$12)*$D$198*(1+Inputs!$C$11*(AL$5-Inputs!$C$12)/12)</f>
        <v>8352</v>
      </c>
    </row>
    <row r="203" customFormat="false" ht="15" hidden="false" customHeight="false" outlineLevel="0" collapsed="false">
      <c r="B203" s="31" t="s">
        <v>187</v>
      </c>
      <c r="N203" s="42" t="n">
        <f aca="false">-($D$198+$J$198)*(N$5=0)+IF(AND(N$5-$K$198&gt;=1,N$5-$K$198&lt;=Inputs!$C$13),INDEX($N$201:$AL$201,1,N$5-$K$198+1)*INDEX($N$202:$AL$202,1,N$5-$K$198+1),0)-$I$198*((N$5=Inputs!$C$12)*$C$200*$D$198+(N$5=Inputs!$C$13)*$D$200*($D$198+Inputs!$C$14))+$I$198*((N$5=Inputs!$C$15+$K$198)*$E$200*$I$200+(N$5=Inputs!$C$16+$K$198)*$F$200*$J$200+(N$5=Inputs!$C$17)*$G$200*$H$198*$H$200)</f>
        <v>-3610</v>
      </c>
      <c r="O203" s="42" t="n">
        <f aca="false">-($D$198+$J$198)*(O$5=0)+IF(AND(O$5-$K$198&gt;=1,O$5-$K$198&lt;=Inputs!$C$13),INDEX($N$201:$AL$201,1,O$5-$K$198+1)*INDEX($N$202:$AL$202,1,O$5-$K$198+1),0)-$I$198*((O$5=Inputs!$C$12)*$C$200*$D$198+(O$5=Inputs!$C$13)*$D$200*($D$198+Inputs!$C$14))+$I$198*((O$5=Inputs!$C$15+$K$198)*$E$200*$I$200+(O$5=Inputs!$C$16+$K$198)*$F$200*$J$200+(O$5=Inputs!$C$17)*$G$200*$H$198*$H$200)</f>
        <v>0</v>
      </c>
      <c r="P203" s="42" t="n">
        <f aca="false">-($D$198+$J$198)*(P$5=0)+IF(AND(P$5-$K$198&gt;=1,P$5-$K$198&lt;=Inputs!$C$13),INDEX($N$201:$AL$201,1,P$5-$K$198+1)*INDEX($N$202:$AL$202,1,P$5-$K$198+1),0)-$I$198*((P$5=Inputs!$C$12)*$C$200*$D$198+(P$5=Inputs!$C$13)*$D$200*($D$198+Inputs!$C$14))+$I$198*((P$5=Inputs!$C$15+$K$198)*$E$200*$I$200+(P$5=Inputs!$C$16+$K$198)*$F$200*$J$200+(P$5=Inputs!$C$17)*$G$200*$H$198*$H$200)</f>
        <v>376.488</v>
      </c>
      <c r="Q203" s="42" t="n">
        <f aca="false">-($D$198+$J$198)*(Q$5=0)+IF(AND(Q$5-$K$198&gt;=1,Q$5-$K$198&lt;=Inputs!$C$13),INDEX($N$201:$AL$201,1,Q$5-$K$198+1)*INDEX($N$202:$AL$202,1,Q$5-$K$198+1),0)-$I$198*((Q$5=Inputs!$C$12)*$C$200*$D$198+(Q$5=Inputs!$C$13)*$D$200*($D$198+Inputs!$C$14))+$I$198*((Q$5=Inputs!$C$15+$K$198)*$E$200*$I$200+(Q$5=Inputs!$C$16+$K$198)*$F$200*$J$200+(Q$5=Inputs!$C$17)*$G$200*$H$198*$H$200)</f>
        <v>313.74</v>
      </c>
      <c r="R203" s="42" t="n">
        <f aca="false">-($D$198+$J$198)*(R$5=0)+IF(AND(R$5-$K$198&gt;=1,R$5-$K$198&lt;=Inputs!$C$13),INDEX($N$201:$AL$201,1,R$5-$K$198+1)*INDEX($N$202:$AL$202,1,R$5-$K$198+1),0)-$I$198*((R$5=Inputs!$C$12)*$C$200*$D$198+(R$5=Inputs!$C$13)*$D$200*($D$198+Inputs!$C$14))+$I$198*((R$5=Inputs!$C$15+$K$198)*$E$200*$I$200+(R$5=Inputs!$C$16+$K$198)*$F$200*$J$200+(R$5=Inputs!$C$17)*$G$200*$H$198*$H$200)</f>
        <v>282.366</v>
      </c>
      <c r="S203" s="42" t="n">
        <f aca="false">-($D$198+$J$198)*(S$5=0)+IF(AND(S$5-$K$198&gt;=1,S$5-$K$198&lt;=Inputs!$C$13),INDEX($N$201:$AL$201,1,S$5-$K$198+1)*INDEX($N$202:$AL$202,1,S$5-$K$198+1),0)-$I$198*((S$5=Inputs!$C$12)*$C$200*$D$198+(S$5=Inputs!$C$13)*$D$200*($D$198+Inputs!$C$14))+$I$198*((S$5=Inputs!$C$15+$K$198)*$E$200*$I$200+(S$5=Inputs!$C$16+$K$198)*$F$200*$J$200+(S$5=Inputs!$C$17)*$G$200*$H$198*$H$200)</f>
        <v>219.618</v>
      </c>
      <c r="T203" s="42" t="n">
        <f aca="false">-($D$198+$J$198)*(T$5=0)+IF(AND(T$5-$K$198&gt;=1,T$5-$K$198&lt;=Inputs!$C$13),INDEX($N$201:$AL$201,1,T$5-$K$198+1)*INDEX($N$202:$AL$202,1,T$5-$K$198+1),0)-$I$198*((T$5=Inputs!$C$12)*$C$200*$D$198+(T$5=Inputs!$C$13)*$D$200*($D$198+Inputs!$C$14))+$I$198*((T$5=Inputs!$C$15+$K$198)*$E$200*$I$200+(T$5=Inputs!$C$16+$K$198)*$F$200*$J$200+(T$5=Inputs!$C$17)*$G$200*$H$198*$H$200)</f>
        <v>219.618</v>
      </c>
      <c r="U203" s="42" t="n">
        <f aca="false">-($D$198+$J$198)*(U$5=0)+IF(AND(U$5-$K$198&gt;=1,U$5-$K$198&lt;=Inputs!$C$13),INDEX($N$201:$AL$201,1,U$5-$K$198+1)*INDEX($N$202:$AL$202,1,U$5-$K$198+1),0)-$I$198*((U$5=Inputs!$C$12)*$C$200*$D$198+(U$5=Inputs!$C$13)*$D$200*($D$198+Inputs!$C$14))+$I$198*((U$5=Inputs!$C$15+$K$198)*$E$200*$I$200+(U$5=Inputs!$C$16+$K$198)*$F$200*$J$200+(U$5=Inputs!$C$17)*$G$200*$H$198*$H$200)</f>
        <v>219.618</v>
      </c>
      <c r="V203" s="42" t="n">
        <f aca="false">-($D$198+$J$198)*(V$5=0)+IF(AND(V$5-$K$198&gt;=1,V$5-$K$198&lt;=Inputs!$C$13),INDEX($N$201:$AL$201,1,V$5-$K$198+1)*INDEX($N$202:$AL$202,1,V$5-$K$198+1),0)-$I$198*((V$5=Inputs!$C$12)*$C$200*$D$198+(V$5=Inputs!$C$13)*$D$200*($D$198+Inputs!$C$14))+$I$198*((V$5=Inputs!$C$15+$K$198)*$E$200*$I$200+(V$5=Inputs!$C$16+$K$198)*$F$200*$J$200+(V$5=Inputs!$C$17)*$G$200*$H$198*$H$200)</f>
        <v>135.954</v>
      </c>
      <c r="W203" s="42" t="n">
        <f aca="false">-($D$198+$J$198)*(W$5=0)+IF(AND(W$5-$K$198&gt;=1,W$5-$K$198&lt;=Inputs!$C$13),INDEX($N$201:$AL$201,1,W$5-$K$198+1)*INDEX($N$202:$AL$202,1,W$5-$K$198+1),0)-$I$198*((W$5=Inputs!$C$12)*$C$200*$D$198+(W$5=Inputs!$C$13)*$D$200*($D$198+Inputs!$C$14))+$I$198*((W$5=Inputs!$C$15+$K$198)*$E$200*$I$200+(W$5=Inputs!$C$16+$K$198)*$F$200*$J$200+(W$5=Inputs!$C$17)*$G$200*$H$198*$H$200)</f>
        <v>135.954</v>
      </c>
      <c r="X203" s="42" t="n">
        <f aca="false">-($D$198+$J$198)*(X$5=0)+IF(AND(X$5-$K$198&gt;=1,X$5-$K$198&lt;=Inputs!$C$13),INDEX($N$201:$AL$201,1,X$5-$K$198+1)*INDEX($N$202:$AL$202,1,X$5-$K$198+1),0)-$I$198*((X$5=Inputs!$C$12)*$C$200*$D$198+(X$5=Inputs!$C$13)*$D$200*($D$198+Inputs!$C$14))+$I$198*((X$5=Inputs!$C$15+$K$198)*$E$200*$I$200+(X$5=Inputs!$C$16+$K$198)*$F$200*$J$200+(X$5=Inputs!$C$17)*$G$200*$H$198*$H$200)</f>
        <v>136.2777</v>
      </c>
      <c r="Y203" s="42" t="n">
        <f aca="false">-($D$198+$J$198)*(Y$5=0)+IF(AND(Y$5-$K$198&gt;=1,Y$5-$K$198&lt;=Inputs!$C$13),INDEX($N$201:$AL$201,1,Y$5-$K$198+1)*INDEX($N$202:$AL$202,1,Y$5-$K$198+1),0)-$I$198*((Y$5=Inputs!$C$12)*$C$200*$D$198+(Y$5=Inputs!$C$13)*$D$200*($D$198+Inputs!$C$14))+$I$198*((Y$5=Inputs!$C$15+$K$198)*$E$200*$I$200+(Y$5=Inputs!$C$16+$K$198)*$F$200*$J$200+(Y$5=Inputs!$C$17)*$G$200*$H$198*$H$200)</f>
        <v>115.951</v>
      </c>
      <c r="Z203" s="42" t="n">
        <f aca="false">-($D$198+$J$198)*(Z$5=0)+IF(AND(Z$5-$K$198&gt;=1,Z$5-$K$198&lt;=Inputs!$C$13),INDEX($N$201:$AL$201,1,Z$5-$K$198+1)*INDEX($N$202:$AL$202,1,Z$5-$K$198+1),0)-$I$198*((Z$5=Inputs!$C$12)*$C$200*$D$198+(Z$5=Inputs!$C$13)*$D$200*($D$198+Inputs!$C$14))+$I$198*((Z$5=Inputs!$C$15+$K$198)*$E$200*$I$200+(Z$5=Inputs!$C$16+$K$198)*$F$200*$J$200+(Z$5=Inputs!$C$17)*$G$200*$H$198*$H$200)</f>
        <v>-1212.5299</v>
      </c>
      <c r="AA203" s="42" t="n">
        <f aca="false">-($D$198+$J$198)*(AA$5=0)+IF(AND(AA$5-$K$198&gt;=1,AA$5-$K$198&lt;=Inputs!$C$13),INDEX($N$201:$AL$201,1,AA$5-$K$198+1)*INDEX($N$202:$AL$202,1,AA$5-$K$198+1),0)-$I$198*((AA$5=Inputs!$C$12)*$C$200*$D$198+(AA$5=Inputs!$C$13)*$D$200*($D$198+Inputs!$C$14))+$I$198*((AA$5=Inputs!$C$15+$K$198)*$E$200*$I$200+(AA$5=Inputs!$C$16+$K$198)*$F$200*$J$200+(AA$5=Inputs!$C$17)*$G$200*$H$198*$H$200)</f>
        <v>117.2292</v>
      </c>
      <c r="AB203" s="42" t="n">
        <f aca="false">-($D$198+$J$198)*(AB$5=0)+IF(AND(AB$5-$K$198&gt;=1,AB$5-$K$198&lt;=Inputs!$C$13),INDEX($N$201:$AL$201,1,AB$5-$K$198+1)*INDEX($N$202:$AL$202,1,AB$5-$K$198+1),0)-$I$198*((AB$5=Inputs!$C$12)*$C$200*$D$198+(AB$5=Inputs!$C$13)*$D$200*($D$198+Inputs!$C$14))+$I$198*((AB$5=Inputs!$C$15+$K$198)*$E$200*$I$200+(AB$5=Inputs!$C$16+$K$198)*$F$200*$J$200+(AB$5=Inputs!$C$17)*$G$200*$H$198*$H$200)</f>
        <v>145.7729</v>
      </c>
      <c r="AC203" s="42" t="n">
        <f aca="false">-($D$198+$J$198)*(AC$5=0)+IF(AND(AC$5-$K$198&gt;=1,AC$5-$K$198&lt;=Inputs!$C$13),INDEX($N$201:$AL$201,1,AC$5-$K$198+1)*INDEX($N$202:$AL$202,1,AC$5-$K$198+1),0)-$I$198*((AC$5=Inputs!$C$12)*$C$200*$D$198+(AC$5=Inputs!$C$13)*$D$200*($D$198+Inputs!$C$14))+$I$198*((AC$5=Inputs!$C$15+$K$198)*$E$200*$I$200+(AC$5=Inputs!$C$16+$K$198)*$F$200*$J$200+(AC$5=Inputs!$C$17)*$G$200*$H$198*$H$200)</f>
        <v>147.2254</v>
      </c>
      <c r="AD203" s="42" t="n">
        <f aca="false">-($D$198+$J$198)*(AD$5=0)+IF(AND(AD$5-$K$198&gt;=1,AD$5-$K$198&lt;=Inputs!$C$13),INDEX($N$201:$AL$201,1,AD$5-$K$198+1)*INDEX($N$202:$AL$202,1,AD$5-$K$198+1),0)-$I$198*((AD$5=Inputs!$C$12)*$C$200*$D$198+(AD$5=Inputs!$C$13)*$D$200*($D$198+Inputs!$C$14))+$I$198*((AD$5=Inputs!$C$15+$K$198)*$E$200*$I$200+(AD$5=Inputs!$C$16+$K$198)*$F$200*$J$200+(AD$5=Inputs!$C$17)*$G$200*$H$198*$H$200)</f>
        <v>148.677900000001</v>
      </c>
      <c r="AE203" s="42" t="n">
        <f aca="false">-($D$198+$J$198)*(AE$5=0)+IF(AND(AE$5-$K$198&gt;=1,AE$5-$K$198&lt;=Inputs!$C$13),INDEX($N$201:$AL$201,1,AE$5-$K$198+1)*INDEX($N$202:$AL$202,1,AE$5-$K$198+1),0)-$I$198*((AE$5=Inputs!$C$12)*$C$200*$D$198+(AE$5=Inputs!$C$13)*$D$200*($D$198+Inputs!$C$14))+$I$198*((AE$5=Inputs!$C$15+$K$198)*$E$200*$I$200+(AE$5=Inputs!$C$16+$K$198)*$F$200*$J$200+(AE$5=Inputs!$C$17)*$G$200*$H$198*$H$200)</f>
        <v>150.1304</v>
      </c>
      <c r="AF203" s="42" t="n">
        <f aca="false">-($D$198+$J$198)*(AF$5=0)+IF(AND(AF$5-$K$198&gt;=1,AF$5-$K$198&lt;=Inputs!$C$13),INDEX($N$201:$AL$201,1,AF$5-$K$198+1)*INDEX($N$202:$AL$202,1,AF$5-$K$198+1),0)-$I$198*((AF$5=Inputs!$C$12)*$C$200*$D$198+(AF$5=Inputs!$C$13)*$D$200*($D$198+Inputs!$C$14))+$I$198*((AF$5=Inputs!$C$15+$K$198)*$E$200*$I$200+(AF$5=Inputs!$C$16+$K$198)*$F$200*$J$200+(AF$5=Inputs!$C$17)*$G$200*$H$198*$H$200)</f>
        <v>151.5829</v>
      </c>
      <c r="AG203" s="42" t="n">
        <f aca="false">-($D$198+$J$198)*(AG$5=0)+IF(AND(AG$5-$K$198&gt;=1,AG$5-$K$198&lt;=Inputs!$C$13),INDEX($N$201:$AL$201,1,AG$5-$K$198+1)*INDEX($N$202:$AL$202,1,AG$5-$K$198+1),0)-$I$198*((AG$5=Inputs!$C$12)*$C$200*$D$198+(AG$5=Inputs!$C$13)*$D$200*($D$198+Inputs!$C$14))+$I$198*((AG$5=Inputs!$C$15+$K$198)*$E$200*$I$200+(AG$5=Inputs!$C$16+$K$198)*$F$200*$J$200+(AG$5=Inputs!$C$17)*$G$200*$H$198*$H$200)</f>
        <v>153.0354</v>
      </c>
      <c r="AH203" s="42" t="n">
        <f aca="false">-($D$198+$J$198)*(AH$5=0)+IF(AND(AH$5-$K$198&gt;=1,AH$5-$K$198&lt;=Inputs!$C$13),INDEX($N$201:$AL$201,1,AH$5-$K$198+1)*INDEX($N$202:$AL$202,1,AH$5-$K$198+1),0)-$I$198*((AH$5=Inputs!$C$12)*$C$200*$D$198+(AH$5=Inputs!$C$13)*$D$200*($D$198+Inputs!$C$14))+$I$198*((AH$5=Inputs!$C$15+$K$198)*$E$200*$I$200+(AH$5=Inputs!$C$16+$K$198)*$F$200*$J$200+(AH$5=Inputs!$C$17)*$G$200*$H$198*$H$200)</f>
        <v>110.3485</v>
      </c>
      <c r="AI203" s="42" t="n">
        <f aca="false">-($D$198+$J$198)*(AI$5=0)+IF(AND(AI$5-$K$198&gt;=1,AI$5-$K$198&lt;=Inputs!$C$13),INDEX($N$201:$AL$201,1,AI$5-$K$198+1)*INDEX($N$202:$AL$202,1,AI$5-$K$198+1),0)-$I$198*((AI$5=Inputs!$C$12)*$C$200*$D$198+(AI$5=Inputs!$C$13)*$D$200*($D$198+Inputs!$C$14))+$I$198*((AI$5=Inputs!$C$15+$K$198)*$E$200*$I$200+(AI$5=Inputs!$C$16+$K$198)*$F$200*$J$200+(AI$5=Inputs!$C$17)*$G$200*$H$198*$H$200)</f>
        <v>111.386</v>
      </c>
      <c r="AJ203" s="42" t="n">
        <f aca="false">-($D$198+$J$198)*(AJ$5=0)+IF(AND(AJ$5-$K$198&gt;=1,AJ$5-$K$198&lt;=Inputs!$C$13),INDEX($N$201:$AL$201,1,AJ$5-$K$198+1)*INDEX($N$202:$AL$202,1,AJ$5-$K$198+1),0)-$I$198*((AJ$5=Inputs!$C$12)*$C$200*$D$198+(AJ$5=Inputs!$C$13)*$D$200*($D$198+Inputs!$C$14))+$I$198*((AJ$5=Inputs!$C$15+$K$198)*$E$200*$I$200+(AJ$5=Inputs!$C$16+$K$198)*$F$200*$J$200+(AJ$5=Inputs!$C$17)*$G$200*$H$198*$H$200)</f>
        <v>112.4235</v>
      </c>
      <c r="AK203" s="42" t="n">
        <f aca="false">-($D$198+$J$198)*(AK$5=0)+IF(AND(AK$5-$K$198&gt;=1,AK$5-$K$198&lt;=Inputs!$C$13),INDEX($N$201:$AL$201,1,AK$5-$K$198+1)*INDEX($N$202:$AL$202,1,AK$5-$K$198+1),0)-$I$198*((AK$5=Inputs!$C$12)*$C$200*$D$198+(AK$5=Inputs!$C$13)*$D$200*($D$198+Inputs!$C$14))+$I$198*((AK$5=Inputs!$C$15+$K$198)*$E$200*$I$200+(AK$5=Inputs!$C$16+$K$198)*$F$200*$J$200+(AK$5=Inputs!$C$17)*$G$200*$H$198*$H$200)</f>
        <v>113.461</v>
      </c>
      <c r="AL203" s="42" t="n">
        <f aca="false">-($D$198+$J$198)*(AL$5=0)+IF(AND(AL$5-$K$198&gt;=1,AL$5-$K$198&lt;=Inputs!$C$13),INDEX($N$201:$AL$201,1,AL$5-$K$198+1)*INDEX($N$202:$AL$202,1,AL$5-$K$198+1),0)-$I$198*((AL$5=Inputs!$C$12)*$C$200*$D$198+(AL$5=Inputs!$C$13)*$D$200*($D$198+Inputs!$C$14))+$I$198*((AL$5=Inputs!$C$15+$K$198)*$E$200*$I$200+(AL$5=Inputs!$C$16+$K$198)*$F$200*$J$200+(AL$5=Inputs!$C$17)*$G$200*$H$198*$H$200)</f>
        <v>-803.501499999999</v>
      </c>
      <c r="AM203" s="42" t="n">
        <f aca="false">-($D$198+$J$198)*(AM$5=0)+IF(AND(AM$5-$K$198&gt;=1,AM$5-$K$198&lt;=Inputs!$C$13),INDEX($N$201:$AL$201,1,AM$5-$K$198+1)*INDEX($N$202:$AL$202,1,AM$5-$K$198+1),0)-$I$198*((AM$5=Inputs!$C$12)*$C$200*$D$198+(AM$5=Inputs!$C$13)*$D$200*($D$198+Inputs!$C$14))+$I$198*((AM$5=Inputs!$C$15+$K$198)*$E$200*$I$200+(AM$5=Inputs!$C$16+$K$198)*$F$200*$J$200+(AM$5=Inputs!$C$17)*$G$200*$H$198*$H$200)</f>
        <v>115.536</v>
      </c>
      <c r="AN203" s="42" t="n">
        <f aca="false">-($D$198+$J$198)*(AN$5=0)+IF(AND(AN$5-$K$198&gt;=1,AN$5-$K$198&lt;=Inputs!$C$13),INDEX($N$201:$AL$201,1,AN$5-$K$198+1)*INDEX($N$202:$AL$202,1,AN$5-$K$198+1),0)-$I$198*((AN$5=Inputs!$C$12)*$C$200*$D$198+(AN$5=Inputs!$C$13)*$D$200*($D$198+Inputs!$C$14))+$I$198*((AN$5=Inputs!$C$15+$K$198)*$E$200*$I$200+(AN$5=Inputs!$C$16+$K$198)*$F$200*$J$200+(AN$5=Inputs!$C$17)*$G$200*$H$198*$H$200)</f>
        <v>0</v>
      </c>
      <c r="AO203" s="42" t="n">
        <f aca="false">-($D$198+$J$198)*(AO$5=0)+IF(AND(AO$5-$K$198&gt;=1,AO$5-$K$198&lt;=Inputs!$C$13),INDEX($N$201:$AL$201,1,AO$5-$K$198+1)*INDEX($N$202:$AL$202,1,AO$5-$K$198+1),0)-$I$198*((AO$5=Inputs!$C$12)*$C$200*$D$198+(AO$5=Inputs!$C$13)*$D$200*($D$198+Inputs!$C$14))+$I$198*((AO$5=Inputs!$C$15+$K$198)*$E$200*$I$200+(AO$5=Inputs!$C$16+$K$198)*$F$200*$J$200+(AO$5=Inputs!$C$17)*$G$200*$H$198*$H$200)</f>
        <v>0</v>
      </c>
      <c r="AP203" s="42" t="n">
        <f aca="false">-($D$198+$J$198)*(AP$5=0)+IF(AND(AP$5-$K$198&gt;=1,AP$5-$K$198&lt;=Inputs!$C$13),INDEX($N$201:$AL$201,1,AP$5-$K$198+1)*INDEX($N$202:$AL$202,1,AP$5-$K$198+1),0)-$I$198*((AP$5=Inputs!$C$12)*$C$200*$D$198+(AP$5=Inputs!$C$13)*$D$200*($D$198+Inputs!$C$14))+$I$198*((AP$5=Inputs!$C$15+$K$198)*$E$200*$I$200+(AP$5=Inputs!$C$16+$K$198)*$F$200*$J$200+(AP$5=Inputs!$C$17)*$G$200*$H$198*$H$200)</f>
        <v>1442.178</v>
      </c>
      <c r="AQ203" s="42" t="n">
        <f aca="false">-($D$198+$J$198)*(AQ$5=0)+IF(AND(AQ$5-$K$198&gt;=1,AQ$5-$K$198&lt;=Inputs!$C$13),INDEX($N$201:$AL$201,1,AQ$5-$K$198+1)*INDEX($N$202:$AL$202,1,AQ$5-$K$198+1),0)-$I$198*((AQ$5=Inputs!$C$12)*$C$200*$D$198+(AQ$5=Inputs!$C$13)*$D$200*($D$198+Inputs!$C$14))+$I$198*((AQ$5=Inputs!$C$15+$K$198)*$E$200*$I$200+(AQ$5=Inputs!$C$16+$K$198)*$F$200*$J$200+(AQ$5=Inputs!$C$17)*$G$200*$H$198*$H$200)</f>
        <v>0</v>
      </c>
      <c r="AR203" s="42" t="n">
        <f aca="false">-($D$198+$J$198)*(AR$5=0)+IF(AND(AR$5-$K$198&gt;=1,AR$5-$K$198&lt;=Inputs!$C$13),INDEX($N$201:$AL$201,1,AR$5-$K$198+1)*INDEX($N$202:$AL$202,1,AR$5-$K$198+1),0)-$I$198*((AR$5=Inputs!$C$12)*$C$200*$D$198+(AR$5=Inputs!$C$13)*$D$200*($D$198+Inputs!$C$14))+$I$198*((AR$5=Inputs!$C$15+$K$198)*$E$200*$I$200+(AR$5=Inputs!$C$16+$K$198)*$F$200*$J$200+(AR$5=Inputs!$C$17)*$G$200*$H$198*$H$200)</f>
        <v>0</v>
      </c>
      <c r="AS203" s="42" t="n">
        <f aca="false">-($D$198+$J$198)*(AS$5=0)+IF(AND(AS$5-$K$198&gt;=1,AS$5-$K$198&lt;=Inputs!$C$13),INDEX($N$201:$AL$201,1,AS$5-$K$198+1)*INDEX($N$202:$AL$202,1,AS$5-$K$198+1),0)-$I$198*((AS$5=Inputs!$C$12)*$C$200*$D$198+(AS$5=Inputs!$C$13)*$D$200*($D$198+Inputs!$C$14))+$I$198*((AS$5=Inputs!$C$15+$K$198)*$E$200*$I$200+(AS$5=Inputs!$C$16+$K$198)*$F$200*$J$200+(AS$5=Inputs!$C$17)*$G$200*$H$198*$H$200)</f>
        <v>419.8014</v>
      </c>
      <c r="AT203" s="42" t="n">
        <f aca="false">-($D$198+$J$198)*(AT$5=0)+IF(AND(AT$5-$K$198&gt;=1,AT$5-$K$198&lt;=Inputs!$C$13),INDEX($N$201:$AL$201,1,AT$5-$K$198+1)*INDEX($N$202:$AL$202,1,AT$5-$K$198+1),0)-$I$198*((AT$5=Inputs!$C$12)*$C$200*$D$198+(AT$5=Inputs!$C$13)*$D$200*($D$198+Inputs!$C$14))+$I$198*((AT$5=Inputs!$C$15+$K$198)*$E$200*$I$200+(AT$5=Inputs!$C$16+$K$198)*$F$200*$J$200+(AT$5=Inputs!$C$17)*$G$200*$H$198*$H$200)</f>
        <v>0</v>
      </c>
      <c r="AU203" s="42" t="n">
        <f aca="false">-($D$198+$J$198)*(AU$5=0)+IF(AND(AU$5-$K$198&gt;=1,AU$5-$K$198&lt;=Inputs!$C$13),INDEX($N$201:$AL$201,1,AU$5-$K$198+1)*INDEX($N$202:$AL$202,1,AU$5-$K$198+1),0)-$I$198*((AU$5=Inputs!$C$12)*$C$200*$D$198+(AU$5=Inputs!$C$13)*$D$200*($D$198+Inputs!$C$14))+$I$198*((AU$5=Inputs!$C$15+$K$198)*$E$200*$I$200+(AU$5=Inputs!$C$16+$K$198)*$F$200*$J$200+(AU$5=Inputs!$C$17)*$G$200*$H$198*$H$200)</f>
        <v>0</v>
      </c>
      <c r="AV203" s="42" t="n">
        <f aca="false">-($D$198+$J$198)*(AV$5=0)+IF(AND(AV$5-$K$198&gt;=1,AV$5-$K$198&lt;=Inputs!$C$13),INDEX($N$201:$AL$201,1,AV$5-$K$198+1)*INDEX($N$202:$AL$202,1,AV$5-$K$198+1),0)-$I$198*((AV$5=Inputs!$C$12)*$C$200*$D$198+(AV$5=Inputs!$C$13)*$D$200*($D$198+Inputs!$C$14))+$I$198*((AV$5=Inputs!$C$15+$K$198)*$E$200*$I$200+(AV$5=Inputs!$C$16+$K$198)*$F$200*$J$200+(AV$5=Inputs!$C$17)*$G$200*$H$198*$H$200)</f>
        <v>0</v>
      </c>
      <c r="AW203" s="42" t="n">
        <f aca="false">-($D$198+$J$198)*(AW$5=0)+IF(AND(AW$5-$K$198&gt;=1,AW$5-$K$198&lt;=Inputs!$C$13),INDEX($N$201:$AL$201,1,AW$5-$K$198+1)*INDEX($N$202:$AL$202,1,AW$5-$K$198+1),0)-$I$198*((AW$5=Inputs!$C$12)*$C$200*$D$198+(AW$5=Inputs!$C$13)*$D$200*($D$198+Inputs!$C$14))+$I$198*((AW$5=Inputs!$C$15+$K$198)*$E$200*$I$200+(AW$5=Inputs!$C$16+$K$198)*$F$200*$J$200+(AW$5=Inputs!$C$17)*$G$200*$H$198*$H$200)</f>
        <v>0</v>
      </c>
      <c r="AX203" s="42" t="n">
        <f aca="false">-($D$198+$J$198)*(AX$5=0)+IF(AND(AX$5-$K$198&gt;=1,AX$5-$K$198&lt;=Inputs!$C$13),INDEX($N$201:$AL$201,1,AX$5-$K$198+1)*INDEX($N$202:$AL$202,1,AX$5-$K$198+1),0)-$I$198*((AX$5=Inputs!$C$12)*$C$200*$D$198+(AX$5=Inputs!$C$13)*$D$200*($D$198+Inputs!$C$14))+$I$198*((AX$5=Inputs!$C$15+$K$198)*$E$200*$I$200+(AX$5=Inputs!$C$16+$K$198)*$F$200*$J$200+(AX$5=Inputs!$C$17)*$G$200*$H$198*$H$200)</f>
        <v>344.862</v>
      </c>
      <c r="AY203" s="42" t="n">
        <f aca="false">-($D$198+$J$198)*(AY$5=0)+IF(AND(AY$5-$K$198&gt;=1,AY$5-$K$198&lt;=Inputs!$C$13),INDEX($N$201:$AL$201,1,AY$5-$K$198+1)*INDEX($N$202:$AL$202,1,AY$5-$K$198+1),0)-$I$198*((AY$5=Inputs!$C$12)*$C$200*$D$198+(AY$5=Inputs!$C$13)*$D$200*($D$198+Inputs!$C$14))+$I$198*((AY$5=Inputs!$C$15+$K$198)*$E$200*$I$200+(AY$5=Inputs!$C$16+$K$198)*$F$200*$J$200+(AY$5=Inputs!$C$17)*$G$200*$H$198*$H$200)</f>
        <v>0</v>
      </c>
    </row>
    <row r="205" customFormat="false" ht="15" hidden="false" customHeight="false" outlineLevel="0" collapsed="false">
      <c r="B205" s="7" t="s">
        <v>263</v>
      </c>
      <c r="C205" s="8"/>
      <c r="D205" s="8"/>
      <c r="E205" s="8"/>
      <c r="F205" s="8"/>
      <c r="G205" s="8"/>
      <c r="H205" s="8"/>
      <c r="I205" s="8"/>
      <c r="J205" s="8"/>
      <c r="K205" s="8"/>
      <c r="L205" s="8"/>
    </row>
    <row r="206" customFormat="false" ht="30" hidden="false" customHeight="true" outlineLevel="0" collapsed="false">
      <c r="B206" s="37"/>
      <c r="C206" s="38" t="s">
        <v>169</v>
      </c>
      <c r="D206" s="38" t="s">
        <v>170</v>
      </c>
      <c r="E206" s="38" t="s">
        <v>171</v>
      </c>
      <c r="F206" s="38" t="s">
        <v>43</v>
      </c>
      <c r="G206" s="38" t="s">
        <v>44</v>
      </c>
      <c r="H206" s="38" t="s">
        <v>45</v>
      </c>
      <c r="I206" s="38" t="s">
        <v>172</v>
      </c>
      <c r="J206" s="38" t="s">
        <v>90</v>
      </c>
      <c r="K206" s="38" t="s">
        <v>89</v>
      </c>
      <c r="L206" s="38" t="s">
        <v>173</v>
      </c>
    </row>
    <row r="207" customFormat="false" ht="15" hidden="false" customHeight="false" outlineLevel="0" collapsed="false">
      <c r="B207" s="39" t="s">
        <v>174</v>
      </c>
      <c r="C207" s="26" t="n">
        <f aca="false">Inputs!$F$41*Inputs!$E$59</f>
        <v>0.09</v>
      </c>
      <c r="D207" s="30" t="n">
        <f aca="false">Inputs!$E$41</f>
        <v>9500</v>
      </c>
      <c r="E207" s="26" t="n">
        <f aca="false">IF(Inputs!$G$41=1,Inputs!$F$27,MIN(1,MAX(0,INDEX(Inputs!$F$23:$F$27,MATCH(Inputs!$C$41,Inputs!$B$23:$B$27,0))+INDEX(Inputs!$C$48:$C$51,MATCH(Inputs!$D$59,Inputs!$B$48:$B$51,0)))))</f>
        <v>0.8</v>
      </c>
      <c r="F207" s="25" t="n">
        <f aca="false">IF(Inputs!$G$41=1,Inputs!$G$27,INDEX(Inputs!$G$23:$G$27,MATCH(Inputs!$C$41,Inputs!$B$23:$B$27,0)))</f>
        <v>0.6</v>
      </c>
      <c r="G207" s="25" t="n">
        <f aca="false">IF(Inputs!$G$41=1,Inputs!$H$27,INDEX(Inputs!$H$23:$H$27,MATCH(Inputs!$C$41,Inputs!$B$23:$B$27,0)))*INDEX(Inputs!$D$48:$D$51,MATCH(Inputs!$D$59,Inputs!$B$48:$B$51,0))</f>
        <v>0.4</v>
      </c>
      <c r="H207" s="25" t="n">
        <f aca="false">MAX(0,IF(Inputs!$G$41=1,Inputs!$I$27,INDEX(Inputs!$I$23:$I$27,MATCH(Inputs!$C$41,Inputs!$B$23:$B$27,0)))+INDEX(Inputs!$E$48:$E$51,MATCH(Inputs!$D$59,Inputs!$B$48:$B$51,0)))</f>
        <v>0.7</v>
      </c>
      <c r="I207" s="22" t="n">
        <f aca="false">IF(Inputs!$G$41=1,0,INDEX(Inputs!$J$23:$J$27,MATCH(Inputs!$C$41,Inputs!$B$23:$B$27,0)))</f>
        <v>1</v>
      </c>
      <c r="J207" s="23" t="n">
        <f aca="false">Inputs!$G$59</f>
        <v>10</v>
      </c>
      <c r="K207" s="22" t="n">
        <f aca="false">Inputs!$F$59</f>
        <v>1</v>
      </c>
      <c r="L207" s="22" t="n">
        <f aca="false">Inputs!$C$59</f>
        <v>1</v>
      </c>
    </row>
    <row r="208" customFormat="false" ht="30" hidden="false" customHeight="true" outlineLevel="0" collapsed="false">
      <c r="B208" s="37"/>
      <c r="C208" s="38" t="s">
        <v>175</v>
      </c>
      <c r="D208" s="38" t="s">
        <v>176</v>
      </c>
      <c r="E208" s="38" t="s">
        <v>177</v>
      </c>
      <c r="F208" s="38" t="s">
        <v>178</v>
      </c>
      <c r="G208" s="38" t="s">
        <v>112</v>
      </c>
      <c r="H208" s="38" t="s">
        <v>179</v>
      </c>
      <c r="I208" s="38" t="s">
        <v>180</v>
      </c>
      <c r="J208" s="38" t="s">
        <v>181</v>
      </c>
      <c r="K208" s="38" t="s">
        <v>182</v>
      </c>
      <c r="L208" s="38" t="s">
        <v>183</v>
      </c>
    </row>
    <row r="209" customFormat="false" ht="15" hidden="false" customHeight="false" outlineLevel="0" collapsed="false">
      <c r="B209" s="39" t="s">
        <v>184</v>
      </c>
      <c r="C209" s="40" t="n">
        <f aca="false">1-$E$207*CHOOSE($L$207,INDEX(Timing!$C$7:$AA$7,1,Inputs!$C$12+1),INDEX(Timing!$C$8:$AA$8,1,Inputs!$C$12+1))</f>
        <v>0.392</v>
      </c>
      <c r="D209" s="40" t="n">
        <f aca="false">1-$E$207*CHOOSE($L$207,INDEX(Timing!$C$7:$AA$7,1,Inputs!$C$13+1),INDEX(Timing!$C$8:$AA$8,1,Inputs!$C$13+1))</f>
        <v>0.2</v>
      </c>
      <c r="E209" s="40" t="n">
        <f aca="false">$I$207*$D$209*$F$207</f>
        <v>0.12</v>
      </c>
      <c r="F209" s="40" t="n">
        <f aca="false">$I$207*($D$209-$E$209)*$G$207</f>
        <v>0.032</v>
      </c>
      <c r="G209" s="40" t="n">
        <f aca="false">$I$207*($D$209-$E$209-$F$209)</f>
        <v>0.048</v>
      </c>
      <c r="H209" s="23" t="n">
        <f aca="false">$I$207*(3*$D$207+Inputs!$C$14)</f>
        <v>30300</v>
      </c>
      <c r="I209" s="23" t="n">
        <f aca="false">$I$207*($D$207*(1+IF($C$207&lt;=0,0,MAX($C$207*Inputs!$C$15/12,Inputs!$C$8)))+$D$207*(1+Inputs!$C$11*(Inputs!$C$15-Inputs!$C$12)/12)+$D$207*(1+Inputs!$C$11*(Inputs!$C$15-Inputs!$C$13)/12)+Inputs!$C$14)</f>
        <v>34788.75</v>
      </c>
      <c r="J209" s="23" t="n">
        <f aca="false">$I$207*($D$207*(1+IF($C$207&lt;=0,0,MAX($C$207*Inputs!$C$16/12,Inputs!$C$8)))+$D$207*(1+Inputs!$C$11*(Inputs!$C$16-Inputs!$C$12)/12)+$D$207*(1+Inputs!$C$11*(Inputs!$C$16-Inputs!$C$13)/12)+Inputs!$C$14)</f>
        <v>35857.5</v>
      </c>
      <c r="K209" s="40" t="n">
        <f aca="false">IRR($N$212:$AY$212,0.005)</f>
        <v>0.00528102865950365</v>
      </c>
      <c r="L209" s="41" t="n">
        <f aca="false">(1+$K$209)^12-1</f>
        <v>0.0652458260884568</v>
      </c>
    </row>
    <row r="210" customFormat="false" ht="15" hidden="false" customHeight="false" outlineLevel="0" collapsed="false">
      <c r="B210" s="9" t="s">
        <v>185</v>
      </c>
      <c r="N210" s="40" t="n">
        <f aca="false">0</f>
        <v>0</v>
      </c>
      <c r="O210" s="40" t="n">
        <f aca="false">$E$207*(CHOOSE($L$207,Timing!D$7,Timing!D$8)-CHOOSE($L$207,Timing!C$7,Timing!C$8))</f>
        <v>0.096</v>
      </c>
      <c r="P210" s="40" t="n">
        <f aca="false">$E$207*(CHOOSE($L$207,Timing!E$7,Timing!E$8)-CHOOSE($L$207,Timing!D$7,Timing!D$8))</f>
        <v>0.08</v>
      </c>
      <c r="Q210" s="40" t="n">
        <f aca="false">$E$207*(CHOOSE($L$207,Timing!F$7,Timing!F$8)-CHOOSE($L$207,Timing!E$7,Timing!E$8))</f>
        <v>0.072</v>
      </c>
      <c r="R210" s="40" t="n">
        <f aca="false">$E$207*(CHOOSE($L$207,Timing!G$7,Timing!G$8)-CHOOSE($L$207,Timing!F$7,Timing!F$8))</f>
        <v>0.056</v>
      </c>
      <c r="S210" s="40" t="n">
        <f aca="false">$E$207*(CHOOSE($L$207,Timing!H$7,Timing!H$8)-CHOOSE($L$207,Timing!G$7,Timing!G$8))</f>
        <v>0.056</v>
      </c>
      <c r="T210" s="40" t="n">
        <f aca="false">$E$207*(CHOOSE($L$207,Timing!I$7,Timing!I$8)-CHOOSE($L$207,Timing!H$7,Timing!H$8))</f>
        <v>0.056</v>
      </c>
      <c r="U210" s="40" t="n">
        <f aca="false">$E$207*(CHOOSE($L$207,Timing!J$7,Timing!J$8)-CHOOSE($L$207,Timing!I$7,Timing!I$8))</f>
        <v>0.0346666666666667</v>
      </c>
      <c r="V210" s="40" t="n">
        <f aca="false">$E$207*(CHOOSE($L$207,Timing!K$7,Timing!K$8)-CHOOSE($L$207,Timing!J$7,Timing!J$8))</f>
        <v>0.0346666666666667</v>
      </c>
      <c r="W210" s="40" t="n">
        <f aca="false">$E$207*(CHOOSE($L$207,Timing!L$7,Timing!L$8)-CHOOSE($L$207,Timing!K$7,Timing!K$8))</f>
        <v>0.0346666666666667</v>
      </c>
      <c r="X210" s="40" t="n">
        <f aca="false">$E$207*(CHOOSE($L$207,Timing!M$7,Timing!M$8)-CHOOSE($L$207,Timing!L$7,Timing!L$8))</f>
        <v>0.0293333333333333</v>
      </c>
      <c r="Y210" s="40" t="n">
        <f aca="false">$E$207*(CHOOSE($L$207,Timing!N$7,Timing!N$8)-CHOOSE($L$207,Timing!M$7,Timing!M$8))</f>
        <v>0.0293333333333334</v>
      </c>
      <c r="Z210" s="40" t="n">
        <f aca="false">$E$207*(CHOOSE($L$207,Timing!O$7,Timing!O$8)-CHOOSE($L$207,Timing!N$7,Timing!N$8))</f>
        <v>0.0293333333333333</v>
      </c>
      <c r="AA210" s="40" t="n">
        <f aca="false">$E$207*(CHOOSE($L$207,Timing!P$7,Timing!P$8)-CHOOSE($L$207,Timing!O$7,Timing!O$8))</f>
        <v>0.0186666666666667</v>
      </c>
      <c r="AB210" s="40" t="n">
        <f aca="false">$E$207*(CHOOSE($L$207,Timing!Q$7,Timing!Q$8)-CHOOSE($L$207,Timing!P$7,Timing!P$8))</f>
        <v>0.0186666666666667</v>
      </c>
      <c r="AC210" s="40" t="n">
        <f aca="false">$E$207*(CHOOSE($L$207,Timing!R$7,Timing!R$8)-CHOOSE($L$207,Timing!Q$7,Timing!Q$8))</f>
        <v>0.0186666666666667</v>
      </c>
      <c r="AD210" s="40" t="n">
        <f aca="false">$E$207*(CHOOSE($L$207,Timing!S$7,Timing!S$8)-CHOOSE($L$207,Timing!R$7,Timing!R$8))</f>
        <v>0.0186666666666667</v>
      </c>
      <c r="AE210" s="40" t="n">
        <f aca="false">$E$207*(CHOOSE($L$207,Timing!T$7,Timing!T$8)-CHOOSE($L$207,Timing!S$7,Timing!S$8))</f>
        <v>0.0186666666666667</v>
      </c>
      <c r="AF210" s="40" t="n">
        <f aca="false">$E$207*(CHOOSE($L$207,Timing!U$7,Timing!U$8)-CHOOSE($L$207,Timing!T$7,Timing!T$8))</f>
        <v>0.0186666666666667</v>
      </c>
      <c r="AG210" s="40" t="n">
        <f aca="false">$E$207*(CHOOSE($L$207,Timing!V$7,Timing!V$8)-CHOOSE($L$207,Timing!U$7,Timing!U$8))</f>
        <v>0.0133333333333334</v>
      </c>
      <c r="AH210" s="40" t="n">
        <f aca="false">$E$207*(CHOOSE($L$207,Timing!W$7,Timing!W$8)-CHOOSE($L$207,Timing!V$7,Timing!V$8))</f>
        <v>0.0133333333333333</v>
      </c>
      <c r="AI210" s="40" t="n">
        <f aca="false">$E$207*(CHOOSE($L$207,Timing!X$7,Timing!X$8)-CHOOSE($L$207,Timing!W$7,Timing!W$8))</f>
        <v>0.0133333333333333</v>
      </c>
      <c r="AJ210" s="40" t="n">
        <f aca="false">$E$207*(CHOOSE($L$207,Timing!Y$7,Timing!Y$8)-CHOOSE($L$207,Timing!X$7,Timing!X$8))</f>
        <v>0.0133333333333334</v>
      </c>
      <c r="AK210" s="40" t="n">
        <f aca="false">$E$207*(CHOOSE($L$207,Timing!Z$7,Timing!Z$8)-CHOOSE($L$207,Timing!Y$7,Timing!Y$8))</f>
        <v>0.0133333333333334</v>
      </c>
      <c r="AL210" s="40" t="n">
        <f aca="false">$E$207*(CHOOSE($L$207,Timing!AA$7,Timing!AA$8)-CHOOSE($L$207,Timing!Z$7,Timing!Z$8))</f>
        <v>0.0133333333333333</v>
      </c>
    </row>
    <row r="211" customFormat="false" ht="15" hidden="false" customHeight="false" outlineLevel="0" collapsed="false">
      <c r="B211" s="9" t="s">
        <v>186</v>
      </c>
      <c r="N211" s="42" t="n">
        <f aca="false">0</f>
        <v>0</v>
      </c>
      <c r="O211" s="42" t="n">
        <f aca="false">$D$207*(1+IF($C$207&lt;=0,0,MAX($C$207*O$5/12,Inputs!$C$8)))+$I$207*(O$5&gt;Inputs!$C$12)*$D$207*(1+Inputs!$C$11*(O$5-Inputs!$C$12)/12)</f>
        <v>9975</v>
      </c>
      <c r="P211" s="42" t="n">
        <f aca="false">$D$207*(1+IF($C$207&lt;=0,0,MAX($C$207*P$5/12,Inputs!$C$8)))+$I$207*(P$5&gt;Inputs!$C$12)*$D$207*(1+Inputs!$C$11*(P$5-Inputs!$C$12)/12)</f>
        <v>9975</v>
      </c>
      <c r="Q211" s="42" t="n">
        <f aca="false">$D$207*(1+IF($C$207&lt;=0,0,MAX($C$207*Q$5/12,Inputs!$C$8)))+$I$207*(Q$5&gt;Inputs!$C$12)*$D$207*(1+Inputs!$C$11*(Q$5-Inputs!$C$12)/12)</f>
        <v>9975</v>
      </c>
      <c r="R211" s="42" t="n">
        <f aca="false">$D$207*(1+IF($C$207&lt;=0,0,MAX($C$207*R$5/12,Inputs!$C$8)))+$I$207*(R$5&gt;Inputs!$C$12)*$D$207*(1+Inputs!$C$11*(R$5-Inputs!$C$12)/12)</f>
        <v>9975</v>
      </c>
      <c r="S211" s="42" t="n">
        <f aca="false">$D$207*(1+IF($C$207&lt;=0,0,MAX($C$207*S$5/12,Inputs!$C$8)))+$I$207*(S$5&gt;Inputs!$C$12)*$D$207*(1+Inputs!$C$11*(S$5-Inputs!$C$12)/12)</f>
        <v>9975</v>
      </c>
      <c r="T211" s="42" t="n">
        <f aca="false">$D$207*(1+IF($C$207&lt;=0,0,MAX($C$207*T$5/12,Inputs!$C$8)))+$I$207*(T$5&gt;Inputs!$C$12)*$D$207*(1+Inputs!$C$11*(T$5-Inputs!$C$12)/12)</f>
        <v>9975</v>
      </c>
      <c r="U211" s="42" t="n">
        <f aca="false">$D$207*(1+IF($C$207&lt;=0,0,MAX($C$207*U$5/12,Inputs!$C$8)))+$I$207*(U$5&gt;Inputs!$C$12)*$D$207*(1+Inputs!$C$11*(U$5-Inputs!$C$12)/12)</f>
        <v>9998.75</v>
      </c>
      <c r="V211" s="42" t="n">
        <f aca="false">$D$207*(1+IF($C$207&lt;=0,0,MAX($C$207*V$5/12,Inputs!$C$8)))+$I$207*(V$5&gt;Inputs!$C$12)*$D$207*(1+Inputs!$C$11*(V$5-Inputs!$C$12)/12)</f>
        <v>10070</v>
      </c>
      <c r="W211" s="42" t="n">
        <f aca="false">$D$207*(1+IF($C$207&lt;=0,0,MAX($C$207*W$5/12,Inputs!$C$8)))+$I$207*(W$5&gt;Inputs!$C$12)*$D$207*(1+Inputs!$C$11*(W$5-Inputs!$C$12)/12)</f>
        <v>10141.25</v>
      </c>
      <c r="X211" s="42" t="n">
        <f aca="false">$D$207*(1+IF($C$207&lt;=0,0,MAX($C$207*X$5/12,Inputs!$C$8)))+$I$207*(X$5&gt;Inputs!$C$12)*$D$207*(1+Inputs!$C$11*(X$5-Inputs!$C$12)/12)</f>
        <v>10212.5</v>
      </c>
      <c r="Y211" s="42" t="n">
        <f aca="false">$D$207*(1+IF($C$207&lt;=0,0,MAX($C$207*Y$5/12,Inputs!$C$8)))+$I$207*(Y$5&gt;Inputs!$C$12)*$D$207*(1+Inputs!$C$11*(Y$5-Inputs!$C$12)/12)</f>
        <v>10283.75</v>
      </c>
      <c r="Z211" s="42" t="n">
        <f aca="false">$D$207*(1+IF($C$207&lt;=0,0,MAX($C$207*Z$5/12,Inputs!$C$8)))+$I$207*(Z$5&gt;Inputs!$C$12)*$D$207*(1+Inputs!$C$11*(Z$5-Inputs!$C$12)/12)</f>
        <v>10355</v>
      </c>
      <c r="AA211" s="42" t="n">
        <f aca="false">$D$207*(1+IF($C$207&lt;=0,0,MAX($C$207*AA$5/12,Inputs!$C$8)))+$I$207*(AA$5&gt;Inputs!$C$12)*$D$207*(1+Inputs!$C$11*(AA$5-Inputs!$C$12)/12)</f>
        <v>20068.75</v>
      </c>
      <c r="AB211" s="42" t="n">
        <f aca="false">$D$207*(1+IF($C$207&lt;=0,0,MAX($C$207*AB$5/12,Inputs!$C$8)))+$I$207*(AB$5&gt;Inputs!$C$12)*$D$207*(1+Inputs!$C$11*(AB$5-Inputs!$C$12)/12)</f>
        <v>20282.5</v>
      </c>
      <c r="AC211" s="42" t="n">
        <f aca="false">$D$207*(1+IF($C$207&lt;=0,0,MAX($C$207*AC$5/12,Inputs!$C$8)))+$I$207*(AC$5&gt;Inputs!$C$12)*$D$207*(1+Inputs!$C$11*(AC$5-Inputs!$C$12)/12)</f>
        <v>20496.25</v>
      </c>
      <c r="AD211" s="42" t="n">
        <f aca="false">$D$207*(1+IF($C$207&lt;=0,0,MAX($C$207*AD$5/12,Inputs!$C$8)))+$I$207*(AD$5&gt;Inputs!$C$12)*$D$207*(1+Inputs!$C$11*(AD$5-Inputs!$C$12)/12)</f>
        <v>20710</v>
      </c>
      <c r="AE211" s="42" t="n">
        <f aca="false">$D$207*(1+IF($C$207&lt;=0,0,MAX($C$207*AE$5/12,Inputs!$C$8)))+$I$207*(AE$5&gt;Inputs!$C$12)*$D$207*(1+Inputs!$C$11*(AE$5-Inputs!$C$12)/12)</f>
        <v>20923.75</v>
      </c>
      <c r="AF211" s="42" t="n">
        <f aca="false">$D$207*(1+IF($C$207&lt;=0,0,MAX($C$207*AF$5/12,Inputs!$C$8)))+$I$207*(AF$5&gt;Inputs!$C$12)*$D$207*(1+Inputs!$C$11*(AF$5-Inputs!$C$12)/12)</f>
        <v>21137.5</v>
      </c>
      <c r="AG211" s="42" t="n">
        <f aca="false">$D$207*(1+IF($C$207&lt;=0,0,MAX($C$207*AG$5/12,Inputs!$C$8)))+$I$207*(AG$5&gt;Inputs!$C$12)*$D$207*(1+Inputs!$C$11*(AG$5-Inputs!$C$12)/12)</f>
        <v>21351.25</v>
      </c>
      <c r="AH211" s="42" t="n">
        <f aca="false">$D$207*(1+IF($C$207&lt;=0,0,MAX($C$207*AH$5/12,Inputs!$C$8)))+$I$207*(AH$5&gt;Inputs!$C$12)*$D$207*(1+Inputs!$C$11*(AH$5-Inputs!$C$12)/12)</f>
        <v>21565</v>
      </c>
      <c r="AI211" s="42" t="n">
        <f aca="false">$D$207*(1+IF($C$207&lt;=0,0,MAX($C$207*AI$5/12,Inputs!$C$8)))+$I$207*(AI$5&gt;Inputs!$C$12)*$D$207*(1+Inputs!$C$11*(AI$5-Inputs!$C$12)/12)</f>
        <v>21778.75</v>
      </c>
      <c r="AJ211" s="42" t="n">
        <f aca="false">$D$207*(1+IF($C$207&lt;=0,0,MAX($C$207*AJ$5/12,Inputs!$C$8)))+$I$207*(AJ$5&gt;Inputs!$C$12)*$D$207*(1+Inputs!$C$11*(AJ$5-Inputs!$C$12)/12)</f>
        <v>21992.5</v>
      </c>
      <c r="AK211" s="42" t="n">
        <f aca="false">$D$207*(1+IF($C$207&lt;=0,0,MAX($C$207*AK$5/12,Inputs!$C$8)))+$I$207*(AK$5&gt;Inputs!$C$12)*$D$207*(1+Inputs!$C$11*(AK$5-Inputs!$C$12)/12)</f>
        <v>22206.25</v>
      </c>
      <c r="AL211" s="42" t="n">
        <f aca="false">$D$207*(1+IF($C$207&lt;=0,0,MAX($C$207*AL$5/12,Inputs!$C$8)))+$I$207*(AL$5&gt;Inputs!$C$12)*$D$207*(1+Inputs!$C$11*(AL$5-Inputs!$C$12)/12)</f>
        <v>22420</v>
      </c>
    </row>
    <row r="212" customFormat="false" ht="15" hidden="false" customHeight="false" outlineLevel="0" collapsed="false">
      <c r="B212" s="31" t="s">
        <v>187</v>
      </c>
      <c r="N212" s="42" t="n">
        <f aca="false">-($D$207+$J$207)*(N$5=0)+IF(AND(N$5-$K$207&gt;=1,N$5-$K$207&lt;=Inputs!$C$13),INDEX($N$210:$AL$210,1,N$5-$K$207+1)*INDEX($N$211:$AL$211,1,N$5-$K$207+1),0)-$I$207*((N$5=Inputs!$C$12)*$C$209*$D$207+(N$5=Inputs!$C$13)*$D$209*($D$207+Inputs!$C$14))+$I$207*((N$5=Inputs!$C$15+$K$207)*$E$209*$I$209+(N$5=Inputs!$C$16+$K$207)*$F$209*$J$209+(N$5=Inputs!$C$17)*$G$209*$H$207*$H$209)</f>
        <v>-9510</v>
      </c>
      <c r="O212" s="42" t="n">
        <f aca="false">-($D$207+$J$207)*(O$5=0)+IF(AND(O$5-$K$207&gt;=1,O$5-$K$207&lt;=Inputs!$C$13),INDEX($N$210:$AL$210,1,O$5-$K$207+1)*INDEX($N$211:$AL$211,1,O$5-$K$207+1),0)-$I$207*((O$5=Inputs!$C$12)*$C$209*$D$207+(O$5=Inputs!$C$13)*$D$209*($D$207+Inputs!$C$14))+$I$207*((O$5=Inputs!$C$15+$K$207)*$E$209*$I$209+(O$5=Inputs!$C$16+$K$207)*$F$209*$J$209+(O$5=Inputs!$C$17)*$G$209*$H$207*$H$209)</f>
        <v>0</v>
      </c>
      <c r="P212" s="42" t="n">
        <f aca="false">-($D$207+$J$207)*(P$5=0)+IF(AND(P$5-$K$207&gt;=1,P$5-$K$207&lt;=Inputs!$C$13),INDEX($N$210:$AL$210,1,P$5-$K$207+1)*INDEX($N$211:$AL$211,1,P$5-$K$207+1),0)-$I$207*((P$5=Inputs!$C$12)*$C$209*$D$207+(P$5=Inputs!$C$13)*$D$209*($D$207+Inputs!$C$14))+$I$207*((P$5=Inputs!$C$15+$K$207)*$E$209*$I$209+(P$5=Inputs!$C$16+$K$207)*$F$209*$J$209+(P$5=Inputs!$C$17)*$G$209*$H$207*$H$209)</f>
        <v>957.6</v>
      </c>
      <c r="Q212" s="42" t="n">
        <f aca="false">-($D$207+$J$207)*(Q$5=0)+IF(AND(Q$5-$K$207&gt;=1,Q$5-$K$207&lt;=Inputs!$C$13),INDEX($N$210:$AL$210,1,Q$5-$K$207+1)*INDEX($N$211:$AL$211,1,Q$5-$K$207+1),0)-$I$207*((Q$5=Inputs!$C$12)*$C$209*$D$207+(Q$5=Inputs!$C$13)*$D$209*($D$207+Inputs!$C$14))+$I$207*((Q$5=Inputs!$C$15+$K$207)*$E$209*$I$209+(Q$5=Inputs!$C$16+$K$207)*$F$209*$J$209+(Q$5=Inputs!$C$17)*$G$209*$H$207*$H$209)</f>
        <v>798</v>
      </c>
      <c r="R212" s="42" t="n">
        <f aca="false">-($D$207+$J$207)*(R$5=0)+IF(AND(R$5-$K$207&gt;=1,R$5-$K$207&lt;=Inputs!$C$13),INDEX($N$210:$AL$210,1,R$5-$K$207+1)*INDEX($N$211:$AL$211,1,R$5-$K$207+1),0)-$I$207*((R$5=Inputs!$C$12)*$C$209*$D$207+(R$5=Inputs!$C$13)*$D$209*($D$207+Inputs!$C$14))+$I$207*((R$5=Inputs!$C$15+$K$207)*$E$209*$I$209+(R$5=Inputs!$C$16+$K$207)*$F$209*$J$209+(R$5=Inputs!$C$17)*$G$209*$H$207*$H$209)</f>
        <v>718.2</v>
      </c>
      <c r="S212" s="42" t="n">
        <f aca="false">-($D$207+$J$207)*(S$5=0)+IF(AND(S$5-$K$207&gt;=1,S$5-$K$207&lt;=Inputs!$C$13),INDEX($N$210:$AL$210,1,S$5-$K$207+1)*INDEX($N$211:$AL$211,1,S$5-$K$207+1),0)-$I$207*((S$5=Inputs!$C$12)*$C$209*$D$207+(S$5=Inputs!$C$13)*$D$209*($D$207+Inputs!$C$14))+$I$207*((S$5=Inputs!$C$15+$K$207)*$E$209*$I$209+(S$5=Inputs!$C$16+$K$207)*$F$209*$J$209+(S$5=Inputs!$C$17)*$G$209*$H$207*$H$209)</f>
        <v>558.6</v>
      </c>
      <c r="T212" s="42" t="n">
        <f aca="false">-($D$207+$J$207)*(T$5=0)+IF(AND(T$5-$K$207&gt;=1,T$5-$K$207&lt;=Inputs!$C$13),INDEX($N$210:$AL$210,1,T$5-$K$207+1)*INDEX($N$211:$AL$211,1,T$5-$K$207+1),0)-$I$207*((T$5=Inputs!$C$12)*$C$209*$D$207+(T$5=Inputs!$C$13)*$D$209*($D$207+Inputs!$C$14))+$I$207*((T$5=Inputs!$C$15+$K$207)*$E$209*$I$209+(T$5=Inputs!$C$16+$K$207)*$F$209*$J$209+(T$5=Inputs!$C$17)*$G$209*$H$207*$H$209)</f>
        <v>558.6</v>
      </c>
      <c r="U212" s="42" t="n">
        <f aca="false">-($D$207+$J$207)*(U$5=0)+IF(AND(U$5-$K$207&gt;=1,U$5-$K$207&lt;=Inputs!$C$13),INDEX($N$210:$AL$210,1,U$5-$K$207+1)*INDEX($N$211:$AL$211,1,U$5-$K$207+1),0)-$I$207*((U$5=Inputs!$C$12)*$C$209*$D$207+(U$5=Inputs!$C$13)*$D$209*($D$207+Inputs!$C$14))+$I$207*((U$5=Inputs!$C$15+$K$207)*$E$209*$I$209+(U$5=Inputs!$C$16+$K$207)*$F$209*$J$209+(U$5=Inputs!$C$17)*$G$209*$H$207*$H$209)</f>
        <v>558.6</v>
      </c>
      <c r="V212" s="42" t="n">
        <f aca="false">-($D$207+$J$207)*(V$5=0)+IF(AND(V$5-$K$207&gt;=1,V$5-$K$207&lt;=Inputs!$C$13),INDEX($N$210:$AL$210,1,V$5-$K$207+1)*INDEX($N$211:$AL$211,1,V$5-$K$207+1),0)-$I$207*((V$5=Inputs!$C$12)*$C$209*$D$207+(V$5=Inputs!$C$13)*$D$209*($D$207+Inputs!$C$14))+$I$207*((V$5=Inputs!$C$15+$K$207)*$E$209*$I$209+(V$5=Inputs!$C$16+$K$207)*$F$209*$J$209+(V$5=Inputs!$C$17)*$G$209*$H$207*$H$209)</f>
        <v>346.623333333333</v>
      </c>
      <c r="W212" s="42" t="n">
        <f aca="false">-($D$207+$J$207)*(W$5=0)+IF(AND(W$5-$K$207&gt;=1,W$5-$K$207&lt;=Inputs!$C$13),INDEX($N$210:$AL$210,1,W$5-$K$207+1)*INDEX($N$211:$AL$211,1,W$5-$K$207+1),0)-$I$207*((W$5=Inputs!$C$12)*$C$209*$D$207+(W$5=Inputs!$C$13)*$D$209*($D$207+Inputs!$C$14))+$I$207*((W$5=Inputs!$C$15+$K$207)*$E$209*$I$209+(W$5=Inputs!$C$16+$K$207)*$F$209*$J$209+(W$5=Inputs!$C$17)*$G$209*$H$207*$H$209)</f>
        <v>349.093333333333</v>
      </c>
      <c r="X212" s="42" t="n">
        <f aca="false">-($D$207+$J$207)*(X$5=0)+IF(AND(X$5-$K$207&gt;=1,X$5-$K$207&lt;=Inputs!$C$13),INDEX($N$210:$AL$210,1,X$5-$K$207+1)*INDEX($N$211:$AL$211,1,X$5-$K$207+1),0)-$I$207*((X$5=Inputs!$C$12)*$C$209*$D$207+(X$5=Inputs!$C$13)*$D$209*($D$207+Inputs!$C$14))+$I$207*((X$5=Inputs!$C$15+$K$207)*$E$209*$I$209+(X$5=Inputs!$C$16+$K$207)*$F$209*$J$209+(X$5=Inputs!$C$17)*$G$209*$H$207*$H$209)</f>
        <v>351.563333333333</v>
      </c>
      <c r="Y212" s="42" t="n">
        <f aca="false">-($D$207+$J$207)*(Y$5=0)+IF(AND(Y$5-$K$207&gt;=1,Y$5-$K$207&lt;=Inputs!$C$13),INDEX($N$210:$AL$210,1,Y$5-$K$207+1)*INDEX($N$211:$AL$211,1,Y$5-$K$207+1),0)-$I$207*((Y$5=Inputs!$C$12)*$C$209*$D$207+(Y$5=Inputs!$C$13)*$D$209*($D$207+Inputs!$C$14))+$I$207*((Y$5=Inputs!$C$15+$K$207)*$E$209*$I$209+(Y$5=Inputs!$C$16+$K$207)*$F$209*$J$209+(Y$5=Inputs!$C$17)*$G$209*$H$207*$H$209)</f>
        <v>299.566666666666</v>
      </c>
      <c r="Z212" s="42" t="n">
        <f aca="false">-($D$207+$J$207)*(Z$5=0)+IF(AND(Z$5-$K$207&gt;=1,Z$5-$K$207&lt;=Inputs!$C$13),INDEX($N$210:$AL$210,1,Z$5-$K$207+1)*INDEX($N$211:$AL$211,1,Z$5-$K$207+1),0)-$I$207*((Z$5=Inputs!$C$12)*$C$209*$D$207+(Z$5=Inputs!$C$13)*$D$209*($D$207+Inputs!$C$14))+$I$207*((Z$5=Inputs!$C$15+$K$207)*$E$209*$I$209+(Z$5=Inputs!$C$16+$K$207)*$F$209*$J$209+(Z$5=Inputs!$C$17)*$G$209*$H$207*$H$209)</f>
        <v>-3422.34333333333</v>
      </c>
      <c r="AA212" s="42" t="n">
        <f aca="false">-($D$207+$J$207)*(AA$5=0)+IF(AND(AA$5-$K$207&gt;=1,AA$5-$K$207&lt;=Inputs!$C$13),INDEX($N$210:$AL$210,1,AA$5-$K$207+1)*INDEX($N$211:$AL$211,1,AA$5-$K$207+1),0)-$I$207*((AA$5=Inputs!$C$12)*$C$209*$D$207+(AA$5=Inputs!$C$13)*$D$209*($D$207+Inputs!$C$14))+$I$207*((AA$5=Inputs!$C$15+$K$207)*$E$209*$I$209+(AA$5=Inputs!$C$16+$K$207)*$F$209*$J$209+(AA$5=Inputs!$C$17)*$G$209*$H$207*$H$209)</f>
        <v>303.746666666666</v>
      </c>
      <c r="AB212" s="42" t="n">
        <f aca="false">-($D$207+$J$207)*(AB$5=0)+IF(AND(AB$5-$K$207&gt;=1,AB$5-$K$207&lt;=Inputs!$C$13),INDEX($N$210:$AL$210,1,AB$5-$K$207+1)*INDEX($N$211:$AL$211,1,AB$5-$K$207+1),0)-$I$207*((AB$5=Inputs!$C$12)*$C$209*$D$207+(AB$5=Inputs!$C$13)*$D$209*($D$207+Inputs!$C$14))+$I$207*((AB$5=Inputs!$C$15+$K$207)*$E$209*$I$209+(AB$5=Inputs!$C$16+$K$207)*$F$209*$J$209+(AB$5=Inputs!$C$17)*$G$209*$H$207*$H$209)</f>
        <v>374.616666666666</v>
      </c>
      <c r="AC212" s="42" t="n">
        <f aca="false">-($D$207+$J$207)*(AC$5=0)+IF(AND(AC$5-$K$207&gt;=1,AC$5-$K$207&lt;=Inputs!$C$13),INDEX($N$210:$AL$210,1,AC$5-$K$207+1)*INDEX($N$211:$AL$211,1,AC$5-$K$207+1),0)-$I$207*((AC$5=Inputs!$C$12)*$C$209*$D$207+(AC$5=Inputs!$C$13)*$D$209*($D$207+Inputs!$C$14))+$I$207*((AC$5=Inputs!$C$15+$K$207)*$E$209*$I$209+(AC$5=Inputs!$C$16+$K$207)*$F$209*$J$209+(AC$5=Inputs!$C$17)*$G$209*$H$207*$H$209)</f>
        <v>378.606666666666</v>
      </c>
      <c r="AD212" s="42" t="n">
        <f aca="false">-($D$207+$J$207)*(AD$5=0)+IF(AND(AD$5-$K$207&gt;=1,AD$5-$K$207&lt;=Inputs!$C$13),INDEX($N$210:$AL$210,1,AD$5-$K$207+1)*INDEX($N$211:$AL$211,1,AD$5-$K$207+1),0)-$I$207*((AD$5=Inputs!$C$12)*$C$209*$D$207+(AD$5=Inputs!$C$13)*$D$209*($D$207+Inputs!$C$14))+$I$207*((AD$5=Inputs!$C$15+$K$207)*$E$209*$I$209+(AD$5=Inputs!$C$16+$K$207)*$F$209*$J$209+(AD$5=Inputs!$C$17)*$G$209*$H$207*$H$209)</f>
        <v>382.596666666668</v>
      </c>
      <c r="AE212" s="42" t="n">
        <f aca="false">-($D$207+$J$207)*(AE$5=0)+IF(AND(AE$5-$K$207&gt;=1,AE$5-$K$207&lt;=Inputs!$C$13),INDEX($N$210:$AL$210,1,AE$5-$K$207+1)*INDEX($N$211:$AL$211,1,AE$5-$K$207+1),0)-$I$207*((AE$5=Inputs!$C$12)*$C$209*$D$207+(AE$5=Inputs!$C$13)*$D$209*($D$207+Inputs!$C$14))+$I$207*((AE$5=Inputs!$C$15+$K$207)*$E$209*$I$209+(AE$5=Inputs!$C$16+$K$207)*$F$209*$J$209+(AE$5=Inputs!$C$17)*$G$209*$H$207*$H$209)</f>
        <v>386.586666666666</v>
      </c>
      <c r="AF212" s="42" t="n">
        <f aca="false">-($D$207+$J$207)*(AF$5=0)+IF(AND(AF$5-$K$207&gt;=1,AF$5-$K$207&lt;=Inputs!$C$13),INDEX($N$210:$AL$210,1,AF$5-$K$207+1)*INDEX($N$211:$AL$211,1,AF$5-$K$207+1),0)-$I$207*((AF$5=Inputs!$C$12)*$C$209*$D$207+(AF$5=Inputs!$C$13)*$D$209*($D$207+Inputs!$C$14))+$I$207*((AF$5=Inputs!$C$15+$K$207)*$E$209*$I$209+(AF$5=Inputs!$C$16+$K$207)*$F$209*$J$209+(AF$5=Inputs!$C$17)*$G$209*$H$207*$H$209)</f>
        <v>390.576666666666</v>
      </c>
      <c r="AG212" s="42" t="n">
        <f aca="false">-($D$207+$J$207)*(AG$5=0)+IF(AND(AG$5-$K$207&gt;=1,AG$5-$K$207&lt;=Inputs!$C$13),INDEX($N$210:$AL$210,1,AG$5-$K$207+1)*INDEX($N$211:$AL$211,1,AG$5-$K$207+1),0)-$I$207*((AG$5=Inputs!$C$12)*$C$209*$D$207+(AG$5=Inputs!$C$13)*$D$209*($D$207+Inputs!$C$14))+$I$207*((AG$5=Inputs!$C$15+$K$207)*$E$209*$I$209+(AG$5=Inputs!$C$16+$K$207)*$F$209*$J$209+(AG$5=Inputs!$C$17)*$G$209*$H$207*$H$209)</f>
        <v>394.566666666666</v>
      </c>
      <c r="AH212" s="42" t="n">
        <f aca="false">-($D$207+$J$207)*(AH$5=0)+IF(AND(AH$5-$K$207&gt;=1,AH$5-$K$207&lt;=Inputs!$C$13),INDEX($N$210:$AL$210,1,AH$5-$K$207+1)*INDEX($N$211:$AL$211,1,AH$5-$K$207+1),0)-$I$207*((AH$5=Inputs!$C$12)*$C$209*$D$207+(AH$5=Inputs!$C$13)*$D$209*($D$207+Inputs!$C$14))+$I$207*((AH$5=Inputs!$C$15+$K$207)*$E$209*$I$209+(AH$5=Inputs!$C$16+$K$207)*$F$209*$J$209+(AH$5=Inputs!$C$17)*$G$209*$H$207*$H$209)</f>
        <v>284.683333333334</v>
      </c>
      <c r="AI212" s="42" t="n">
        <f aca="false">-($D$207+$J$207)*(AI$5=0)+IF(AND(AI$5-$K$207&gt;=1,AI$5-$K$207&lt;=Inputs!$C$13),INDEX($N$210:$AL$210,1,AI$5-$K$207+1)*INDEX($N$211:$AL$211,1,AI$5-$K$207+1),0)-$I$207*((AI$5=Inputs!$C$12)*$C$209*$D$207+(AI$5=Inputs!$C$13)*$D$209*($D$207+Inputs!$C$14))+$I$207*((AI$5=Inputs!$C$15+$K$207)*$E$209*$I$209+(AI$5=Inputs!$C$16+$K$207)*$F$209*$J$209+(AI$5=Inputs!$C$17)*$G$209*$H$207*$H$209)</f>
        <v>287.533333333332</v>
      </c>
      <c r="AJ212" s="42" t="n">
        <f aca="false">-($D$207+$J$207)*(AJ$5=0)+IF(AND(AJ$5-$K$207&gt;=1,AJ$5-$K$207&lt;=Inputs!$C$13),INDEX($N$210:$AL$210,1,AJ$5-$K$207+1)*INDEX($N$211:$AL$211,1,AJ$5-$K$207+1),0)-$I$207*((AJ$5=Inputs!$C$12)*$C$209*$D$207+(AJ$5=Inputs!$C$13)*$D$209*($D$207+Inputs!$C$14))+$I$207*((AJ$5=Inputs!$C$15+$K$207)*$E$209*$I$209+(AJ$5=Inputs!$C$16+$K$207)*$F$209*$J$209+(AJ$5=Inputs!$C$17)*$G$209*$H$207*$H$209)</f>
        <v>290.383333333332</v>
      </c>
      <c r="AK212" s="42" t="n">
        <f aca="false">-($D$207+$J$207)*(AK$5=0)+IF(AND(AK$5-$K$207&gt;=1,AK$5-$K$207&lt;=Inputs!$C$13),INDEX($N$210:$AL$210,1,AK$5-$K$207+1)*INDEX($N$211:$AL$211,1,AK$5-$K$207+1),0)-$I$207*((AK$5=Inputs!$C$12)*$C$209*$D$207+(AK$5=Inputs!$C$13)*$D$209*($D$207+Inputs!$C$14))+$I$207*((AK$5=Inputs!$C$15+$K$207)*$E$209*$I$209+(AK$5=Inputs!$C$16+$K$207)*$F$209*$J$209+(AK$5=Inputs!$C$17)*$G$209*$H$207*$H$209)</f>
        <v>293.233333333334</v>
      </c>
      <c r="AL212" s="42" t="n">
        <f aca="false">-($D$207+$J$207)*(AL$5=0)+IF(AND(AL$5-$K$207&gt;=1,AL$5-$K$207&lt;=Inputs!$C$13),INDEX($N$210:$AL$210,1,AL$5-$K$207+1)*INDEX($N$211:$AL$211,1,AL$5-$K$207+1),0)-$I$207*((AL$5=Inputs!$C$12)*$C$209*$D$207+(AL$5=Inputs!$C$13)*$D$209*($D$207+Inputs!$C$14))+$I$207*((AL$5=Inputs!$C$15+$K$207)*$E$209*$I$209+(AL$5=Inputs!$C$16+$K$207)*$F$209*$J$209+(AL$5=Inputs!$C$17)*$G$209*$H$207*$H$209)</f>
        <v>-1963.91666666667</v>
      </c>
      <c r="AM212" s="42" t="n">
        <f aca="false">-($D$207+$J$207)*(AM$5=0)+IF(AND(AM$5-$K$207&gt;=1,AM$5-$K$207&lt;=Inputs!$C$13),INDEX($N$210:$AL$210,1,AM$5-$K$207+1)*INDEX($N$211:$AL$211,1,AM$5-$K$207+1),0)-$I$207*((AM$5=Inputs!$C$12)*$C$209*$D$207+(AM$5=Inputs!$C$13)*$D$209*($D$207+Inputs!$C$14))+$I$207*((AM$5=Inputs!$C$15+$K$207)*$E$209*$I$209+(AM$5=Inputs!$C$16+$K$207)*$F$209*$J$209+(AM$5=Inputs!$C$17)*$G$209*$H$207*$H$209)</f>
        <v>298.933333333332</v>
      </c>
      <c r="AN212" s="42" t="n">
        <f aca="false">-($D$207+$J$207)*(AN$5=0)+IF(AND(AN$5-$K$207&gt;=1,AN$5-$K$207&lt;=Inputs!$C$13),INDEX($N$210:$AL$210,1,AN$5-$K$207+1)*INDEX($N$211:$AL$211,1,AN$5-$K$207+1),0)-$I$207*((AN$5=Inputs!$C$12)*$C$209*$D$207+(AN$5=Inputs!$C$13)*$D$209*($D$207+Inputs!$C$14))+$I$207*((AN$5=Inputs!$C$15+$K$207)*$E$209*$I$209+(AN$5=Inputs!$C$16+$K$207)*$F$209*$J$209+(AN$5=Inputs!$C$17)*$G$209*$H$207*$H$209)</f>
        <v>0</v>
      </c>
      <c r="AO212" s="42" t="n">
        <f aca="false">-($D$207+$J$207)*(AO$5=0)+IF(AND(AO$5-$K$207&gt;=1,AO$5-$K$207&lt;=Inputs!$C$13),INDEX($N$210:$AL$210,1,AO$5-$K$207+1)*INDEX($N$211:$AL$211,1,AO$5-$K$207+1),0)-$I$207*((AO$5=Inputs!$C$12)*$C$209*$D$207+(AO$5=Inputs!$C$13)*$D$209*($D$207+Inputs!$C$14))+$I$207*((AO$5=Inputs!$C$15+$K$207)*$E$209*$I$209+(AO$5=Inputs!$C$16+$K$207)*$F$209*$J$209+(AO$5=Inputs!$C$17)*$G$209*$H$207*$H$209)</f>
        <v>0</v>
      </c>
      <c r="AP212" s="42" t="n">
        <f aca="false">-($D$207+$J$207)*(AP$5=0)+IF(AND(AP$5-$K$207&gt;=1,AP$5-$K$207&lt;=Inputs!$C$13),INDEX($N$210:$AL$210,1,AP$5-$K$207+1)*INDEX($N$211:$AL$211,1,AP$5-$K$207+1),0)-$I$207*((AP$5=Inputs!$C$12)*$C$209*$D$207+(AP$5=Inputs!$C$13)*$D$209*($D$207+Inputs!$C$14))+$I$207*((AP$5=Inputs!$C$15+$K$207)*$E$209*$I$209+(AP$5=Inputs!$C$16+$K$207)*$F$209*$J$209+(AP$5=Inputs!$C$17)*$G$209*$H$207*$H$209)</f>
        <v>4174.65</v>
      </c>
      <c r="AQ212" s="42" t="n">
        <f aca="false">-($D$207+$J$207)*(AQ$5=0)+IF(AND(AQ$5-$K$207&gt;=1,AQ$5-$K$207&lt;=Inputs!$C$13),INDEX($N$210:$AL$210,1,AQ$5-$K$207+1)*INDEX($N$211:$AL$211,1,AQ$5-$K$207+1),0)-$I$207*((AQ$5=Inputs!$C$12)*$C$209*$D$207+(AQ$5=Inputs!$C$13)*$D$209*($D$207+Inputs!$C$14))+$I$207*((AQ$5=Inputs!$C$15+$K$207)*$E$209*$I$209+(AQ$5=Inputs!$C$16+$K$207)*$F$209*$J$209+(AQ$5=Inputs!$C$17)*$G$209*$H$207*$H$209)</f>
        <v>0</v>
      </c>
      <c r="AR212" s="42" t="n">
        <f aca="false">-($D$207+$J$207)*(AR$5=0)+IF(AND(AR$5-$K$207&gt;=1,AR$5-$K$207&lt;=Inputs!$C$13),INDEX($N$210:$AL$210,1,AR$5-$K$207+1)*INDEX($N$211:$AL$211,1,AR$5-$K$207+1),0)-$I$207*((AR$5=Inputs!$C$12)*$C$209*$D$207+(AR$5=Inputs!$C$13)*$D$209*($D$207+Inputs!$C$14))+$I$207*((AR$5=Inputs!$C$15+$K$207)*$E$209*$I$209+(AR$5=Inputs!$C$16+$K$207)*$F$209*$J$209+(AR$5=Inputs!$C$17)*$G$209*$H$207*$H$209)</f>
        <v>0</v>
      </c>
      <c r="AS212" s="42" t="n">
        <f aca="false">-($D$207+$J$207)*(AS$5=0)+IF(AND(AS$5-$K$207&gt;=1,AS$5-$K$207&lt;=Inputs!$C$13),INDEX($N$210:$AL$210,1,AS$5-$K$207+1)*INDEX($N$211:$AL$211,1,AS$5-$K$207+1),0)-$I$207*((AS$5=Inputs!$C$12)*$C$209*$D$207+(AS$5=Inputs!$C$13)*$D$209*($D$207+Inputs!$C$14))+$I$207*((AS$5=Inputs!$C$15+$K$207)*$E$209*$I$209+(AS$5=Inputs!$C$16+$K$207)*$F$209*$J$209+(AS$5=Inputs!$C$17)*$G$209*$H$207*$H$209)</f>
        <v>1147.44</v>
      </c>
      <c r="AT212" s="42" t="n">
        <f aca="false">-($D$207+$J$207)*(AT$5=0)+IF(AND(AT$5-$K$207&gt;=1,AT$5-$K$207&lt;=Inputs!$C$13),INDEX($N$210:$AL$210,1,AT$5-$K$207+1)*INDEX($N$211:$AL$211,1,AT$5-$K$207+1),0)-$I$207*((AT$5=Inputs!$C$12)*$C$209*$D$207+(AT$5=Inputs!$C$13)*$D$209*($D$207+Inputs!$C$14))+$I$207*((AT$5=Inputs!$C$15+$K$207)*$E$209*$I$209+(AT$5=Inputs!$C$16+$K$207)*$F$209*$J$209+(AT$5=Inputs!$C$17)*$G$209*$H$207*$H$209)</f>
        <v>0</v>
      </c>
      <c r="AU212" s="42" t="n">
        <f aca="false">-($D$207+$J$207)*(AU$5=0)+IF(AND(AU$5-$K$207&gt;=1,AU$5-$K$207&lt;=Inputs!$C$13),INDEX($N$210:$AL$210,1,AU$5-$K$207+1)*INDEX($N$211:$AL$211,1,AU$5-$K$207+1),0)-$I$207*((AU$5=Inputs!$C$12)*$C$209*$D$207+(AU$5=Inputs!$C$13)*$D$209*($D$207+Inputs!$C$14))+$I$207*((AU$5=Inputs!$C$15+$K$207)*$E$209*$I$209+(AU$5=Inputs!$C$16+$K$207)*$F$209*$J$209+(AU$5=Inputs!$C$17)*$G$209*$H$207*$H$209)</f>
        <v>0</v>
      </c>
      <c r="AV212" s="42" t="n">
        <f aca="false">-($D$207+$J$207)*(AV$5=0)+IF(AND(AV$5-$K$207&gt;=1,AV$5-$K$207&lt;=Inputs!$C$13),INDEX($N$210:$AL$210,1,AV$5-$K$207+1)*INDEX($N$211:$AL$211,1,AV$5-$K$207+1),0)-$I$207*((AV$5=Inputs!$C$12)*$C$209*$D$207+(AV$5=Inputs!$C$13)*$D$209*($D$207+Inputs!$C$14))+$I$207*((AV$5=Inputs!$C$15+$K$207)*$E$209*$I$209+(AV$5=Inputs!$C$16+$K$207)*$F$209*$J$209+(AV$5=Inputs!$C$17)*$G$209*$H$207*$H$209)</f>
        <v>0</v>
      </c>
      <c r="AW212" s="42" t="n">
        <f aca="false">-($D$207+$J$207)*(AW$5=0)+IF(AND(AW$5-$K$207&gt;=1,AW$5-$K$207&lt;=Inputs!$C$13),INDEX($N$210:$AL$210,1,AW$5-$K$207+1)*INDEX($N$211:$AL$211,1,AW$5-$K$207+1),0)-$I$207*((AW$5=Inputs!$C$12)*$C$209*$D$207+(AW$5=Inputs!$C$13)*$D$209*($D$207+Inputs!$C$14))+$I$207*((AW$5=Inputs!$C$15+$K$207)*$E$209*$I$209+(AW$5=Inputs!$C$16+$K$207)*$F$209*$J$209+(AW$5=Inputs!$C$17)*$G$209*$H$207*$H$209)</f>
        <v>0</v>
      </c>
      <c r="AX212" s="42" t="n">
        <f aca="false">-($D$207+$J$207)*(AX$5=0)+IF(AND(AX$5-$K$207&gt;=1,AX$5-$K$207&lt;=Inputs!$C$13),INDEX($N$210:$AL$210,1,AX$5-$K$207+1)*INDEX($N$211:$AL$211,1,AX$5-$K$207+1),0)-$I$207*((AX$5=Inputs!$C$12)*$C$209*$D$207+(AX$5=Inputs!$C$13)*$D$209*($D$207+Inputs!$C$14))+$I$207*((AX$5=Inputs!$C$15+$K$207)*$E$209*$I$209+(AX$5=Inputs!$C$16+$K$207)*$F$209*$J$209+(AX$5=Inputs!$C$17)*$G$209*$H$207*$H$209)</f>
        <v>1018.08</v>
      </c>
      <c r="AY212" s="42" t="n">
        <f aca="false">-($D$207+$J$207)*(AY$5=0)+IF(AND(AY$5-$K$207&gt;=1,AY$5-$K$207&lt;=Inputs!$C$13),INDEX($N$210:$AL$210,1,AY$5-$K$207+1)*INDEX($N$211:$AL$211,1,AY$5-$K$207+1),0)-$I$207*((AY$5=Inputs!$C$12)*$C$209*$D$207+(AY$5=Inputs!$C$13)*$D$209*($D$207+Inputs!$C$14))+$I$207*((AY$5=Inputs!$C$15+$K$207)*$E$209*$I$209+(AY$5=Inputs!$C$16+$K$207)*$F$209*$J$209+(AY$5=Inputs!$C$17)*$G$209*$H$207*$H$209)</f>
        <v>0</v>
      </c>
    </row>
    <row r="214" customFormat="false" ht="15" hidden="false" customHeight="false" outlineLevel="0" collapsed="false">
      <c r="B214" s="7" t="s">
        <v>264</v>
      </c>
      <c r="C214" s="8"/>
      <c r="D214" s="8"/>
      <c r="E214" s="8"/>
      <c r="F214" s="8"/>
      <c r="G214" s="8"/>
      <c r="H214" s="8"/>
      <c r="I214" s="8"/>
      <c r="J214" s="8"/>
      <c r="K214" s="8"/>
      <c r="L214" s="8"/>
    </row>
    <row r="215" customFormat="false" ht="30" hidden="false" customHeight="true" outlineLevel="0" collapsed="false">
      <c r="B215" s="37"/>
      <c r="C215" s="38" t="s">
        <v>169</v>
      </c>
      <c r="D215" s="38" t="s">
        <v>170</v>
      </c>
      <c r="E215" s="38" t="s">
        <v>171</v>
      </c>
      <c r="F215" s="38" t="s">
        <v>43</v>
      </c>
      <c r="G215" s="38" t="s">
        <v>44</v>
      </c>
      <c r="H215" s="38" t="s">
        <v>45</v>
      </c>
      <c r="I215" s="38" t="s">
        <v>172</v>
      </c>
      <c r="J215" s="38" t="s">
        <v>90</v>
      </c>
      <c r="K215" s="38" t="s">
        <v>89</v>
      </c>
      <c r="L215" s="38" t="s">
        <v>173</v>
      </c>
    </row>
    <row r="216" customFormat="false" ht="15" hidden="false" customHeight="false" outlineLevel="0" collapsed="false">
      <c r="B216" s="39" t="s">
        <v>174</v>
      </c>
      <c r="C216" s="26" t="n">
        <f aca="false">Inputs!$F$42*Inputs!$E$59</f>
        <v>0.13</v>
      </c>
      <c r="D216" s="30" t="n">
        <f aca="false">Inputs!$E$42</f>
        <v>1600</v>
      </c>
      <c r="E216" s="26" t="n">
        <f aca="false">IF(Inputs!$G$42=1,Inputs!$F$27,MIN(1,MAX(0,INDEX(Inputs!$F$23:$F$27,MATCH(Inputs!$C$42,Inputs!$B$23:$B$27,0))+INDEX(Inputs!$C$48:$C$51,MATCH(Inputs!$D$59,Inputs!$B$48:$B$51,0)))))</f>
        <v>0.7</v>
      </c>
      <c r="F216" s="25" t="n">
        <f aca="false">IF(Inputs!$G$42=1,Inputs!$G$27,INDEX(Inputs!$G$23:$G$27,MATCH(Inputs!$C$42,Inputs!$B$23:$B$27,0)))</f>
        <v>0.4</v>
      </c>
      <c r="G216" s="25" t="n">
        <f aca="false">IF(Inputs!$G$42=1,Inputs!$H$27,INDEX(Inputs!$H$23:$H$27,MATCH(Inputs!$C$42,Inputs!$B$23:$B$27,0)))*INDEX(Inputs!$D$48:$D$51,MATCH(Inputs!$D$59,Inputs!$B$48:$B$51,0))</f>
        <v>0.25</v>
      </c>
      <c r="H216" s="25" t="n">
        <f aca="false">MAX(0,IF(Inputs!$G$42=1,Inputs!$I$27,INDEX(Inputs!$I$23:$I$27,MATCH(Inputs!$C$42,Inputs!$B$23:$B$27,0)))+INDEX(Inputs!$E$48:$E$51,MATCH(Inputs!$D$59,Inputs!$B$48:$B$51,0)))</f>
        <v>0.5</v>
      </c>
      <c r="I216" s="22" t="n">
        <f aca="false">IF(Inputs!$G$42=1,0,INDEX(Inputs!$J$23:$J$27,MATCH(Inputs!$C$42,Inputs!$B$23:$B$27,0)))</f>
        <v>1</v>
      </c>
      <c r="J216" s="23" t="n">
        <f aca="false">Inputs!$G$59</f>
        <v>10</v>
      </c>
      <c r="K216" s="22" t="n">
        <f aca="false">Inputs!$F$59</f>
        <v>1</v>
      </c>
      <c r="L216" s="22" t="n">
        <f aca="false">Inputs!$C$59</f>
        <v>1</v>
      </c>
    </row>
    <row r="217" customFormat="false" ht="30" hidden="false" customHeight="true" outlineLevel="0" collapsed="false">
      <c r="B217" s="37"/>
      <c r="C217" s="38" t="s">
        <v>175</v>
      </c>
      <c r="D217" s="38" t="s">
        <v>176</v>
      </c>
      <c r="E217" s="38" t="s">
        <v>177</v>
      </c>
      <c r="F217" s="38" t="s">
        <v>178</v>
      </c>
      <c r="G217" s="38" t="s">
        <v>112</v>
      </c>
      <c r="H217" s="38" t="s">
        <v>179</v>
      </c>
      <c r="I217" s="38" t="s">
        <v>180</v>
      </c>
      <c r="J217" s="38" t="s">
        <v>181</v>
      </c>
      <c r="K217" s="38" t="s">
        <v>182</v>
      </c>
      <c r="L217" s="38" t="s">
        <v>183</v>
      </c>
    </row>
    <row r="218" customFormat="false" ht="15" hidden="false" customHeight="false" outlineLevel="0" collapsed="false">
      <c r="B218" s="39" t="s">
        <v>184</v>
      </c>
      <c r="C218" s="40" t="n">
        <f aca="false">1-$E$216*CHOOSE($L$216,INDEX(Timing!$C$7:$AA$7,1,Inputs!$C$12+1),INDEX(Timing!$C$8:$AA$8,1,Inputs!$C$12+1))</f>
        <v>0.468</v>
      </c>
      <c r="D218" s="40" t="n">
        <f aca="false">1-$E$216*CHOOSE($L$216,INDEX(Timing!$C$7:$AA$7,1,Inputs!$C$13+1),INDEX(Timing!$C$8:$AA$8,1,Inputs!$C$13+1))</f>
        <v>0.3</v>
      </c>
      <c r="E218" s="40" t="n">
        <f aca="false">$I$216*$D$218*$F$216</f>
        <v>0.12</v>
      </c>
      <c r="F218" s="40" t="n">
        <f aca="false">$I$216*($D$218-$E$218)*$G$216</f>
        <v>0.045</v>
      </c>
      <c r="G218" s="40" t="n">
        <f aca="false">$I$216*($D$218-$E$218-$F$218)</f>
        <v>0.135</v>
      </c>
      <c r="H218" s="23" t="n">
        <f aca="false">$I$216*(3*$D$216+Inputs!$C$14)</f>
        <v>6600</v>
      </c>
      <c r="I218" s="23" t="n">
        <f aca="false">$I$216*($D$216*(1+IF($C$216&lt;=0,0,MAX($C$216*Inputs!$C$15/12,Inputs!$C$8)))+$D$216*(1+Inputs!$C$11*(Inputs!$C$15-Inputs!$C$12)/12)+$D$216*(1+Inputs!$C$11*(Inputs!$C$15-Inputs!$C$13)/12)+Inputs!$C$14)</f>
        <v>7500</v>
      </c>
      <c r="J218" s="23" t="n">
        <f aca="false">$I$216*($D$216*(1+IF($C$216&lt;=0,0,MAX($C$216*Inputs!$C$16/12,Inputs!$C$8)))+$D$216*(1+Inputs!$C$11*(Inputs!$C$16-Inputs!$C$12)/12)+$D$216*(1+Inputs!$C$11*(Inputs!$C$16-Inputs!$C$13)/12)+Inputs!$C$14)</f>
        <v>7696</v>
      </c>
      <c r="K218" s="40" t="n">
        <f aca="false">IRR($N$221:$AY$221,0.005)</f>
        <v>-0.0042351972815663</v>
      </c>
      <c r="L218" s="41" t="n">
        <f aca="false">(1+$K$218)^12-1</f>
        <v>-0.0496550866428055</v>
      </c>
    </row>
    <row r="219" customFormat="false" ht="15" hidden="false" customHeight="false" outlineLevel="0" collapsed="false">
      <c r="B219" s="9" t="s">
        <v>185</v>
      </c>
      <c r="N219" s="40" t="n">
        <f aca="false">0</f>
        <v>0</v>
      </c>
      <c r="O219" s="40" t="n">
        <f aca="false">$E$216*(CHOOSE($L$216,Timing!D$7,Timing!D$8)-CHOOSE($L$216,Timing!C$7,Timing!C$8))</f>
        <v>0.084</v>
      </c>
      <c r="P219" s="40" t="n">
        <f aca="false">$E$216*(CHOOSE($L$216,Timing!E$7,Timing!E$8)-CHOOSE($L$216,Timing!D$7,Timing!D$8))</f>
        <v>0.07</v>
      </c>
      <c r="Q219" s="40" t="n">
        <f aca="false">$E$216*(CHOOSE($L$216,Timing!F$7,Timing!F$8)-CHOOSE($L$216,Timing!E$7,Timing!E$8))</f>
        <v>0.063</v>
      </c>
      <c r="R219" s="40" t="n">
        <f aca="false">$E$216*(CHOOSE($L$216,Timing!G$7,Timing!G$8)-CHOOSE($L$216,Timing!F$7,Timing!F$8))</f>
        <v>0.049</v>
      </c>
      <c r="S219" s="40" t="n">
        <f aca="false">$E$216*(CHOOSE($L$216,Timing!H$7,Timing!H$8)-CHOOSE($L$216,Timing!G$7,Timing!G$8))</f>
        <v>0.049</v>
      </c>
      <c r="T219" s="40" t="n">
        <f aca="false">$E$216*(CHOOSE($L$216,Timing!I$7,Timing!I$8)-CHOOSE($L$216,Timing!H$7,Timing!H$8))</f>
        <v>0.049</v>
      </c>
      <c r="U219" s="40" t="n">
        <f aca="false">$E$216*(CHOOSE($L$216,Timing!J$7,Timing!J$8)-CHOOSE($L$216,Timing!I$7,Timing!I$8))</f>
        <v>0.0303333333333333</v>
      </c>
      <c r="V219" s="40" t="n">
        <f aca="false">$E$216*(CHOOSE($L$216,Timing!K$7,Timing!K$8)-CHOOSE($L$216,Timing!J$7,Timing!J$8))</f>
        <v>0.0303333333333333</v>
      </c>
      <c r="W219" s="40" t="n">
        <f aca="false">$E$216*(CHOOSE($L$216,Timing!L$7,Timing!L$8)-CHOOSE($L$216,Timing!K$7,Timing!K$8))</f>
        <v>0.0303333333333333</v>
      </c>
      <c r="X219" s="40" t="n">
        <f aca="false">$E$216*(CHOOSE($L$216,Timing!M$7,Timing!M$8)-CHOOSE($L$216,Timing!L$7,Timing!L$8))</f>
        <v>0.0256666666666666</v>
      </c>
      <c r="Y219" s="40" t="n">
        <f aca="false">$E$216*(CHOOSE($L$216,Timing!N$7,Timing!N$8)-CHOOSE($L$216,Timing!M$7,Timing!M$8))</f>
        <v>0.0256666666666667</v>
      </c>
      <c r="Z219" s="40" t="n">
        <f aca="false">$E$216*(CHOOSE($L$216,Timing!O$7,Timing!O$8)-CHOOSE($L$216,Timing!N$7,Timing!N$8))</f>
        <v>0.0256666666666666</v>
      </c>
      <c r="AA219" s="40" t="n">
        <f aca="false">$E$216*(CHOOSE($L$216,Timing!P$7,Timing!P$8)-CHOOSE($L$216,Timing!O$7,Timing!O$8))</f>
        <v>0.0163333333333333</v>
      </c>
      <c r="AB219" s="40" t="n">
        <f aca="false">$E$216*(CHOOSE($L$216,Timing!Q$7,Timing!Q$8)-CHOOSE($L$216,Timing!P$7,Timing!P$8))</f>
        <v>0.0163333333333333</v>
      </c>
      <c r="AC219" s="40" t="n">
        <f aca="false">$E$216*(CHOOSE($L$216,Timing!R$7,Timing!R$8)-CHOOSE($L$216,Timing!Q$7,Timing!Q$8))</f>
        <v>0.0163333333333334</v>
      </c>
      <c r="AD219" s="40" t="n">
        <f aca="false">$E$216*(CHOOSE($L$216,Timing!S$7,Timing!S$8)-CHOOSE($L$216,Timing!R$7,Timing!R$8))</f>
        <v>0.0163333333333333</v>
      </c>
      <c r="AE219" s="40" t="n">
        <f aca="false">$E$216*(CHOOSE($L$216,Timing!T$7,Timing!T$8)-CHOOSE($L$216,Timing!S$7,Timing!S$8))</f>
        <v>0.0163333333333333</v>
      </c>
      <c r="AF219" s="40" t="n">
        <f aca="false">$E$216*(CHOOSE($L$216,Timing!U$7,Timing!U$8)-CHOOSE($L$216,Timing!T$7,Timing!T$8))</f>
        <v>0.0163333333333333</v>
      </c>
      <c r="AG219" s="40" t="n">
        <f aca="false">$E$216*(CHOOSE($L$216,Timing!V$7,Timing!V$8)-CHOOSE($L$216,Timing!U$7,Timing!U$8))</f>
        <v>0.0116666666666667</v>
      </c>
      <c r="AH219" s="40" t="n">
        <f aca="false">$E$216*(CHOOSE($L$216,Timing!W$7,Timing!W$8)-CHOOSE($L$216,Timing!V$7,Timing!V$8))</f>
        <v>0.0116666666666666</v>
      </c>
      <c r="AI219" s="40" t="n">
        <f aca="false">$E$216*(CHOOSE($L$216,Timing!X$7,Timing!X$8)-CHOOSE($L$216,Timing!W$7,Timing!W$8))</f>
        <v>0.0116666666666666</v>
      </c>
      <c r="AJ219" s="40" t="n">
        <f aca="false">$E$216*(CHOOSE($L$216,Timing!Y$7,Timing!Y$8)-CHOOSE($L$216,Timing!X$7,Timing!X$8))</f>
        <v>0.0116666666666667</v>
      </c>
      <c r="AK219" s="40" t="n">
        <f aca="false">$E$216*(CHOOSE($L$216,Timing!Z$7,Timing!Z$8)-CHOOSE($L$216,Timing!Y$7,Timing!Y$8))</f>
        <v>0.0116666666666667</v>
      </c>
      <c r="AL219" s="40" t="n">
        <f aca="false">$E$216*(CHOOSE($L$216,Timing!AA$7,Timing!AA$8)-CHOOSE($L$216,Timing!Z$7,Timing!Z$8))</f>
        <v>0.0116666666666666</v>
      </c>
    </row>
    <row r="220" customFormat="false" ht="15" hidden="false" customHeight="false" outlineLevel="0" collapsed="false">
      <c r="B220" s="9" t="s">
        <v>186</v>
      </c>
      <c r="N220" s="42" t="n">
        <f aca="false">0</f>
        <v>0</v>
      </c>
      <c r="O220" s="42" t="n">
        <f aca="false">$D$216*(1+IF($C$216&lt;=0,0,MAX($C$216*O$5/12,Inputs!$C$8)))+$I$216*(O$5&gt;Inputs!$C$12)*$D$216*(1+Inputs!$C$11*(O$5-Inputs!$C$12)/12)</f>
        <v>1680</v>
      </c>
      <c r="P220" s="42" t="n">
        <f aca="false">$D$216*(1+IF($C$216&lt;=0,0,MAX($C$216*P$5/12,Inputs!$C$8)))+$I$216*(P$5&gt;Inputs!$C$12)*$D$216*(1+Inputs!$C$11*(P$5-Inputs!$C$12)/12)</f>
        <v>1680</v>
      </c>
      <c r="Q220" s="42" t="n">
        <f aca="false">$D$216*(1+IF($C$216&lt;=0,0,MAX($C$216*Q$5/12,Inputs!$C$8)))+$I$216*(Q$5&gt;Inputs!$C$12)*$D$216*(1+Inputs!$C$11*(Q$5-Inputs!$C$12)/12)</f>
        <v>1680</v>
      </c>
      <c r="R220" s="42" t="n">
        <f aca="false">$D$216*(1+IF($C$216&lt;=0,0,MAX($C$216*R$5/12,Inputs!$C$8)))+$I$216*(R$5&gt;Inputs!$C$12)*$D$216*(1+Inputs!$C$11*(R$5-Inputs!$C$12)/12)</f>
        <v>1680</v>
      </c>
      <c r="S220" s="42" t="n">
        <f aca="false">$D$216*(1+IF($C$216&lt;=0,0,MAX($C$216*S$5/12,Inputs!$C$8)))+$I$216*(S$5&gt;Inputs!$C$12)*$D$216*(1+Inputs!$C$11*(S$5-Inputs!$C$12)/12)</f>
        <v>1686.66666666667</v>
      </c>
      <c r="T220" s="42" t="n">
        <f aca="false">$D$216*(1+IF($C$216&lt;=0,0,MAX($C$216*T$5/12,Inputs!$C$8)))+$I$216*(T$5&gt;Inputs!$C$12)*$D$216*(1+Inputs!$C$11*(T$5-Inputs!$C$12)/12)</f>
        <v>1704</v>
      </c>
      <c r="U220" s="42" t="n">
        <f aca="false">$D$216*(1+IF($C$216&lt;=0,0,MAX($C$216*U$5/12,Inputs!$C$8)))+$I$216*(U$5&gt;Inputs!$C$12)*$D$216*(1+Inputs!$C$11*(U$5-Inputs!$C$12)/12)</f>
        <v>1721.33333333333</v>
      </c>
      <c r="V220" s="42" t="n">
        <f aca="false">$D$216*(1+IF($C$216&lt;=0,0,MAX($C$216*V$5/12,Inputs!$C$8)))+$I$216*(V$5&gt;Inputs!$C$12)*$D$216*(1+Inputs!$C$11*(V$5-Inputs!$C$12)/12)</f>
        <v>1738.66666666667</v>
      </c>
      <c r="W220" s="42" t="n">
        <f aca="false">$D$216*(1+IF($C$216&lt;=0,0,MAX($C$216*W$5/12,Inputs!$C$8)))+$I$216*(W$5&gt;Inputs!$C$12)*$D$216*(1+Inputs!$C$11*(W$5-Inputs!$C$12)/12)</f>
        <v>1756</v>
      </c>
      <c r="X220" s="42" t="n">
        <f aca="false">$D$216*(1+IF($C$216&lt;=0,0,MAX($C$216*X$5/12,Inputs!$C$8)))+$I$216*(X$5&gt;Inputs!$C$12)*$D$216*(1+Inputs!$C$11*(X$5-Inputs!$C$12)/12)</f>
        <v>1773.33333333333</v>
      </c>
      <c r="Y220" s="42" t="n">
        <f aca="false">$D$216*(1+IF($C$216&lt;=0,0,MAX($C$216*Y$5/12,Inputs!$C$8)))+$I$216*(Y$5&gt;Inputs!$C$12)*$D$216*(1+Inputs!$C$11*(Y$5-Inputs!$C$12)/12)</f>
        <v>1790.66666666667</v>
      </c>
      <c r="Z220" s="42" t="n">
        <f aca="false">$D$216*(1+IF($C$216&lt;=0,0,MAX($C$216*Z$5/12,Inputs!$C$8)))+$I$216*(Z$5&gt;Inputs!$C$12)*$D$216*(1+Inputs!$C$11*(Z$5-Inputs!$C$12)/12)</f>
        <v>1808</v>
      </c>
      <c r="AA220" s="42" t="n">
        <f aca="false">$D$216*(1+IF($C$216&lt;=0,0,MAX($C$216*AA$5/12,Inputs!$C$8)))+$I$216*(AA$5&gt;Inputs!$C$12)*$D$216*(1+Inputs!$C$11*(AA$5-Inputs!$C$12)/12)</f>
        <v>3449.33333333333</v>
      </c>
      <c r="AB220" s="42" t="n">
        <f aca="false">$D$216*(1+IF($C$216&lt;=0,0,MAX($C$216*AB$5/12,Inputs!$C$8)))+$I$216*(AB$5&gt;Inputs!$C$12)*$D$216*(1+Inputs!$C$11*(AB$5-Inputs!$C$12)/12)</f>
        <v>3490.66666666667</v>
      </c>
      <c r="AC220" s="42" t="n">
        <f aca="false">$D$216*(1+IF($C$216&lt;=0,0,MAX($C$216*AC$5/12,Inputs!$C$8)))+$I$216*(AC$5&gt;Inputs!$C$12)*$D$216*(1+Inputs!$C$11*(AC$5-Inputs!$C$12)/12)</f>
        <v>3532</v>
      </c>
      <c r="AD220" s="42" t="n">
        <f aca="false">$D$216*(1+IF($C$216&lt;=0,0,MAX($C$216*AD$5/12,Inputs!$C$8)))+$I$216*(AD$5&gt;Inputs!$C$12)*$D$216*(1+Inputs!$C$11*(AD$5-Inputs!$C$12)/12)</f>
        <v>3573.33333333333</v>
      </c>
      <c r="AE220" s="42" t="n">
        <f aca="false">$D$216*(1+IF($C$216&lt;=0,0,MAX($C$216*AE$5/12,Inputs!$C$8)))+$I$216*(AE$5&gt;Inputs!$C$12)*$D$216*(1+Inputs!$C$11*(AE$5-Inputs!$C$12)/12)</f>
        <v>3614.66666666667</v>
      </c>
      <c r="AF220" s="42" t="n">
        <f aca="false">$D$216*(1+IF($C$216&lt;=0,0,MAX($C$216*AF$5/12,Inputs!$C$8)))+$I$216*(AF$5&gt;Inputs!$C$12)*$D$216*(1+Inputs!$C$11*(AF$5-Inputs!$C$12)/12)</f>
        <v>3656</v>
      </c>
      <c r="AG220" s="42" t="n">
        <f aca="false">$D$216*(1+IF($C$216&lt;=0,0,MAX($C$216*AG$5/12,Inputs!$C$8)))+$I$216*(AG$5&gt;Inputs!$C$12)*$D$216*(1+Inputs!$C$11*(AG$5-Inputs!$C$12)/12)</f>
        <v>3697.33333333333</v>
      </c>
      <c r="AH220" s="42" t="n">
        <f aca="false">$D$216*(1+IF($C$216&lt;=0,0,MAX($C$216*AH$5/12,Inputs!$C$8)))+$I$216*(AH$5&gt;Inputs!$C$12)*$D$216*(1+Inputs!$C$11*(AH$5-Inputs!$C$12)/12)</f>
        <v>3738.66666666667</v>
      </c>
      <c r="AI220" s="42" t="n">
        <f aca="false">$D$216*(1+IF($C$216&lt;=0,0,MAX($C$216*AI$5/12,Inputs!$C$8)))+$I$216*(AI$5&gt;Inputs!$C$12)*$D$216*(1+Inputs!$C$11*(AI$5-Inputs!$C$12)/12)</f>
        <v>3780</v>
      </c>
      <c r="AJ220" s="42" t="n">
        <f aca="false">$D$216*(1+IF($C$216&lt;=0,0,MAX($C$216*AJ$5/12,Inputs!$C$8)))+$I$216*(AJ$5&gt;Inputs!$C$12)*$D$216*(1+Inputs!$C$11*(AJ$5-Inputs!$C$12)/12)</f>
        <v>3821.33333333333</v>
      </c>
      <c r="AK220" s="42" t="n">
        <f aca="false">$D$216*(1+IF($C$216&lt;=0,0,MAX($C$216*AK$5/12,Inputs!$C$8)))+$I$216*(AK$5&gt;Inputs!$C$12)*$D$216*(1+Inputs!$C$11*(AK$5-Inputs!$C$12)/12)</f>
        <v>3862.66666666667</v>
      </c>
      <c r="AL220" s="42" t="n">
        <f aca="false">$D$216*(1+IF($C$216&lt;=0,0,MAX($C$216*AL$5/12,Inputs!$C$8)))+$I$216*(AL$5&gt;Inputs!$C$12)*$D$216*(1+Inputs!$C$11*(AL$5-Inputs!$C$12)/12)</f>
        <v>3904</v>
      </c>
    </row>
    <row r="221" customFormat="false" ht="15" hidden="false" customHeight="false" outlineLevel="0" collapsed="false">
      <c r="B221" s="31" t="s">
        <v>187</v>
      </c>
      <c r="N221" s="42" t="n">
        <f aca="false">-($D$216+$J$216)*(N$5=0)+IF(AND(N$5-$K$216&gt;=1,N$5-$K$216&lt;=Inputs!$C$13),INDEX($N$219:$AL$219,1,N$5-$K$216+1)*INDEX($N$220:$AL$220,1,N$5-$K$216+1),0)-$I$216*((N$5=Inputs!$C$12)*$C$218*$D$216+(N$5=Inputs!$C$13)*$D$218*($D$216+Inputs!$C$14))+$I$216*((N$5=Inputs!$C$15+$K$216)*$E$218*$I$218+(N$5=Inputs!$C$16+$K$216)*$F$218*$J$218+(N$5=Inputs!$C$17)*$G$218*$H$216*$H$218)</f>
        <v>-1610</v>
      </c>
      <c r="O221" s="42" t="n">
        <f aca="false">-($D$216+$J$216)*(O$5=0)+IF(AND(O$5-$K$216&gt;=1,O$5-$K$216&lt;=Inputs!$C$13),INDEX($N$219:$AL$219,1,O$5-$K$216+1)*INDEX($N$220:$AL$220,1,O$5-$K$216+1),0)-$I$216*((O$5=Inputs!$C$12)*$C$218*$D$216+(O$5=Inputs!$C$13)*$D$218*($D$216+Inputs!$C$14))+$I$216*((O$5=Inputs!$C$15+$K$216)*$E$218*$I$218+(O$5=Inputs!$C$16+$K$216)*$F$218*$J$218+(O$5=Inputs!$C$17)*$G$218*$H$216*$H$218)</f>
        <v>0</v>
      </c>
      <c r="P221" s="42" t="n">
        <f aca="false">-($D$216+$J$216)*(P$5=0)+IF(AND(P$5-$K$216&gt;=1,P$5-$K$216&lt;=Inputs!$C$13),INDEX($N$219:$AL$219,1,P$5-$K$216+1)*INDEX($N$220:$AL$220,1,P$5-$K$216+1),0)-$I$216*((P$5=Inputs!$C$12)*$C$218*$D$216+(P$5=Inputs!$C$13)*$D$218*($D$216+Inputs!$C$14))+$I$216*((P$5=Inputs!$C$15+$K$216)*$E$218*$I$218+(P$5=Inputs!$C$16+$K$216)*$F$218*$J$218+(P$5=Inputs!$C$17)*$G$218*$H$216*$H$218)</f>
        <v>141.12</v>
      </c>
      <c r="Q221" s="42" t="n">
        <f aca="false">-($D$216+$J$216)*(Q$5=0)+IF(AND(Q$5-$K$216&gt;=1,Q$5-$K$216&lt;=Inputs!$C$13),INDEX($N$219:$AL$219,1,Q$5-$K$216+1)*INDEX($N$220:$AL$220,1,Q$5-$K$216+1),0)-$I$216*((Q$5=Inputs!$C$12)*$C$218*$D$216+(Q$5=Inputs!$C$13)*$D$218*($D$216+Inputs!$C$14))+$I$216*((Q$5=Inputs!$C$15+$K$216)*$E$218*$I$218+(Q$5=Inputs!$C$16+$K$216)*$F$218*$J$218+(Q$5=Inputs!$C$17)*$G$218*$H$216*$H$218)</f>
        <v>117.6</v>
      </c>
      <c r="R221" s="42" t="n">
        <f aca="false">-($D$216+$J$216)*(R$5=0)+IF(AND(R$5-$K$216&gt;=1,R$5-$K$216&lt;=Inputs!$C$13),INDEX($N$219:$AL$219,1,R$5-$K$216+1)*INDEX($N$220:$AL$220,1,R$5-$K$216+1),0)-$I$216*((R$5=Inputs!$C$12)*$C$218*$D$216+(R$5=Inputs!$C$13)*$D$218*($D$216+Inputs!$C$14))+$I$216*((R$5=Inputs!$C$15+$K$216)*$E$218*$I$218+(R$5=Inputs!$C$16+$K$216)*$F$218*$J$218+(R$5=Inputs!$C$17)*$G$218*$H$216*$H$218)</f>
        <v>105.84</v>
      </c>
      <c r="S221" s="42" t="n">
        <f aca="false">-($D$216+$J$216)*(S$5=0)+IF(AND(S$5-$K$216&gt;=1,S$5-$K$216&lt;=Inputs!$C$13),INDEX($N$219:$AL$219,1,S$5-$K$216+1)*INDEX($N$220:$AL$220,1,S$5-$K$216+1),0)-$I$216*((S$5=Inputs!$C$12)*$C$218*$D$216+(S$5=Inputs!$C$13)*$D$218*($D$216+Inputs!$C$14))+$I$216*((S$5=Inputs!$C$15+$K$216)*$E$218*$I$218+(S$5=Inputs!$C$16+$K$216)*$F$218*$J$218+(S$5=Inputs!$C$17)*$G$218*$H$216*$H$218)</f>
        <v>82.32</v>
      </c>
      <c r="T221" s="42" t="n">
        <f aca="false">-($D$216+$J$216)*(T$5=0)+IF(AND(T$5-$K$216&gt;=1,T$5-$K$216&lt;=Inputs!$C$13),INDEX($N$219:$AL$219,1,T$5-$K$216+1)*INDEX($N$220:$AL$220,1,T$5-$K$216+1),0)-$I$216*((T$5=Inputs!$C$12)*$C$218*$D$216+(T$5=Inputs!$C$13)*$D$218*($D$216+Inputs!$C$14))+$I$216*((T$5=Inputs!$C$15+$K$216)*$E$218*$I$218+(T$5=Inputs!$C$16+$K$216)*$F$218*$J$218+(T$5=Inputs!$C$17)*$G$218*$H$216*$H$218)</f>
        <v>82.6466666666667</v>
      </c>
      <c r="U221" s="42" t="n">
        <f aca="false">-($D$216+$J$216)*(U$5=0)+IF(AND(U$5-$K$216&gt;=1,U$5-$K$216&lt;=Inputs!$C$13),INDEX($N$219:$AL$219,1,U$5-$K$216+1)*INDEX($N$220:$AL$220,1,U$5-$K$216+1),0)-$I$216*((U$5=Inputs!$C$12)*$C$218*$D$216+(U$5=Inputs!$C$13)*$D$218*($D$216+Inputs!$C$14))+$I$216*((U$5=Inputs!$C$15+$K$216)*$E$218*$I$218+(U$5=Inputs!$C$16+$K$216)*$F$218*$J$218+(U$5=Inputs!$C$17)*$G$218*$H$216*$H$218)</f>
        <v>83.496</v>
      </c>
      <c r="V221" s="42" t="n">
        <f aca="false">-($D$216+$J$216)*(V$5=0)+IF(AND(V$5-$K$216&gt;=1,V$5-$K$216&lt;=Inputs!$C$13),INDEX($N$219:$AL$219,1,V$5-$K$216+1)*INDEX($N$220:$AL$220,1,V$5-$K$216+1),0)-$I$216*((V$5=Inputs!$C$12)*$C$218*$D$216+(V$5=Inputs!$C$13)*$D$218*($D$216+Inputs!$C$14))+$I$216*((V$5=Inputs!$C$15+$K$216)*$E$218*$I$218+(V$5=Inputs!$C$16+$K$216)*$F$218*$J$218+(V$5=Inputs!$C$17)*$G$218*$H$216*$H$218)</f>
        <v>52.2137777777778</v>
      </c>
      <c r="W221" s="42" t="n">
        <f aca="false">-($D$216+$J$216)*(W$5=0)+IF(AND(W$5-$K$216&gt;=1,W$5-$K$216&lt;=Inputs!$C$13),INDEX($N$219:$AL$219,1,W$5-$K$216+1)*INDEX($N$220:$AL$220,1,W$5-$K$216+1),0)-$I$216*((W$5=Inputs!$C$12)*$C$218*$D$216+(W$5=Inputs!$C$13)*$D$218*($D$216+Inputs!$C$14))+$I$216*((W$5=Inputs!$C$15+$K$216)*$E$218*$I$218+(W$5=Inputs!$C$16+$K$216)*$F$218*$J$218+(W$5=Inputs!$C$17)*$G$218*$H$216*$H$218)</f>
        <v>52.7395555555556</v>
      </c>
      <c r="X221" s="42" t="n">
        <f aca="false">-($D$216+$J$216)*(X$5=0)+IF(AND(X$5-$K$216&gt;=1,X$5-$K$216&lt;=Inputs!$C$13),INDEX($N$219:$AL$219,1,X$5-$K$216+1)*INDEX($N$220:$AL$220,1,X$5-$K$216+1),0)-$I$216*((X$5=Inputs!$C$12)*$C$218*$D$216+(X$5=Inputs!$C$13)*$D$218*($D$216+Inputs!$C$14))+$I$216*((X$5=Inputs!$C$15+$K$216)*$E$218*$I$218+(X$5=Inputs!$C$16+$K$216)*$F$218*$J$218+(X$5=Inputs!$C$17)*$G$218*$H$216*$H$218)</f>
        <v>53.2653333333333</v>
      </c>
      <c r="Y221" s="42" t="n">
        <f aca="false">-($D$216+$J$216)*(Y$5=0)+IF(AND(Y$5-$K$216&gt;=1,Y$5-$K$216&lt;=Inputs!$C$13),INDEX($N$219:$AL$219,1,Y$5-$K$216+1)*INDEX($N$220:$AL$220,1,Y$5-$K$216+1),0)-$I$216*((Y$5=Inputs!$C$12)*$C$218*$D$216+(Y$5=Inputs!$C$13)*$D$218*($D$216+Inputs!$C$14))+$I$216*((Y$5=Inputs!$C$15+$K$216)*$E$218*$I$218+(Y$5=Inputs!$C$16+$K$216)*$F$218*$J$218+(Y$5=Inputs!$C$17)*$G$218*$H$216*$H$218)</f>
        <v>45.5155555555555</v>
      </c>
      <c r="Z221" s="42" t="n">
        <f aca="false">-($D$216+$J$216)*(Z$5=0)+IF(AND(Z$5-$K$216&gt;=1,Z$5-$K$216&lt;=Inputs!$C$13),INDEX($N$219:$AL$219,1,Z$5-$K$216+1)*INDEX($N$220:$AL$220,1,Z$5-$K$216+1),0)-$I$216*((Z$5=Inputs!$C$12)*$C$218*$D$216+(Z$5=Inputs!$C$13)*$D$218*($D$216+Inputs!$C$14))+$I$216*((Z$5=Inputs!$C$15+$K$216)*$E$218*$I$218+(Z$5=Inputs!$C$16+$K$216)*$F$218*$J$218+(Z$5=Inputs!$C$17)*$G$218*$H$216*$H$218)</f>
        <v>-702.839555555555</v>
      </c>
      <c r="AA221" s="42" t="n">
        <f aca="false">-($D$216+$J$216)*(AA$5=0)+IF(AND(AA$5-$K$216&gt;=1,AA$5-$K$216&lt;=Inputs!$C$13),INDEX($N$219:$AL$219,1,AA$5-$K$216+1)*INDEX($N$220:$AL$220,1,AA$5-$K$216+1),0)-$I$216*((AA$5=Inputs!$C$12)*$C$218*$D$216+(AA$5=Inputs!$C$13)*$D$218*($D$216+Inputs!$C$14))+$I$216*((AA$5=Inputs!$C$15+$K$216)*$E$218*$I$218+(AA$5=Inputs!$C$16+$K$216)*$F$218*$J$218+(AA$5=Inputs!$C$17)*$G$218*$H$216*$H$218)</f>
        <v>46.4053333333333</v>
      </c>
      <c r="AB221" s="42" t="n">
        <f aca="false">-($D$216+$J$216)*(AB$5=0)+IF(AND(AB$5-$K$216&gt;=1,AB$5-$K$216&lt;=Inputs!$C$13),INDEX($N$219:$AL$219,1,AB$5-$K$216+1)*INDEX($N$220:$AL$220,1,AB$5-$K$216+1),0)-$I$216*((AB$5=Inputs!$C$12)*$C$218*$D$216+(AB$5=Inputs!$C$13)*$D$218*($D$216+Inputs!$C$14))+$I$216*((AB$5=Inputs!$C$15+$K$216)*$E$218*$I$218+(AB$5=Inputs!$C$16+$K$216)*$F$218*$J$218+(AB$5=Inputs!$C$17)*$G$218*$H$216*$H$218)</f>
        <v>56.3391111111111</v>
      </c>
      <c r="AC221" s="42" t="n">
        <f aca="false">-($D$216+$J$216)*(AC$5=0)+IF(AND(AC$5-$K$216&gt;=1,AC$5-$K$216&lt;=Inputs!$C$13),INDEX($N$219:$AL$219,1,AC$5-$K$216+1)*INDEX($N$220:$AL$220,1,AC$5-$K$216+1),0)-$I$216*((AC$5=Inputs!$C$12)*$C$218*$D$216+(AC$5=Inputs!$C$13)*$D$218*($D$216+Inputs!$C$14))+$I$216*((AC$5=Inputs!$C$15+$K$216)*$E$218*$I$218+(AC$5=Inputs!$C$16+$K$216)*$F$218*$J$218+(AC$5=Inputs!$C$17)*$G$218*$H$216*$H$218)</f>
        <v>57.0142222222222</v>
      </c>
      <c r="AD221" s="42" t="n">
        <f aca="false">-($D$216+$J$216)*(AD$5=0)+IF(AND(AD$5-$K$216&gt;=1,AD$5-$K$216&lt;=Inputs!$C$13),INDEX($N$219:$AL$219,1,AD$5-$K$216+1)*INDEX($N$220:$AL$220,1,AD$5-$K$216+1),0)-$I$216*((AD$5=Inputs!$C$12)*$C$218*$D$216+(AD$5=Inputs!$C$13)*$D$218*($D$216+Inputs!$C$14))+$I$216*((AD$5=Inputs!$C$15+$K$216)*$E$218*$I$218+(AD$5=Inputs!$C$16+$K$216)*$F$218*$J$218+(AD$5=Inputs!$C$17)*$G$218*$H$216*$H$218)</f>
        <v>57.6893333333336</v>
      </c>
      <c r="AE221" s="42" t="n">
        <f aca="false">-($D$216+$J$216)*(AE$5=0)+IF(AND(AE$5-$K$216&gt;=1,AE$5-$K$216&lt;=Inputs!$C$13),INDEX($N$219:$AL$219,1,AE$5-$K$216+1)*INDEX($N$220:$AL$220,1,AE$5-$K$216+1),0)-$I$216*((AE$5=Inputs!$C$12)*$C$218*$D$216+(AE$5=Inputs!$C$13)*$D$218*($D$216+Inputs!$C$14))+$I$216*((AE$5=Inputs!$C$15+$K$216)*$E$218*$I$218+(AE$5=Inputs!$C$16+$K$216)*$F$218*$J$218+(AE$5=Inputs!$C$17)*$G$218*$H$216*$H$218)</f>
        <v>58.3644444444444</v>
      </c>
      <c r="AF221" s="42" t="n">
        <f aca="false">-($D$216+$J$216)*(AF$5=0)+IF(AND(AF$5-$K$216&gt;=1,AF$5-$K$216&lt;=Inputs!$C$13),INDEX($N$219:$AL$219,1,AF$5-$K$216+1)*INDEX($N$220:$AL$220,1,AF$5-$K$216+1),0)-$I$216*((AF$5=Inputs!$C$12)*$C$218*$D$216+(AF$5=Inputs!$C$13)*$D$218*($D$216+Inputs!$C$14))+$I$216*((AF$5=Inputs!$C$15+$K$216)*$E$218*$I$218+(AF$5=Inputs!$C$16+$K$216)*$F$218*$J$218+(AF$5=Inputs!$C$17)*$G$218*$H$216*$H$218)</f>
        <v>59.0395555555555</v>
      </c>
      <c r="AG221" s="42" t="n">
        <f aca="false">-($D$216+$J$216)*(AG$5=0)+IF(AND(AG$5-$K$216&gt;=1,AG$5-$K$216&lt;=Inputs!$C$13),INDEX($N$219:$AL$219,1,AG$5-$K$216+1)*INDEX($N$220:$AL$220,1,AG$5-$K$216+1),0)-$I$216*((AG$5=Inputs!$C$12)*$C$218*$D$216+(AG$5=Inputs!$C$13)*$D$218*($D$216+Inputs!$C$14))+$I$216*((AG$5=Inputs!$C$15+$K$216)*$E$218*$I$218+(AG$5=Inputs!$C$16+$K$216)*$F$218*$J$218+(AG$5=Inputs!$C$17)*$G$218*$H$216*$H$218)</f>
        <v>59.7146666666666</v>
      </c>
      <c r="AH221" s="42" t="n">
        <f aca="false">-($D$216+$J$216)*(AH$5=0)+IF(AND(AH$5-$K$216&gt;=1,AH$5-$K$216&lt;=Inputs!$C$13),INDEX($N$219:$AL$219,1,AH$5-$K$216+1)*INDEX($N$220:$AL$220,1,AH$5-$K$216+1),0)-$I$216*((AH$5=Inputs!$C$12)*$C$218*$D$216+(AH$5=Inputs!$C$13)*$D$218*($D$216+Inputs!$C$14))+$I$216*((AH$5=Inputs!$C$15+$K$216)*$E$218*$I$218+(AH$5=Inputs!$C$16+$K$216)*$F$218*$J$218+(AH$5=Inputs!$C$17)*$G$218*$H$216*$H$218)</f>
        <v>43.1355555555557</v>
      </c>
      <c r="AI221" s="42" t="n">
        <f aca="false">-($D$216+$J$216)*(AI$5=0)+IF(AND(AI$5-$K$216&gt;=1,AI$5-$K$216&lt;=Inputs!$C$13),INDEX($N$219:$AL$219,1,AI$5-$K$216+1)*INDEX($N$220:$AL$220,1,AI$5-$K$216+1),0)-$I$216*((AI$5=Inputs!$C$12)*$C$218*$D$216+(AI$5=Inputs!$C$13)*$D$218*($D$216+Inputs!$C$14))+$I$216*((AI$5=Inputs!$C$15+$K$216)*$E$218*$I$218+(AI$5=Inputs!$C$16+$K$216)*$F$218*$J$218+(AI$5=Inputs!$C$17)*$G$218*$H$216*$H$218)</f>
        <v>43.6177777777776</v>
      </c>
      <c r="AJ221" s="42" t="n">
        <f aca="false">-($D$216+$J$216)*(AJ$5=0)+IF(AND(AJ$5-$K$216&gt;=1,AJ$5-$K$216&lt;=Inputs!$C$13),INDEX($N$219:$AL$219,1,AJ$5-$K$216+1)*INDEX($N$220:$AL$220,1,AJ$5-$K$216+1),0)-$I$216*((AJ$5=Inputs!$C$12)*$C$218*$D$216+(AJ$5=Inputs!$C$13)*$D$218*($D$216+Inputs!$C$14))+$I$216*((AJ$5=Inputs!$C$15+$K$216)*$E$218*$I$218+(AJ$5=Inputs!$C$16+$K$216)*$F$218*$J$218+(AJ$5=Inputs!$C$17)*$G$218*$H$216*$H$218)</f>
        <v>44.0999999999998</v>
      </c>
      <c r="AK221" s="42" t="n">
        <f aca="false">-($D$216+$J$216)*(AK$5=0)+IF(AND(AK$5-$K$216&gt;=1,AK$5-$K$216&lt;=Inputs!$C$13),INDEX($N$219:$AL$219,1,AK$5-$K$216+1)*INDEX($N$220:$AL$220,1,AK$5-$K$216+1),0)-$I$216*((AK$5=Inputs!$C$12)*$C$218*$D$216+(AK$5=Inputs!$C$13)*$D$218*($D$216+Inputs!$C$14))+$I$216*((AK$5=Inputs!$C$15+$K$216)*$E$218*$I$218+(AK$5=Inputs!$C$16+$K$216)*$F$218*$J$218+(AK$5=Inputs!$C$17)*$G$218*$H$216*$H$218)</f>
        <v>44.5822222222224</v>
      </c>
      <c r="AL221" s="42" t="n">
        <f aca="false">-($D$216+$J$216)*(AL$5=0)+IF(AND(AL$5-$K$216&gt;=1,AL$5-$K$216&lt;=Inputs!$C$13),INDEX($N$219:$AL$219,1,AL$5-$K$216+1)*INDEX($N$220:$AL$220,1,AL$5-$K$216+1),0)-$I$216*((AL$5=Inputs!$C$12)*$C$218*$D$216+(AL$5=Inputs!$C$13)*$D$218*($D$216+Inputs!$C$14))+$I$216*((AL$5=Inputs!$C$15+$K$216)*$E$218*$I$218+(AL$5=Inputs!$C$16+$K$216)*$F$218*$J$218+(AL$5=Inputs!$C$17)*$G$218*$H$216*$H$218)</f>
        <v>-974.935555555555</v>
      </c>
      <c r="AM221" s="42" t="n">
        <f aca="false">-($D$216+$J$216)*(AM$5=0)+IF(AND(AM$5-$K$216&gt;=1,AM$5-$K$216&lt;=Inputs!$C$13),INDEX($N$219:$AL$219,1,AM$5-$K$216+1)*INDEX($N$220:$AL$220,1,AM$5-$K$216+1),0)-$I$216*((AM$5=Inputs!$C$12)*$C$218*$D$216+(AM$5=Inputs!$C$13)*$D$218*($D$216+Inputs!$C$14))+$I$216*((AM$5=Inputs!$C$15+$K$216)*$E$218*$I$218+(AM$5=Inputs!$C$16+$K$216)*$F$218*$J$218+(AM$5=Inputs!$C$17)*$G$218*$H$216*$H$218)</f>
        <v>45.5466666666665</v>
      </c>
      <c r="AN221" s="42" t="n">
        <f aca="false">-($D$216+$J$216)*(AN$5=0)+IF(AND(AN$5-$K$216&gt;=1,AN$5-$K$216&lt;=Inputs!$C$13),INDEX($N$219:$AL$219,1,AN$5-$K$216+1)*INDEX($N$220:$AL$220,1,AN$5-$K$216+1),0)-$I$216*((AN$5=Inputs!$C$12)*$C$218*$D$216+(AN$5=Inputs!$C$13)*$D$218*($D$216+Inputs!$C$14))+$I$216*((AN$5=Inputs!$C$15+$K$216)*$E$218*$I$218+(AN$5=Inputs!$C$16+$K$216)*$F$218*$J$218+(AN$5=Inputs!$C$17)*$G$218*$H$216*$H$218)</f>
        <v>0</v>
      </c>
      <c r="AO221" s="42" t="n">
        <f aca="false">-($D$216+$J$216)*(AO$5=0)+IF(AND(AO$5-$K$216&gt;=1,AO$5-$K$216&lt;=Inputs!$C$13),INDEX($N$219:$AL$219,1,AO$5-$K$216+1)*INDEX($N$220:$AL$220,1,AO$5-$K$216+1),0)-$I$216*((AO$5=Inputs!$C$12)*$C$218*$D$216+(AO$5=Inputs!$C$13)*$D$218*($D$216+Inputs!$C$14))+$I$216*((AO$5=Inputs!$C$15+$K$216)*$E$218*$I$218+(AO$5=Inputs!$C$16+$K$216)*$F$218*$J$218+(AO$5=Inputs!$C$17)*$G$218*$H$216*$H$218)</f>
        <v>0</v>
      </c>
      <c r="AP221" s="42" t="n">
        <f aca="false">-($D$216+$J$216)*(AP$5=0)+IF(AND(AP$5-$K$216&gt;=1,AP$5-$K$216&lt;=Inputs!$C$13),INDEX($N$219:$AL$219,1,AP$5-$K$216+1)*INDEX($N$220:$AL$220,1,AP$5-$K$216+1),0)-$I$216*((AP$5=Inputs!$C$12)*$C$218*$D$216+(AP$5=Inputs!$C$13)*$D$218*($D$216+Inputs!$C$14))+$I$216*((AP$5=Inputs!$C$15+$K$216)*$E$218*$I$218+(AP$5=Inputs!$C$16+$K$216)*$F$218*$J$218+(AP$5=Inputs!$C$17)*$G$218*$H$216*$H$218)</f>
        <v>900</v>
      </c>
      <c r="AQ221" s="42" t="n">
        <f aca="false">-($D$216+$J$216)*(AQ$5=0)+IF(AND(AQ$5-$K$216&gt;=1,AQ$5-$K$216&lt;=Inputs!$C$13),INDEX($N$219:$AL$219,1,AQ$5-$K$216+1)*INDEX($N$220:$AL$220,1,AQ$5-$K$216+1),0)-$I$216*((AQ$5=Inputs!$C$12)*$C$218*$D$216+(AQ$5=Inputs!$C$13)*$D$218*($D$216+Inputs!$C$14))+$I$216*((AQ$5=Inputs!$C$15+$K$216)*$E$218*$I$218+(AQ$5=Inputs!$C$16+$K$216)*$F$218*$J$218+(AQ$5=Inputs!$C$17)*$G$218*$H$216*$H$218)</f>
        <v>0</v>
      </c>
      <c r="AR221" s="42" t="n">
        <f aca="false">-($D$216+$J$216)*(AR$5=0)+IF(AND(AR$5-$K$216&gt;=1,AR$5-$K$216&lt;=Inputs!$C$13),INDEX($N$219:$AL$219,1,AR$5-$K$216+1)*INDEX($N$220:$AL$220,1,AR$5-$K$216+1),0)-$I$216*((AR$5=Inputs!$C$12)*$C$218*$D$216+(AR$5=Inputs!$C$13)*$D$218*($D$216+Inputs!$C$14))+$I$216*((AR$5=Inputs!$C$15+$K$216)*$E$218*$I$218+(AR$5=Inputs!$C$16+$K$216)*$F$218*$J$218+(AR$5=Inputs!$C$17)*$G$218*$H$216*$H$218)</f>
        <v>0</v>
      </c>
      <c r="AS221" s="42" t="n">
        <f aca="false">-($D$216+$J$216)*(AS$5=0)+IF(AND(AS$5-$K$216&gt;=1,AS$5-$K$216&lt;=Inputs!$C$13),INDEX($N$219:$AL$219,1,AS$5-$K$216+1)*INDEX($N$220:$AL$220,1,AS$5-$K$216+1),0)-$I$216*((AS$5=Inputs!$C$12)*$C$218*$D$216+(AS$5=Inputs!$C$13)*$D$218*($D$216+Inputs!$C$14))+$I$216*((AS$5=Inputs!$C$15+$K$216)*$E$218*$I$218+(AS$5=Inputs!$C$16+$K$216)*$F$218*$J$218+(AS$5=Inputs!$C$17)*$G$218*$H$216*$H$218)</f>
        <v>346.32</v>
      </c>
      <c r="AT221" s="42" t="n">
        <f aca="false">-($D$216+$J$216)*(AT$5=0)+IF(AND(AT$5-$K$216&gt;=1,AT$5-$K$216&lt;=Inputs!$C$13),INDEX($N$219:$AL$219,1,AT$5-$K$216+1)*INDEX($N$220:$AL$220,1,AT$5-$K$216+1),0)-$I$216*((AT$5=Inputs!$C$12)*$C$218*$D$216+(AT$5=Inputs!$C$13)*$D$218*($D$216+Inputs!$C$14))+$I$216*((AT$5=Inputs!$C$15+$K$216)*$E$218*$I$218+(AT$5=Inputs!$C$16+$K$216)*$F$218*$J$218+(AT$5=Inputs!$C$17)*$G$218*$H$216*$H$218)</f>
        <v>0</v>
      </c>
      <c r="AU221" s="42" t="n">
        <f aca="false">-($D$216+$J$216)*(AU$5=0)+IF(AND(AU$5-$K$216&gt;=1,AU$5-$K$216&lt;=Inputs!$C$13),INDEX($N$219:$AL$219,1,AU$5-$K$216+1)*INDEX($N$220:$AL$220,1,AU$5-$K$216+1),0)-$I$216*((AU$5=Inputs!$C$12)*$C$218*$D$216+(AU$5=Inputs!$C$13)*$D$218*($D$216+Inputs!$C$14))+$I$216*((AU$5=Inputs!$C$15+$K$216)*$E$218*$I$218+(AU$5=Inputs!$C$16+$K$216)*$F$218*$J$218+(AU$5=Inputs!$C$17)*$G$218*$H$216*$H$218)</f>
        <v>0</v>
      </c>
      <c r="AV221" s="42" t="n">
        <f aca="false">-($D$216+$J$216)*(AV$5=0)+IF(AND(AV$5-$K$216&gt;=1,AV$5-$K$216&lt;=Inputs!$C$13),INDEX($N$219:$AL$219,1,AV$5-$K$216+1)*INDEX($N$220:$AL$220,1,AV$5-$K$216+1),0)-$I$216*((AV$5=Inputs!$C$12)*$C$218*$D$216+(AV$5=Inputs!$C$13)*$D$218*($D$216+Inputs!$C$14))+$I$216*((AV$5=Inputs!$C$15+$K$216)*$E$218*$I$218+(AV$5=Inputs!$C$16+$K$216)*$F$218*$J$218+(AV$5=Inputs!$C$17)*$G$218*$H$216*$H$218)</f>
        <v>0</v>
      </c>
      <c r="AW221" s="42" t="n">
        <f aca="false">-($D$216+$J$216)*(AW$5=0)+IF(AND(AW$5-$K$216&gt;=1,AW$5-$K$216&lt;=Inputs!$C$13),INDEX($N$219:$AL$219,1,AW$5-$K$216+1)*INDEX($N$220:$AL$220,1,AW$5-$K$216+1),0)-$I$216*((AW$5=Inputs!$C$12)*$C$218*$D$216+(AW$5=Inputs!$C$13)*$D$218*($D$216+Inputs!$C$14))+$I$216*((AW$5=Inputs!$C$15+$K$216)*$E$218*$I$218+(AW$5=Inputs!$C$16+$K$216)*$F$218*$J$218+(AW$5=Inputs!$C$17)*$G$218*$H$216*$H$218)</f>
        <v>0</v>
      </c>
      <c r="AX221" s="42" t="n">
        <f aca="false">-($D$216+$J$216)*(AX$5=0)+IF(AND(AX$5-$K$216&gt;=1,AX$5-$K$216&lt;=Inputs!$C$13),INDEX($N$219:$AL$219,1,AX$5-$K$216+1)*INDEX($N$220:$AL$220,1,AX$5-$K$216+1),0)-$I$216*((AX$5=Inputs!$C$12)*$C$218*$D$216+(AX$5=Inputs!$C$13)*$D$218*($D$216+Inputs!$C$14))+$I$216*((AX$5=Inputs!$C$15+$K$216)*$E$218*$I$218+(AX$5=Inputs!$C$16+$K$216)*$F$218*$J$218+(AX$5=Inputs!$C$17)*$G$218*$H$216*$H$218)</f>
        <v>445.5</v>
      </c>
      <c r="AY221" s="42" t="n">
        <f aca="false">-($D$216+$J$216)*(AY$5=0)+IF(AND(AY$5-$K$216&gt;=1,AY$5-$K$216&lt;=Inputs!$C$13),INDEX($N$219:$AL$219,1,AY$5-$K$216+1)*INDEX($N$220:$AL$220,1,AY$5-$K$216+1),0)-$I$216*((AY$5=Inputs!$C$12)*$C$218*$D$216+(AY$5=Inputs!$C$13)*$D$218*($D$216+Inputs!$C$14))+$I$216*((AY$5=Inputs!$C$15+$K$216)*$E$218*$I$218+(AY$5=Inputs!$C$16+$K$216)*$F$218*$J$218+(AY$5=Inputs!$C$17)*$G$218*$H$216*$H$218)</f>
        <v>0</v>
      </c>
    </row>
    <row r="223" customFormat="false" ht="15" hidden="false" customHeight="false" outlineLevel="0" collapsed="false">
      <c r="B223" s="7" t="s">
        <v>265</v>
      </c>
      <c r="C223" s="8"/>
      <c r="D223" s="8"/>
      <c r="E223" s="8"/>
      <c r="F223" s="8"/>
      <c r="G223" s="8"/>
      <c r="H223" s="8"/>
      <c r="I223" s="8"/>
      <c r="J223" s="8"/>
      <c r="K223" s="8"/>
      <c r="L223" s="8"/>
    </row>
    <row r="224" customFormat="false" ht="30" hidden="false" customHeight="true" outlineLevel="0" collapsed="false">
      <c r="B224" s="37"/>
      <c r="C224" s="38" t="s">
        <v>169</v>
      </c>
      <c r="D224" s="38" t="s">
        <v>170</v>
      </c>
      <c r="E224" s="38" t="s">
        <v>171</v>
      </c>
      <c r="F224" s="38" t="s">
        <v>43</v>
      </c>
      <c r="G224" s="38" t="s">
        <v>44</v>
      </c>
      <c r="H224" s="38" t="s">
        <v>45</v>
      </c>
      <c r="I224" s="38" t="s">
        <v>172</v>
      </c>
      <c r="J224" s="38" t="s">
        <v>90</v>
      </c>
      <c r="K224" s="38" t="s">
        <v>89</v>
      </c>
      <c r="L224" s="38" t="s">
        <v>173</v>
      </c>
    </row>
    <row r="225" customFormat="false" ht="15" hidden="false" customHeight="false" outlineLevel="0" collapsed="false">
      <c r="B225" s="39" t="s">
        <v>174</v>
      </c>
      <c r="C225" s="26" t="n">
        <f aca="false">Inputs!$F$43*Inputs!$E$59</f>
        <v>0.13</v>
      </c>
      <c r="D225" s="30" t="n">
        <f aca="false">Inputs!$E$43</f>
        <v>1600</v>
      </c>
      <c r="E225" s="26" t="n">
        <f aca="false">IF(Inputs!$G$43=1,Inputs!$F$27,MIN(1,MAX(0,INDEX(Inputs!$F$23:$F$27,MATCH(Inputs!$C$43,Inputs!$B$23:$B$27,0))+INDEX(Inputs!$C$48:$C$51,MATCH(Inputs!$D$59,Inputs!$B$48:$B$51,0)))))</f>
        <v>0.35</v>
      </c>
      <c r="F225" s="25" t="n">
        <f aca="false">IF(Inputs!$G$43=1,Inputs!$G$27,INDEX(Inputs!$G$23:$G$27,MATCH(Inputs!$C$43,Inputs!$B$23:$B$27,0)))</f>
        <v>0.1</v>
      </c>
      <c r="G225" s="25" t="n">
        <f aca="false">IF(Inputs!$G$43=1,Inputs!$H$27,INDEX(Inputs!$H$23:$H$27,MATCH(Inputs!$C$43,Inputs!$B$23:$B$27,0)))*INDEX(Inputs!$D$48:$D$51,MATCH(Inputs!$D$59,Inputs!$B$48:$B$51,0))</f>
        <v>0.025</v>
      </c>
      <c r="H225" s="25" t="n">
        <f aca="false">MAX(0,IF(Inputs!$G$43=1,Inputs!$I$27,INDEX(Inputs!$I$23:$I$27,MATCH(Inputs!$C$43,Inputs!$B$23:$B$27,0)))+INDEX(Inputs!$E$48:$E$51,MATCH(Inputs!$D$59,Inputs!$B$48:$B$51,0)))</f>
        <v>0</v>
      </c>
      <c r="I225" s="22" t="n">
        <f aca="false">IF(Inputs!$G$43=1,0,INDEX(Inputs!$J$23:$J$27,MATCH(Inputs!$C$43,Inputs!$B$23:$B$27,0)))</f>
        <v>0</v>
      </c>
      <c r="J225" s="23" t="n">
        <f aca="false">Inputs!$G$59</f>
        <v>10</v>
      </c>
      <c r="K225" s="22" t="n">
        <f aca="false">Inputs!$F$59</f>
        <v>1</v>
      </c>
      <c r="L225" s="22" t="n">
        <f aca="false">Inputs!$C$59</f>
        <v>1</v>
      </c>
    </row>
    <row r="226" customFormat="false" ht="30" hidden="false" customHeight="true" outlineLevel="0" collapsed="false">
      <c r="B226" s="37"/>
      <c r="C226" s="38" t="s">
        <v>175</v>
      </c>
      <c r="D226" s="38" t="s">
        <v>176</v>
      </c>
      <c r="E226" s="38" t="s">
        <v>177</v>
      </c>
      <c r="F226" s="38" t="s">
        <v>178</v>
      </c>
      <c r="G226" s="38" t="s">
        <v>112</v>
      </c>
      <c r="H226" s="38" t="s">
        <v>179</v>
      </c>
      <c r="I226" s="38" t="s">
        <v>180</v>
      </c>
      <c r="J226" s="38" t="s">
        <v>181</v>
      </c>
      <c r="K226" s="38" t="s">
        <v>182</v>
      </c>
      <c r="L226" s="38" t="s">
        <v>183</v>
      </c>
    </row>
    <row r="227" customFormat="false" ht="15" hidden="false" customHeight="false" outlineLevel="0" collapsed="false">
      <c r="B227" s="39" t="s">
        <v>184</v>
      </c>
      <c r="C227" s="40" t="n">
        <f aca="false">1-$E$225*CHOOSE($L$225,INDEX(Timing!$C$7:$AA$7,1,Inputs!$C$12+1),INDEX(Timing!$C$8:$AA$8,1,Inputs!$C$12+1))</f>
        <v>0.734</v>
      </c>
      <c r="D227" s="40" t="n">
        <f aca="false">1-$E$225*CHOOSE($L$225,INDEX(Timing!$C$7:$AA$7,1,Inputs!$C$13+1),INDEX(Timing!$C$8:$AA$8,1,Inputs!$C$13+1))</f>
        <v>0.65</v>
      </c>
      <c r="E227" s="40" t="n">
        <f aca="false">$I$225*$D$227*$F$225</f>
        <v>0</v>
      </c>
      <c r="F227" s="40" t="n">
        <f aca="false">$I$225*($D$227-$E$227)*$G$225</f>
        <v>0</v>
      </c>
      <c r="G227" s="40" t="n">
        <f aca="false">$I$225*($D$227-$E$227-$F$227)</f>
        <v>0</v>
      </c>
      <c r="H227" s="23" t="n">
        <f aca="false">$I$225*(3*$D$225+Inputs!$C$14)</f>
        <v>0</v>
      </c>
      <c r="I227" s="23" t="n">
        <f aca="false">$I$225*($D$225*(1+IF($C$225&lt;=0,0,MAX($C$225*Inputs!$C$15/12,Inputs!$C$8)))+$D$225*(1+Inputs!$C$11*(Inputs!$C$15-Inputs!$C$12)/12)+$D$225*(1+Inputs!$C$11*(Inputs!$C$15-Inputs!$C$13)/12)+Inputs!$C$14)</f>
        <v>0</v>
      </c>
      <c r="J227" s="23" t="n">
        <f aca="false">$I$225*($D$225*(1+IF($C$225&lt;=0,0,MAX($C$225*Inputs!$C$16/12,Inputs!$C$8)))+$D$225*(1+Inputs!$C$11*(Inputs!$C$16-Inputs!$C$12)/12)+$D$225*(1+Inputs!$C$11*(Inputs!$C$16-Inputs!$C$13)/12)+Inputs!$C$14)</f>
        <v>0</v>
      </c>
      <c r="K227" s="40" t="n">
        <f aca="false">IRR($N$230:$AY$230,-0.05)</f>
        <v>-0.0796907670056498</v>
      </c>
      <c r="L227" s="41" t="n">
        <f aca="false">(1+$K$227)^12-1</f>
        <v>-0.630847894979521</v>
      </c>
    </row>
    <row r="228" customFormat="false" ht="15" hidden="false" customHeight="false" outlineLevel="0" collapsed="false">
      <c r="B228" s="9" t="s">
        <v>185</v>
      </c>
      <c r="N228" s="40" t="n">
        <f aca="false">0</f>
        <v>0</v>
      </c>
      <c r="O228" s="40" t="n">
        <f aca="false">$E$225*(CHOOSE($L$225,Timing!D$7,Timing!D$8)-CHOOSE($L$225,Timing!C$7,Timing!C$8))</f>
        <v>0.042</v>
      </c>
      <c r="P228" s="40" t="n">
        <f aca="false">$E$225*(CHOOSE($L$225,Timing!E$7,Timing!E$8)-CHOOSE($L$225,Timing!D$7,Timing!D$8))</f>
        <v>0.035</v>
      </c>
      <c r="Q228" s="40" t="n">
        <f aca="false">$E$225*(CHOOSE($L$225,Timing!F$7,Timing!F$8)-CHOOSE($L$225,Timing!E$7,Timing!E$8))</f>
        <v>0.0315</v>
      </c>
      <c r="R228" s="40" t="n">
        <f aca="false">$E$225*(CHOOSE($L$225,Timing!G$7,Timing!G$8)-CHOOSE($L$225,Timing!F$7,Timing!F$8))</f>
        <v>0.0245</v>
      </c>
      <c r="S228" s="40" t="n">
        <f aca="false">$E$225*(CHOOSE($L$225,Timing!H$7,Timing!H$8)-CHOOSE($L$225,Timing!G$7,Timing!G$8))</f>
        <v>0.0245</v>
      </c>
      <c r="T228" s="40" t="n">
        <f aca="false">$E$225*(CHOOSE($L$225,Timing!I$7,Timing!I$8)-CHOOSE($L$225,Timing!H$7,Timing!H$8))</f>
        <v>0.0245</v>
      </c>
      <c r="U228" s="40" t="n">
        <f aca="false">$E$225*(CHOOSE($L$225,Timing!J$7,Timing!J$8)-CHOOSE($L$225,Timing!I$7,Timing!I$8))</f>
        <v>0.0151666666666667</v>
      </c>
      <c r="V228" s="40" t="n">
        <f aca="false">$E$225*(CHOOSE($L$225,Timing!K$7,Timing!K$8)-CHOOSE($L$225,Timing!J$7,Timing!J$8))</f>
        <v>0.0151666666666667</v>
      </c>
      <c r="W228" s="40" t="n">
        <f aca="false">$E$225*(CHOOSE($L$225,Timing!L$7,Timing!L$8)-CHOOSE($L$225,Timing!K$7,Timing!K$8))</f>
        <v>0.0151666666666667</v>
      </c>
      <c r="X228" s="40" t="n">
        <f aca="false">$E$225*(CHOOSE($L$225,Timing!M$7,Timing!M$8)-CHOOSE($L$225,Timing!L$7,Timing!L$8))</f>
        <v>0.0128333333333333</v>
      </c>
      <c r="Y228" s="40" t="n">
        <f aca="false">$E$225*(CHOOSE($L$225,Timing!N$7,Timing!N$8)-CHOOSE($L$225,Timing!M$7,Timing!M$8))</f>
        <v>0.0128333333333334</v>
      </c>
      <c r="Z228" s="40" t="n">
        <f aca="false">$E$225*(CHOOSE($L$225,Timing!O$7,Timing!O$8)-CHOOSE($L$225,Timing!N$7,Timing!N$8))</f>
        <v>0.0128333333333333</v>
      </c>
      <c r="AA228" s="40" t="n">
        <f aca="false">$E$225*(CHOOSE($L$225,Timing!P$7,Timing!P$8)-CHOOSE($L$225,Timing!O$7,Timing!O$8))</f>
        <v>0.00816666666666666</v>
      </c>
      <c r="AB228" s="40" t="n">
        <f aca="false">$E$225*(CHOOSE($L$225,Timing!Q$7,Timing!Q$8)-CHOOSE($L$225,Timing!P$7,Timing!P$8))</f>
        <v>0.00816666666666666</v>
      </c>
      <c r="AC228" s="40" t="n">
        <f aca="false">$E$225*(CHOOSE($L$225,Timing!R$7,Timing!R$8)-CHOOSE($L$225,Timing!Q$7,Timing!Q$8))</f>
        <v>0.0081666666666667</v>
      </c>
      <c r="AD228" s="40" t="n">
        <f aca="false">$E$225*(CHOOSE($L$225,Timing!S$7,Timing!S$8)-CHOOSE($L$225,Timing!R$7,Timing!R$8))</f>
        <v>0.00816666666666666</v>
      </c>
      <c r="AE228" s="40" t="n">
        <f aca="false">$E$225*(CHOOSE($L$225,Timing!T$7,Timing!T$8)-CHOOSE($L$225,Timing!S$7,Timing!S$8))</f>
        <v>0.00816666666666666</v>
      </c>
      <c r="AF228" s="40" t="n">
        <f aca="false">$E$225*(CHOOSE($L$225,Timing!U$7,Timing!U$8)-CHOOSE($L$225,Timing!T$7,Timing!T$8))</f>
        <v>0.00816666666666666</v>
      </c>
      <c r="AG228" s="40" t="n">
        <f aca="false">$E$225*(CHOOSE($L$225,Timing!V$7,Timing!V$8)-CHOOSE($L$225,Timing!U$7,Timing!U$8))</f>
        <v>0.00583333333333335</v>
      </c>
      <c r="AH228" s="40" t="n">
        <f aca="false">$E$225*(CHOOSE($L$225,Timing!W$7,Timing!W$8)-CHOOSE($L$225,Timing!V$7,Timing!V$8))</f>
        <v>0.00583333333333331</v>
      </c>
      <c r="AI228" s="40" t="n">
        <f aca="false">$E$225*(CHOOSE($L$225,Timing!X$7,Timing!X$8)-CHOOSE($L$225,Timing!W$7,Timing!W$8))</f>
        <v>0.00583333333333331</v>
      </c>
      <c r="AJ228" s="40" t="n">
        <f aca="false">$E$225*(CHOOSE($L$225,Timing!Y$7,Timing!Y$8)-CHOOSE($L$225,Timing!X$7,Timing!X$8))</f>
        <v>0.00583333333333335</v>
      </c>
      <c r="AK228" s="40" t="n">
        <f aca="false">$E$225*(CHOOSE($L$225,Timing!Z$7,Timing!Z$8)-CHOOSE($L$225,Timing!Y$7,Timing!Y$8))</f>
        <v>0.00583333333333335</v>
      </c>
      <c r="AL228" s="40" t="n">
        <f aca="false">$E$225*(CHOOSE($L$225,Timing!AA$7,Timing!AA$8)-CHOOSE($L$225,Timing!Z$7,Timing!Z$8))</f>
        <v>0.00583333333333331</v>
      </c>
    </row>
    <row r="229" customFormat="false" ht="15" hidden="false" customHeight="false" outlineLevel="0" collapsed="false">
      <c r="B229" s="9" t="s">
        <v>186</v>
      </c>
      <c r="N229" s="42" t="n">
        <f aca="false">0</f>
        <v>0</v>
      </c>
      <c r="O229" s="42" t="n">
        <f aca="false">$D$225*(1+IF($C$225&lt;=0,0,MAX($C$225*O$5/12,Inputs!$C$8)))+$I$225*(O$5&gt;Inputs!$C$12)*$D$225*(1+Inputs!$C$11*(O$5-Inputs!$C$12)/12)</f>
        <v>1680</v>
      </c>
      <c r="P229" s="42" t="n">
        <f aca="false">$D$225*(1+IF($C$225&lt;=0,0,MAX($C$225*P$5/12,Inputs!$C$8)))+$I$225*(P$5&gt;Inputs!$C$12)*$D$225*(1+Inputs!$C$11*(P$5-Inputs!$C$12)/12)</f>
        <v>1680</v>
      </c>
      <c r="Q229" s="42" t="n">
        <f aca="false">$D$225*(1+IF($C$225&lt;=0,0,MAX($C$225*Q$5/12,Inputs!$C$8)))+$I$225*(Q$5&gt;Inputs!$C$12)*$D$225*(1+Inputs!$C$11*(Q$5-Inputs!$C$12)/12)</f>
        <v>1680</v>
      </c>
      <c r="R229" s="42" t="n">
        <f aca="false">$D$225*(1+IF($C$225&lt;=0,0,MAX($C$225*R$5/12,Inputs!$C$8)))+$I$225*(R$5&gt;Inputs!$C$12)*$D$225*(1+Inputs!$C$11*(R$5-Inputs!$C$12)/12)</f>
        <v>1680</v>
      </c>
      <c r="S229" s="42" t="n">
        <f aca="false">$D$225*(1+IF($C$225&lt;=0,0,MAX($C$225*S$5/12,Inputs!$C$8)))+$I$225*(S$5&gt;Inputs!$C$12)*$D$225*(1+Inputs!$C$11*(S$5-Inputs!$C$12)/12)</f>
        <v>1686.66666666667</v>
      </c>
      <c r="T229" s="42" t="n">
        <f aca="false">$D$225*(1+IF($C$225&lt;=0,0,MAX($C$225*T$5/12,Inputs!$C$8)))+$I$225*(T$5&gt;Inputs!$C$12)*$D$225*(1+Inputs!$C$11*(T$5-Inputs!$C$12)/12)</f>
        <v>1704</v>
      </c>
      <c r="U229" s="42" t="n">
        <f aca="false">$D$225*(1+IF($C$225&lt;=0,0,MAX($C$225*U$5/12,Inputs!$C$8)))+$I$225*(U$5&gt;Inputs!$C$12)*$D$225*(1+Inputs!$C$11*(U$5-Inputs!$C$12)/12)</f>
        <v>1721.33333333333</v>
      </c>
      <c r="V229" s="42" t="n">
        <f aca="false">$D$225*(1+IF($C$225&lt;=0,0,MAX($C$225*V$5/12,Inputs!$C$8)))+$I$225*(V$5&gt;Inputs!$C$12)*$D$225*(1+Inputs!$C$11*(V$5-Inputs!$C$12)/12)</f>
        <v>1738.66666666667</v>
      </c>
      <c r="W229" s="42" t="n">
        <f aca="false">$D$225*(1+IF($C$225&lt;=0,0,MAX($C$225*W$5/12,Inputs!$C$8)))+$I$225*(W$5&gt;Inputs!$C$12)*$D$225*(1+Inputs!$C$11*(W$5-Inputs!$C$12)/12)</f>
        <v>1756</v>
      </c>
      <c r="X229" s="42" t="n">
        <f aca="false">$D$225*(1+IF($C$225&lt;=0,0,MAX($C$225*X$5/12,Inputs!$C$8)))+$I$225*(X$5&gt;Inputs!$C$12)*$D$225*(1+Inputs!$C$11*(X$5-Inputs!$C$12)/12)</f>
        <v>1773.33333333333</v>
      </c>
      <c r="Y229" s="42" t="n">
        <f aca="false">$D$225*(1+IF($C$225&lt;=0,0,MAX($C$225*Y$5/12,Inputs!$C$8)))+$I$225*(Y$5&gt;Inputs!$C$12)*$D$225*(1+Inputs!$C$11*(Y$5-Inputs!$C$12)/12)</f>
        <v>1790.66666666667</v>
      </c>
      <c r="Z229" s="42" t="n">
        <f aca="false">$D$225*(1+IF($C$225&lt;=0,0,MAX($C$225*Z$5/12,Inputs!$C$8)))+$I$225*(Z$5&gt;Inputs!$C$12)*$D$225*(1+Inputs!$C$11*(Z$5-Inputs!$C$12)/12)</f>
        <v>1808</v>
      </c>
      <c r="AA229" s="42" t="n">
        <f aca="false">$D$225*(1+IF($C$225&lt;=0,0,MAX($C$225*AA$5/12,Inputs!$C$8)))+$I$225*(AA$5&gt;Inputs!$C$12)*$D$225*(1+Inputs!$C$11*(AA$5-Inputs!$C$12)/12)</f>
        <v>1825.33333333333</v>
      </c>
      <c r="AB229" s="42" t="n">
        <f aca="false">$D$225*(1+IF($C$225&lt;=0,0,MAX($C$225*AB$5/12,Inputs!$C$8)))+$I$225*(AB$5&gt;Inputs!$C$12)*$D$225*(1+Inputs!$C$11*(AB$5-Inputs!$C$12)/12)</f>
        <v>1842.66666666667</v>
      </c>
      <c r="AC229" s="42" t="n">
        <f aca="false">$D$225*(1+IF($C$225&lt;=0,0,MAX($C$225*AC$5/12,Inputs!$C$8)))+$I$225*(AC$5&gt;Inputs!$C$12)*$D$225*(1+Inputs!$C$11*(AC$5-Inputs!$C$12)/12)</f>
        <v>1860</v>
      </c>
      <c r="AD229" s="42" t="n">
        <f aca="false">$D$225*(1+IF($C$225&lt;=0,0,MAX($C$225*AD$5/12,Inputs!$C$8)))+$I$225*(AD$5&gt;Inputs!$C$12)*$D$225*(1+Inputs!$C$11*(AD$5-Inputs!$C$12)/12)</f>
        <v>1877.33333333333</v>
      </c>
      <c r="AE229" s="42" t="n">
        <f aca="false">$D$225*(1+IF($C$225&lt;=0,0,MAX($C$225*AE$5/12,Inputs!$C$8)))+$I$225*(AE$5&gt;Inputs!$C$12)*$D$225*(1+Inputs!$C$11*(AE$5-Inputs!$C$12)/12)</f>
        <v>1894.66666666667</v>
      </c>
      <c r="AF229" s="42" t="n">
        <f aca="false">$D$225*(1+IF($C$225&lt;=0,0,MAX($C$225*AF$5/12,Inputs!$C$8)))+$I$225*(AF$5&gt;Inputs!$C$12)*$D$225*(1+Inputs!$C$11*(AF$5-Inputs!$C$12)/12)</f>
        <v>1912</v>
      </c>
      <c r="AG229" s="42" t="n">
        <f aca="false">$D$225*(1+IF($C$225&lt;=0,0,MAX($C$225*AG$5/12,Inputs!$C$8)))+$I$225*(AG$5&gt;Inputs!$C$12)*$D$225*(1+Inputs!$C$11*(AG$5-Inputs!$C$12)/12)</f>
        <v>1929.33333333333</v>
      </c>
      <c r="AH229" s="42" t="n">
        <f aca="false">$D$225*(1+IF($C$225&lt;=0,0,MAX($C$225*AH$5/12,Inputs!$C$8)))+$I$225*(AH$5&gt;Inputs!$C$12)*$D$225*(1+Inputs!$C$11*(AH$5-Inputs!$C$12)/12)</f>
        <v>1946.66666666667</v>
      </c>
      <c r="AI229" s="42" t="n">
        <f aca="false">$D$225*(1+IF($C$225&lt;=0,0,MAX($C$225*AI$5/12,Inputs!$C$8)))+$I$225*(AI$5&gt;Inputs!$C$12)*$D$225*(1+Inputs!$C$11*(AI$5-Inputs!$C$12)/12)</f>
        <v>1964</v>
      </c>
      <c r="AJ229" s="42" t="n">
        <f aca="false">$D$225*(1+IF($C$225&lt;=0,0,MAX($C$225*AJ$5/12,Inputs!$C$8)))+$I$225*(AJ$5&gt;Inputs!$C$12)*$D$225*(1+Inputs!$C$11*(AJ$5-Inputs!$C$12)/12)</f>
        <v>1981.33333333333</v>
      </c>
      <c r="AK229" s="42" t="n">
        <f aca="false">$D$225*(1+IF($C$225&lt;=0,0,MAX($C$225*AK$5/12,Inputs!$C$8)))+$I$225*(AK$5&gt;Inputs!$C$12)*$D$225*(1+Inputs!$C$11*(AK$5-Inputs!$C$12)/12)</f>
        <v>1998.66666666667</v>
      </c>
      <c r="AL229" s="42" t="n">
        <f aca="false">$D$225*(1+IF($C$225&lt;=0,0,MAX($C$225*AL$5/12,Inputs!$C$8)))+$I$225*(AL$5&gt;Inputs!$C$12)*$D$225*(1+Inputs!$C$11*(AL$5-Inputs!$C$12)/12)</f>
        <v>2016</v>
      </c>
    </row>
    <row r="230" customFormat="false" ht="15" hidden="false" customHeight="false" outlineLevel="0" collapsed="false">
      <c r="B230" s="31" t="s">
        <v>187</v>
      </c>
      <c r="N230" s="42" t="n">
        <f aca="false">-($D$225+$J$225)*(N$5=0)+IF(AND(N$5-$K$225&gt;=1,N$5-$K$225&lt;=Inputs!$C$13),INDEX($N$228:$AL$228,1,N$5-$K$225+1)*INDEX($N$229:$AL$229,1,N$5-$K$225+1),0)-$I$225*((N$5=Inputs!$C$12)*$C$227*$D$225+(N$5=Inputs!$C$13)*$D$227*($D$225+Inputs!$C$14))+$I$225*((N$5=Inputs!$C$15+$K$225)*$E$227*$I$227+(N$5=Inputs!$C$16+$K$225)*$F$227*$J$227+(N$5=Inputs!$C$17)*$G$227*$H$225*$H$227)</f>
        <v>-1610</v>
      </c>
      <c r="O230" s="42" t="n">
        <f aca="false">-($D$225+$J$225)*(O$5=0)+IF(AND(O$5-$K$225&gt;=1,O$5-$K$225&lt;=Inputs!$C$13),INDEX($N$228:$AL$228,1,O$5-$K$225+1)*INDEX($N$229:$AL$229,1,O$5-$K$225+1),0)-$I$225*((O$5=Inputs!$C$12)*$C$227*$D$225+(O$5=Inputs!$C$13)*$D$227*($D$225+Inputs!$C$14))+$I$225*((O$5=Inputs!$C$15+$K$225)*$E$227*$I$227+(O$5=Inputs!$C$16+$K$225)*$F$227*$J$227+(O$5=Inputs!$C$17)*$G$227*$H$225*$H$227)</f>
        <v>0</v>
      </c>
      <c r="P230" s="42" t="n">
        <f aca="false">-($D$225+$J$225)*(P$5=0)+IF(AND(P$5-$K$225&gt;=1,P$5-$K$225&lt;=Inputs!$C$13),INDEX($N$228:$AL$228,1,P$5-$K$225+1)*INDEX($N$229:$AL$229,1,P$5-$K$225+1),0)-$I$225*((P$5=Inputs!$C$12)*$C$227*$D$225+(P$5=Inputs!$C$13)*$D$227*($D$225+Inputs!$C$14))+$I$225*((P$5=Inputs!$C$15+$K$225)*$E$227*$I$227+(P$5=Inputs!$C$16+$K$225)*$F$227*$J$227+(P$5=Inputs!$C$17)*$G$227*$H$225*$H$227)</f>
        <v>70.56</v>
      </c>
      <c r="Q230" s="42" t="n">
        <f aca="false">-($D$225+$J$225)*(Q$5=0)+IF(AND(Q$5-$K$225&gt;=1,Q$5-$K$225&lt;=Inputs!$C$13),INDEX($N$228:$AL$228,1,Q$5-$K$225+1)*INDEX($N$229:$AL$229,1,Q$5-$K$225+1),0)-$I$225*((Q$5=Inputs!$C$12)*$C$227*$D$225+(Q$5=Inputs!$C$13)*$D$227*($D$225+Inputs!$C$14))+$I$225*((Q$5=Inputs!$C$15+$K$225)*$E$227*$I$227+(Q$5=Inputs!$C$16+$K$225)*$F$227*$J$227+(Q$5=Inputs!$C$17)*$G$227*$H$225*$H$227)</f>
        <v>58.8</v>
      </c>
      <c r="R230" s="42" t="n">
        <f aca="false">-($D$225+$J$225)*(R$5=0)+IF(AND(R$5-$K$225&gt;=1,R$5-$K$225&lt;=Inputs!$C$13),INDEX($N$228:$AL$228,1,R$5-$K$225+1)*INDEX($N$229:$AL$229,1,R$5-$K$225+1),0)-$I$225*((R$5=Inputs!$C$12)*$C$227*$D$225+(R$5=Inputs!$C$13)*$D$227*($D$225+Inputs!$C$14))+$I$225*((R$5=Inputs!$C$15+$K$225)*$E$227*$I$227+(R$5=Inputs!$C$16+$K$225)*$F$227*$J$227+(R$5=Inputs!$C$17)*$G$227*$H$225*$H$227)</f>
        <v>52.92</v>
      </c>
      <c r="S230" s="42" t="n">
        <f aca="false">-($D$225+$J$225)*(S$5=0)+IF(AND(S$5-$K$225&gt;=1,S$5-$K$225&lt;=Inputs!$C$13),INDEX($N$228:$AL$228,1,S$5-$K$225+1)*INDEX($N$229:$AL$229,1,S$5-$K$225+1),0)-$I$225*((S$5=Inputs!$C$12)*$C$227*$D$225+(S$5=Inputs!$C$13)*$D$227*($D$225+Inputs!$C$14))+$I$225*((S$5=Inputs!$C$15+$K$225)*$E$227*$I$227+(S$5=Inputs!$C$16+$K$225)*$F$227*$J$227+(S$5=Inputs!$C$17)*$G$227*$H$225*$H$227)</f>
        <v>41.16</v>
      </c>
      <c r="T230" s="42" t="n">
        <f aca="false">-($D$225+$J$225)*(T$5=0)+IF(AND(T$5-$K$225&gt;=1,T$5-$K$225&lt;=Inputs!$C$13),INDEX($N$228:$AL$228,1,T$5-$K$225+1)*INDEX($N$229:$AL$229,1,T$5-$K$225+1),0)-$I$225*((T$5=Inputs!$C$12)*$C$227*$D$225+(T$5=Inputs!$C$13)*$D$227*($D$225+Inputs!$C$14))+$I$225*((T$5=Inputs!$C$15+$K$225)*$E$227*$I$227+(T$5=Inputs!$C$16+$K$225)*$F$227*$J$227+(T$5=Inputs!$C$17)*$G$227*$H$225*$H$227)</f>
        <v>41.3233333333333</v>
      </c>
      <c r="U230" s="42" t="n">
        <f aca="false">-($D$225+$J$225)*(U$5=0)+IF(AND(U$5-$K$225&gt;=1,U$5-$K$225&lt;=Inputs!$C$13),INDEX($N$228:$AL$228,1,U$5-$K$225+1)*INDEX($N$229:$AL$229,1,U$5-$K$225+1),0)-$I$225*((U$5=Inputs!$C$12)*$C$227*$D$225+(U$5=Inputs!$C$13)*$D$227*($D$225+Inputs!$C$14))+$I$225*((U$5=Inputs!$C$15+$K$225)*$E$227*$I$227+(U$5=Inputs!$C$16+$K$225)*$F$227*$J$227+(U$5=Inputs!$C$17)*$G$227*$H$225*$H$227)</f>
        <v>41.748</v>
      </c>
      <c r="V230" s="42" t="n">
        <f aca="false">-($D$225+$J$225)*(V$5=0)+IF(AND(V$5-$K$225&gt;=1,V$5-$K$225&lt;=Inputs!$C$13),INDEX($N$228:$AL$228,1,V$5-$K$225+1)*INDEX($N$229:$AL$229,1,V$5-$K$225+1),0)-$I$225*((V$5=Inputs!$C$12)*$C$227*$D$225+(V$5=Inputs!$C$13)*$D$227*($D$225+Inputs!$C$14))+$I$225*((V$5=Inputs!$C$15+$K$225)*$E$227*$I$227+(V$5=Inputs!$C$16+$K$225)*$F$227*$J$227+(V$5=Inputs!$C$17)*$G$227*$H$225*$H$227)</f>
        <v>26.1068888888889</v>
      </c>
      <c r="W230" s="42" t="n">
        <f aca="false">-($D$225+$J$225)*(W$5=0)+IF(AND(W$5-$K$225&gt;=1,W$5-$K$225&lt;=Inputs!$C$13),INDEX($N$228:$AL$228,1,W$5-$K$225+1)*INDEX($N$229:$AL$229,1,W$5-$K$225+1),0)-$I$225*((W$5=Inputs!$C$12)*$C$227*$D$225+(W$5=Inputs!$C$13)*$D$227*($D$225+Inputs!$C$14))+$I$225*((W$5=Inputs!$C$15+$K$225)*$E$227*$I$227+(W$5=Inputs!$C$16+$K$225)*$F$227*$J$227+(W$5=Inputs!$C$17)*$G$227*$H$225*$H$227)</f>
        <v>26.3697777777778</v>
      </c>
      <c r="X230" s="42" t="n">
        <f aca="false">-($D$225+$J$225)*(X$5=0)+IF(AND(X$5-$K$225&gt;=1,X$5-$K$225&lt;=Inputs!$C$13),INDEX($N$228:$AL$228,1,X$5-$K$225+1)*INDEX($N$229:$AL$229,1,X$5-$K$225+1),0)-$I$225*((X$5=Inputs!$C$12)*$C$227*$D$225+(X$5=Inputs!$C$13)*$D$227*($D$225+Inputs!$C$14))+$I$225*((X$5=Inputs!$C$15+$K$225)*$E$227*$I$227+(X$5=Inputs!$C$16+$K$225)*$F$227*$J$227+(X$5=Inputs!$C$17)*$G$227*$H$225*$H$227)</f>
        <v>26.6326666666667</v>
      </c>
      <c r="Y230" s="42" t="n">
        <f aca="false">-($D$225+$J$225)*(Y$5=0)+IF(AND(Y$5-$K$225&gt;=1,Y$5-$K$225&lt;=Inputs!$C$13),INDEX($N$228:$AL$228,1,Y$5-$K$225+1)*INDEX($N$229:$AL$229,1,Y$5-$K$225+1),0)-$I$225*((Y$5=Inputs!$C$12)*$C$227*$D$225+(Y$5=Inputs!$C$13)*$D$227*($D$225+Inputs!$C$14))+$I$225*((Y$5=Inputs!$C$15+$K$225)*$E$227*$I$227+(Y$5=Inputs!$C$16+$K$225)*$F$227*$J$227+(Y$5=Inputs!$C$17)*$G$227*$H$225*$H$227)</f>
        <v>22.7577777777778</v>
      </c>
      <c r="Z230" s="42" t="n">
        <f aca="false">-($D$225+$J$225)*(Z$5=0)+IF(AND(Z$5-$K$225&gt;=1,Z$5-$K$225&lt;=Inputs!$C$13),INDEX($N$228:$AL$228,1,Z$5-$K$225+1)*INDEX($N$229:$AL$229,1,Z$5-$K$225+1),0)-$I$225*((Z$5=Inputs!$C$12)*$C$227*$D$225+(Z$5=Inputs!$C$13)*$D$227*($D$225+Inputs!$C$14))+$I$225*((Z$5=Inputs!$C$15+$K$225)*$E$227*$I$227+(Z$5=Inputs!$C$16+$K$225)*$F$227*$J$227+(Z$5=Inputs!$C$17)*$G$227*$H$225*$H$227)</f>
        <v>22.9802222222223</v>
      </c>
      <c r="AA230" s="42" t="n">
        <f aca="false">-($D$225+$J$225)*(AA$5=0)+IF(AND(AA$5-$K$225&gt;=1,AA$5-$K$225&lt;=Inputs!$C$13),INDEX($N$228:$AL$228,1,AA$5-$K$225+1)*INDEX($N$229:$AL$229,1,AA$5-$K$225+1),0)-$I$225*((AA$5=Inputs!$C$12)*$C$227*$D$225+(AA$5=Inputs!$C$13)*$D$227*($D$225+Inputs!$C$14))+$I$225*((AA$5=Inputs!$C$15+$K$225)*$E$227*$I$227+(AA$5=Inputs!$C$16+$K$225)*$F$227*$J$227+(AA$5=Inputs!$C$17)*$G$227*$H$225*$H$227)</f>
        <v>23.2026666666666</v>
      </c>
      <c r="AB230" s="42" t="n">
        <f aca="false">-($D$225+$J$225)*(AB$5=0)+IF(AND(AB$5-$K$225&gt;=1,AB$5-$K$225&lt;=Inputs!$C$13),INDEX($N$228:$AL$228,1,AB$5-$K$225+1)*INDEX($N$229:$AL$229,1,AB$5-$K$225+1),0)-$I$225*((AB$5=Inputs!$C$12)*$C$227*$D$225+(AB$5=Inputs!$C$13)*$D$227*($D$225+Inputs!$C$14))+$I$225*((AB$5=Inputs!$C$15+$K$225)*$E$227*$I$227+(AB$5=Inputs!$C$16+$K$225)*$F$227*$J$227+(AB$5=Inputs!$C$17)*$G$227*$H$225*$H$227)</f>
        <v>14.9068888888889</v>
      </c>
      <c r="AC230" s="42" t="n">
        <f aca="false">-($D$225+$J$225)*(AC$5=0)+IF(AND(AC$5-$K$225&gt;=1,AC$5-$K$225&lt;=Inputs!$C$13),INDEX($N$228:$AL$228,1,AC$5-$K$225+1)*INDEX($N$229:$AL$229,1,AC$5-$K$225+1),0)-$I$225*((AC$5=Inputs!$C$12)*$C$227*$D$225+(AC$5=Inputs!$C$13)*$D$227*($D$225+Inputs!$C$14))+$I$225*((AC$5=Inputs!$C$15+$K$225)*$E$227*$I$227+(AC$5=Inputs!$C$16+$K$225)*$F$227*$J$227+(AC$5=Inputs!$C$17)*$G$227*$H$225*$H$227)</f>
        <v>15.0484444444444</v>
      </c>
      <c r="AD230" s="42" t="n">
        <f aca="false">-($D$225+$J$225)*(AD$5=0)+IF(AND(AD$5-$K$225&gt;=1,AD$5-$K$225&lt;=Inputs!$C$13),INDEX($N$228:$AL$228,1,AD$5-$K$225+1)*INDEX($N$229:$AL$229,1,AD$5-$K$225+1),0)-$I$225*((AD$5=Inputs!$C$12)*$C$227*$D$225+(AD$5=Inputs!$C$13)*$D$227*($D$225+Inputs!$C$14))+$I$225*((AD$5=Inputs!$C$15+$K$225)*$E$227*$I$227+(AD$5=Inputs!$C$16+$K$225)*$F$227*$J$227+(AD$5=Inputs!$C$17)*$G$227*$H$225*$H$227)</f>
        <v>15.1900000000001</v>
      </c>
      <c r="AE230" s="42" t="n">
        <f aca="false">-($D$225+$J$225)*(AE$5=0)+IF(AND(AE$5-$K$225&gt;=1,AE$5-$K$225&lt;=Inputs!$C$13),INDEX($N$228:$AL$228,1,AE$5-$K$225+1)*INDEX($N$229:$AL$229,1,AE$5-$K$225+1),0)-$I$225*((AE$5=Inputs!$C$12)*$C$227*$D$225+(AE$5=Inputs!$C$13)*$D$227*($D$225+Inputs!$C$14))+$I$225*((AE$5=Inputs!$C$15+$K$225)*$E$227*$I$227+(AE$5=Inputs!$C$16+$K$225)*$F$227*$J$227+(AE$5=Inputs!$C$17)*$G$227*$H$225*$H$227)</f>
        <v>15.3315555555555</v>
      </c>
      <c r="AF230" s="42" t="n">
        <f aca="false">-($D$225+$J$225)*(AF$5=0)+IF(AND(AF$5-$K$225&gt;=1,AF$5-$K$225&lt;=Inputs!$C$13),INDEX($N$228:$AL$228,1,AF$5-$K$225+1)*INDEX($N$229:$AL$229,1,AF$5-$K$225+1),0)-$I$225*((AF$5=Inputs!$C$12)*$C$227*$D$225+(AF$5=Inputs!$C$13)*$D$227*($D$225+Inputs!$C$14))+$I$225*((AF$5=Inputs!$C$15+$K$225)*$E$227*$I$227+(AF$5=Inputs!$C$16+$K$225)*$F$227*$J$227+(AF$5=Inputs!$C$17)*$G$227*$H$225*$H$227)</f>
        <v>15.4731111111111</v>
      </c>
      <c r="AG230" s="42" t="n">
        <f aca="false">-($D$225+$J$225)*(AG$5=0)+IF(AND(AG$5-$K$225&gt;=1,AG$5-$K$225&lt;=Inputs!$C$13),INDEX($N$228:$AL$228,1,AG$5-$K$225+1)*INDEX($N$229:$AL$229,1,AG$5-$K$225+1),0)-$I$225*((AG$5=Inputs!$C$12)*$C$227*$D$225+(AG$5=Inputs!$C$13)*$D$227*($D$225+Inputs!$C$14))+$I$225*((AG$5=Inputs!$C$15+$K$225)*$E$227*$I$227+(AG$5=Inputs!$C$16+$K$225)*$F$227*$J$227+(AG$5=Inputs!$C$17)*$G$227*$H$225*$H$227)</f>
        <v>15.6146666666667</v>
      </c>
      <c r="AH230" s="42" t="n">
        <f aca="false">-($D$225+$J$225)*(AH$5=0)+IF(AND(AH$5-$K$225&gt;=1,AH$5-$K$225&lt;=Inputs!$C$13),INDEX($N$228:$AL$228,1,AH$5-$K$225+1)*INDEX($N$229:$AL$229,1,AH$5-$K$225+1),0)-$I$225*((AH$5=Inputs!$C$12)*$C$227*$D$225+(AH$5=Inputs!$C$13)*$D$227*($D$225+Inputs!$C$14))+$I$225*((AH$5=Inputs!$C$15+$K$225)*$E$227*$I$227+(AH$5=Inputs!$C$16+$K$225)*$F$227*$J$227+(AH$5=Inputs!$C$17)*$G$227*$H$225*$H$227)</f>
        <v>11.2544444444445</v>
      </c>
      <c r="AI230" s="42" t="n">
        <f aca="false">-($D$225+$J$225)*(AI$5=0)+IF(AND(AI$5-$K$225&gt;=1,AI$5-$K$225&lt;=Inputs!$C$13),INDEX($N$228:$AL$228,1,AI$5-$K$225+1)*INDEX($N$229:$AL$229,1,AI$5-$K$225+1),0)-$I$225*((AI$5=Inputs!$C$12)*$C$227*$D$225+(AI$5=Inputs!$C$13)*$D$227*($D$225+Inputs!$C$14))+$I$225*((AI$5=Inputs!$C$15+$K$225)*$E$227*$I$227+(AI$5=Inputs!$C$16+$K$225)*$F$227*$J$227+(AI$5=Inputs!$C$17)*$G$227*$H$225*$H$227)</f>
        <v>11.3555555555555</v>
      </c>
      <c r="AJ230" s="42" t="n">
        <f aca="false">-($D$225+$J$225)*(AJ$5=0)+IF(AND(AJ$5-$K$225&gt;=1,AJ$5-$K$225&lt;=Inputs!$C$13),INDEX($N$228:$AL$228,1,AJ$5-$K$225+1)*INDEX($N$229:$AL$229,1,AJ$5-$K$225+1),0)-$I$225*((AJ$5=Inputs!$C$12)*$C$227*$D$225+(AJ$5=Inputs!$C$13)*$D$227*($D$225+Inputs!$C$14))+$I$225*((AJ$5=Inputs!$C$15+$K$225)*$E$227*$I$227+(AJ$5=Inputs!$C$16+$K$225)*$F$227*$J$227+(AJ$5=Inputs!$C$17)*$G$227*$H$225*$H$227)</f>
        <v>11.4566666666666</v>
      </c>
      <c r="AK230" s="42" t="n">
        <f aca="false">-($D$225+$J$225)*(AK$5=0)+IF(AND(AK$5-$K$225&gt;=1,AK$5-$K$225&lt;=Inputs!$C$13),INDEX($N$228:$AL$228,1,AK$5-$K$225+1)*INDEX($N$229:$AL$229,1,AK$5-$K$225+1),0)-$I$225*((AK$5=Inputs!$C$12)*$C$227*$D$225+(AK$5=Inputs!$C$13)*$D$227*($D$225+Inputs!$C$14))+$I$225*((AK$5=Inputs!$C$15+$K$225)*$E$227*$I$227+(AK$5=Inputs!$C$16+$K$225)*$F$227*$J$227+(AK$5=Inputs!$C$17)*$G$227*$H$225*$H$227)</f>
        <v>11.5577777777778</v>
      </c>
      <c r="AL230" s="42" t="n">
        <f aca="false">-($D$225+$J$225)*(AL$5=0)+IF(AND(AL$5-$K$225&gt;=1,AL$5-$K$225&lt;=Inputs!$C$13),INDEX($N$228:$AL$228,1,AL$5-$K$225+1)*INDEX($N$229:$AL$229,1,AL$5-$K$225+1),0)-$I$225*((AL$5=Inputs!$C$12)*$C$227*$D$225+(AL$5=Inputs!$C$13)*$D$227*($D$225+Inputs!$C$14))+$I$225*((AL$5=Inputs!$C$15+$K$225)*$E$227*$I$227+(AL$5=Inputs!$C$16+$K$225)*$F$227*$J$227+(AL$5=Inputs!$C$17)*$G$227*$H$225*$H$227)</f>
        <v>11.6588888888889</v>
      </c>
      <c r="AM230" s="42" t="n">
        <f aca="false">-($D$225+$J$225)*(AM$5=0)+IF(AND(AM$5-$K$225&gt;=1,AM$5-$K$225&lt;=Inputs!$C$13),INDEX($N$228:$AL$228,1,AM$5-$K$225+1)*INDEX($N$229:$AL$229,1,AM$5-$K$225+1),0)-$I$225*((AM$5=Inputs!$C$12)*$C$227*$D$225+(AM$5=Inputs!$C$13)*$D$227*($D$225+Inputs!$C$14))+$I$225*((AM$5=Inputs!$C$15+$K$225)*$E$227*$I$227+(AM$5=Inputs!$C$16+$K$225)*$F$227*$J$227+(AM$5=Inputs!$C$17)*$G$227*$H$225*$H$227)</f>
        <v>11.76</v>
      </c>
      <c r="AN230" s="42" t="n">
        <f aca="false">-($D$225+$J$225)*(AN$5=0)+IF(AND(AN$5-$K$225&gt;=1,AN$5-$K$225&lt;=Inputs!$C$13),INDEX($N$228:$AL$228,1,AN$5-$K$225+1)*INDEX($N$229:$AL$229,1,AN$5-$K$225+1),0)-$I$225*((AN$5=Inputs!$C$12)*$C$227*$D$225+(AN$5=Inputs!$C$13)*$D$227*($D$225+Inputs!$C$14))+$I$225*((AN$5=Inputs!$C$15+$K$225)*$E$227*$I$227+(AN$5=Inputs!$C$16+$K$225)*$F$227*$J$227+(AN$5=Inputs!$C$17)*$G$227*$H$225*$H$227)</f>
        <v>0</v>
      </c>
      <c r="AO230" s="42" t="n">
        <f aca="false">-($D$225+$J$225)*(AO$5=0)+IF(AND(AO$5-$K$225&gt;=1,AO$5-$K$225&lt;=Inputs!$C$13),INDEX($N$228:$AL$228,1,AO$5-$K$225+1)*INDEX($N$229:$AL$229,1,AO$5-$K$225+1),0)-$I$225*((AO$5=Inputs!$C$12)*$C$227*$D$225+(AO$5=Inputs!$C$13)*$D$227*($D$225+Inputs!$C$14))+$I$225*((AO$5=Inputs!$C$15+$K$225)*$E$227*$I$227+(AO$5=Inputs!$C$16+$K$225)*$F$227*$J$227+(AO$5=Inputs!$C$17)*$G$227*$H$225*$H$227)</f>
        <v>0</v>
      </c>
      <c r="AP230" s="42" t="n">
        <f aca="false">-($D$225+$J$225)*(AP$5=0)+IF(AND(AP$5-$K$225&gt;=1,AP$5-$K$225&lt;=Inputs!$C$13),INDEX($N$228:$AL$228,1,AP$5-$K$225+1)*INDEX($N$229:$AL$229,1,AP$5-$K$225+1),0)-$I$225*((AP$5=Inputs!$C$12)*$C$227*$D$225+(AP$5=Inputs!$C$13)*$D$227*($D$225+Inputs!$C$14))+$I$225*((AP$5=Inputs!$C$15+$K$225)*$E$227*$I$227+(AP$5=Inputs!$C$16+$K$225)*$F$227*$J$227+(AP$5=Inputs!$C$17)*$G$227*$H$225*$H$227)</f>
        <v>0</v>
      </c>
      <c r="AQ230" s="42" t="n">
        <f aca="false">-($D$225+$J$225)*(AQ$5=0)+IF(AND(AQ$5-$K$225&gt;=1,AQ$5-$K$225&lt;=Inputs!$C$13),INDEX($N$228:$AL$228,1,AQ$5-$K$225+1)*INDEX($N$229:$AL$229,1,AQ$5-$K$225+1),0)-$I$225*((AQ$5=Inputs!$C$12)*$C$227*$D$225+(AQ$5=Inputs!$C$13)*$D$227*($D$225+Inputs!$C$14))+$I$225*((AQ$5=Inputs!$C$15+$K$225)*$E$227*$I$227+(AQ$5=Inputs!$C$16+$K$225)*$F$227*$J$227+(AQ$5=Inputs!$C$17)*$G$227*$H$225*$H$227)</f>
        <v>0</v>
      </c>
      <c r="AR230" s="42" t="n">
        <f aca="false">-($D$225+$J$225)*(AR$5=0)+IF(AND(AR$5-$K$225&gt;=1,AR$5-$K$225&lt;=Inputs!$C$13),INDEX($N$228:$AL$228,1,AR$5-$K$225+1)*INDEX($N$229:$AL$229,1,AR$5-$K$225+1),0)-$I$225*((AR$5=Inputs!$C$12)*$C$227*$D$225+(AR$5=Inputs!$C$13)*$D$227*($D$225+Inputs!$C$14))+$I$225*((AR$5=Inputs!$C$15+$K$225)*$E$227*$I$227+(AR$5=Inputs!$C$16+$K$225)*$F$227*$J$227+(AR$5=Inputs!$C$17)*$G$227*$H$225*$H$227)</f>
        <v>0</v>
      </c>
      <c r="AS230" s="42" t="n">
        <f aca="false">-($D$225+$J$225)*(AS$5=0)+IF(AND(AS$5-$K$225&gt;=1,AS$5-$K$225&lt;=Inputs!$C$13),INDEX($N$228:$AL$228,1,AS$5-$K$225+1)*INDEX($N$229:$AL$229,1,AS$5-$K$225+1),0)-$I$225*((AS$5=Inputs!$C$12)*$C$227*$D$225+(AS$5=Inputs!$C$13)*$D$227*($D$225+Inputs!$C$14))+$I$225*((AS$5=Inputs!$C$15+$K$225)*$E$227*$I$227+(AS$5=Inputs!$C$16+$K$225)*$F$227*$J$227+(AS$5=Inputs!$C$17)*$G$227*$H$225*$H$227)</f>
        <v>0</v>
      </c>
      <c r="AT230" s="42" t="n">
        <f aca="false">-($D$225+$J$225)*(AT$5=0)+IF(AND(AT$5-$K$225&gt;=1,AT$5-$K$225&lt;=Inputs!$C$13),INDEX($N$228:$AL$228,1,AT$5-$K$225+1)*INDEX($N$229:$AL$229,1,AT$5-$K$225+1),0)-$I$225*((AT$5=Inputs!$C$12)*$C$227*$D$225+(AT$5=Inputs!$C$13)*$D$227*($D$225+Inputs!$C$14))+$I$225*((AT$5=Inputs!$C$15+$K$225)*$E$227*$I$227+(AT$5=Inputs!$C$16+$K$225)*$F$227*$J$227+(AT$5=Inputs!$C$17)*$G$227*$H$225*$H$227)</f>
        <v>0</v>
      </c>
      <c r="AU230" s="42" t="n">
        <f aca="false">-($D$225+$J$225)*(AU$5=0)+IF(AND(AU$5-$K$225&gt;=1,AU$5-$K$225&lt;=Inputs!$C$13),INDEX($N$228:$AL$228,1,AU$5-$K$225+1)*INDEX($N$229:$AL$229,1,AU$5-$K$225+1),0)-$I$225*((AU$5=Inputs!$C$12)*$C$227*$D$225+(AU$5=Inputs!$C$13)*$D$227*($D$225+Inputs!$C$14))+$I$225*((AU$5=Inputs!$C$15+$K$225)*$E$227*$I$227+(AU$5=Inputs!$C$16+$K$225)*$F$227*$J$227+(AU$5=Inputs!$C$17)*$G$227*$H$225*$H$227)</f>
        <v>0</v>
      </c>
      <c r="AV230" s="42" t="n">
        <f aca="false">-($D$225+$J$225)*(AV$5=0)+IF(AND(AV$5-$K$225&gt;=1,AV$5-$K$225&lt;=Inputs!$C$13),INDEX($N$228:$AL$228,1,AV$5-$K$225+1)*INDEX($N$229:$AL$229,1,AV$5-$K$225+1),0)-$I$225*((AV$5=Inputs!$C$12)*$C$227*$D$225+(AV$5=Inputs!$C$13)*$D$227*($D$225+Inputs!$C$14))+$I$225*((AV$5=Inputs!$C$15+$K$225)*$E$227*$I$227+(AV$5=Inputs!$C$16+$K$225)*$F$227*$J$227+(AV$5=Inputs!$C$17)*$G$227*$H$225*$H$227)</f>
        <v>0</v>
      </c>
      <c r="AW230" s="42" t="n">
        <f aca="false">-($D$225+$J$225)*(AW$5=0)+IF(AND(AW$5-$K$225&gt;=1,AW$5-$K$225&lt;=Inputs!$C$13),INDEX($N$228:$AL$228,1,AW$5-$K$225+1)*INDEX($N$229:$AL$229,1,AW$5-$K$225+1),0)-$I$225*((AW$5=Inputs!$C$12)*$C$227*$D$225+(AW$5=Inputs!$C$13)*$D$227*($D$225+Inputs!$C$14))+$I$225*((AW$5=Inputs!$C$15+$K$225)*$E$227*$I$227+(AW$5=Inputs!$C$16+$K$225)*$F$227*$J$227+(AW$5=Inputs!$C$17)*$G$227*$H$225*$H$227)</f>
        <v>0</v>
      </c>
      <c r="AX230" s="42" t="n">
        <f aca="false">-($D$225+$J$225)*(AX$5=0)+IF(AND(AX$5-$K$225&gt;=1,AX$5-$K$225&lt;=Inputs!$C$13),INDEX($N$228:$AL$228,1,AX$5-$K$225+1)*INDEX($N$229:$AL$229,1,AX$5-$K$225+1),0)-$I$225*((AX$5=Inputs!$C$12)*$C$227*$D$225+(AX$5=Inputs!$C$13)*$D$227*($D$225+Inputs!$C$14))+$I$225*((AX$5=Inputs!$C$15+$K$225)*$E$227*$I$227+(AX$5=Inputs!$C$16+$K$225)*$F$227*$J$227+(AX$5=Inputs!$C$17)*$G$227*$H$225*$H$227)</f>
        <v>0</v>
      </c>
      <c r="AY230" s="42" t="n">
        <f aca="false">-($D$225+$J$225)*(AY$5=0)+IF(AND(AY$5-$K$225&gt;=1,AY$5-$K$225&lt;=Inputs!$C$13),INDEX($N$228:$AL$228,1,AY$5-$K$225+1)*INDEX($N$229:$AL$229,1,AY$5-$K$225+1),0)-$I$225*((AY$5=Inputs!$C$12)*$C$227*$D$225+(AY$5=Inputs!$C$13)*$D$227*($D$225+Inputs!$C$14))+$I$225*((AY$5=Inputs!$C$15+$K$225)*$E$227*$I$227+(AY$5=Inputs!$C$16+$K$225)*$F$227*$J$227+(AY$5=Inputs!$C$17)*$G$227*$H$225*$H$227)</f>
        <v>0</v>
      </c>
    </row>
    <row r="232" customFormat="false" ht="15" hidden="false" customHeight="false" outlineLevel="0" collapsed="false">
      <c r="B232" s="7" t="s">
        <v>266</v>
      </c>
      <c r="C232" s="8"/>
      <c r="D232" s="8"/>
      <c r="E232" s="8"/>
      <c r="F232" s="8"/>
      <c r="G232" s="8"/>
      <c r="H232" s="8"/>
      <c r="I232" s="8"/>
      <c r="J232" s="8"/>
      <c r="K232" s="8"/>
      <c r="L232" s="8"/>
    </row>
    <row r="233" customFormat="false" ht="30" hidden="false" customHeight="true" outlineLevel="0" collapsed="false">
      <c r="B233" s="37"/>
      <c r="C233" s="38" t="s">
        <v>169</v>
      </c>
      <c r="D233" s="38" t="s">
        <v>170</v>
      </c>
      <c r="E233" s="38" t="s">
        <v>171</v>
      </c>
      <c r="F233" s="38" t="s">
        <v>43</v>
      </c>
      <c r="G233" s="38" t="s">
        <v>44</v>
      </c>
      <c r="H233" s="38" t="s">
        <v>45</v>
      </c>
      <c r="I233" s="38" t="s">
        <v>172</v>
      </c>
      <c r="J233" s="38" t="s">
        <v>90</v>
      </c>
      <c r="K233" s="38" t="s">
        <v>89</v>
      </c>
      <c r="L233" s="38" t="s">
        <v>173</v>
      </c>
    </row>
    <row r="234" customFormat="false" ht="15" hidden="false" customHeight="false" outlineLevel="0" collapsed="false">
      <c r="B234" s="39" t="s">
        <v>174</v>
      </c>
      <c r="C234" s="26" t="n">
        <f aca="false">Inputs!$F$39*Inputs!$E$60</f>
        <v>0.005</v>
      </c>
      <c r="D234" s="30" t="n">
        <f aca="false">Inputs!$E$39</f>
        <v>4200</v>
      </c>
      <c r="E234" s="26" t="n">
        <f aca="false">IF(Inputs!$G$39=1,Inputs!$F$27,MIN(1,MAX(0,INDEX(Inputs!$F$23:$F$27,MATCH(Inputs!$C$39,Inputs!$B$23:$B$27,0))+INDEX(Inputs!$C$48:$C$51,MATCH(Inputs!$D$60,Inputs!$B$48:$B$51,0)))))</f>
        <v>0.835</v>
      </c>
      <c r="F234" s="25" t="n">
        <f aca="false">IF(Inputs!$G$39=1,Inputs!$G$27,INDEX(Inputs!$G$23:$G$27,MATCH(Inputs!$C$39,Inputs!$B$23:$B$27,0)))</f>
        <v>0.8</v>
      </c>
      <c r="G234" s="25" t="n">
        <f aca="false">IF(Inputs!$G$39=1,Inputs!$H$27,INDEX(Inputs!$H$23:$H$27,MATCH(Inputs!$C$39,Inputs!$B$23:$B$27,0)))*INDEX(Inputs!$D$48:$D$51,MATCH(Inputs!$D$60,Inputs!$B$48:$B$51,0))</f>
        <v>0.2375</v>
      </c>
      <c r="H234" s="25" t="n">
        <f aca="false">MAX(0,IF(Inputs!$G$39=1,Inputs!$I$27,INDEX(Inputs!$I$23:$I$27,MATCH(Inputs!$C$39,Inputs!$B$23:$B$27,0)))+INDEX(Inputs!$E$48:$E$51,MATCH(Inputs!$D$60,Inputs!$B$48:$B$51,0)))</f>
        <v>0.6</v>
      </c>
      <c r="I234" s="22" t="n">
        <f aca="false">IF(Inputs!$G$39=1,0,INDEX(Inputs!$J$23:$J$27,MATCH(Inputs!$C$39,Inputs!$B$23:$B$27,0)))</f>
        <v>1</v>
      </c>
      <c r="J234" s="23" t="n">
        <f aca="false">Inputs!$G$60</f>
        <v>10</v>
      </c>
      <c r="K234" s="22" t="n">
        <f aca="false">Inputs!$F$60</f>
        <v>1</v>
      </c>
      <c r="L234" s="22" t="n">
        <f aca="false">Inputs!$C$60</f>
        <v>1</v>
      </c>
    </row>
    <row r="235" customFormat="false" ht="30" hidden="false" customHeight="true" outlineLevel="0" collapsed="false">
      <c r="B235" s="37"/>
      <c r="C235" s="38" t="s">
        <v>175</v>
      </c>
      <c r="D235" s="38" t="s">
        <v>176</v>
      </c>
      <c r="E235" s="38" t="s">
        <v>177</v>
      </c>
      <c r="F235" s="38" t="s">
        <v>178</v>
      </c>
      <c r="G235" s="38" t="s">
        <v>112</v>
      </c>
      <c r="H235" s="38" t="s">
        <v>179</v>
      </c>
      <c r="I235" s="38" t="s">
        <v>180</v>
      </c>
      <c r="J235" s="38" t="s">
        <v>181</v>
      </c>
      <c r="K235" s="38" t="s">
        <v>182</v>
      </c>
      <c r="L235" s="38" t="s">
        <v>183</v>
      </c>
    </row>
    <row r="236" customFormat="false" ht="15" hidden="false" customHeight="false" outlineLevel="0" collapsed="false">
      <c r="B236" s="39" t="s">
        <v>184</v>
      </c>
      <c r="C236" s="40" t="n">
        <f aca="false">1-$E$234*CHOOSE($L$234,INDEX(Timing!$C$7:$AA$7,1,Inputs!$C$12+1),INDEX(Timing!$C$8:$AA$8,1,Inputs!$C$12+1))</f>
        <v>0.3654</v>
      </c>
      <c r="D236" s="40" t="n">
        <f aca="false">1-$E$234*CHOOSE($L$234,INDEX(Timing!$C$7:$AA$7,1,Inputs!$C$13+1),INDEX(Timing!$C$8:$AA$8,1,Inputs!$C$13+1))</f>
        <v>0.165</v>
      </c>
      <c r="E236" s="40" t="n">
        <f aca="false">$I$234*$D$236*$F$234</f>
        <v>0.132</v>
      </c>
      <c r="F236" s="40" t="n">
        <f aca="false">$I$234*($D$236-$E$236)*$G$234</f>
        <v>0.0078375</v>
      </c>
      <c r="G236" s="40" t="n">
        <f aca="false">$I$234*($D$236-$E$236-$F$236)</f>
        <v>0.0251625</v>
      </c>
      <c r="H236" s="23" t="n">
        <f aca="false">$I$234*(3*$D$234+Inputs!$C$14)</f>
        <v>14400</v>
      </c>
      <c r="I236" s="23" t="n">
        <f aca="false">$I$234*($D$234*(1+IF($C$234&lt;=0,0,MAX($C$234*Inputs!$C$15/12,Inputs!$C$8)))+$D$234*(1+Inputs!$C$11*(Inputs!$C$15-Inputs!$C$12)/12)+$D$234*(1+Inputs!$C$11*(Inputs!$C$15-Inputs!$C$13)/12)+Inputs!$C$14)</f>
        <v>15744</v>
      </c>
      <c r="J236" s="23" t="n">
        <f aca="false">$I$234*($D$234*(1+IF($C$234&lt;=0,0,MAX($C$234*Inputs!$C$16/12,Inputs!$C$8)))+$D$234*(1+Inputs!$C$11*(Inputs!$C$16-Inputs!$C$12)/12)+$D$234*(1+Inputs!$C$11*(Inputs!$C$16-Inputs!$C$13)/12)+Inputs!$C$14)</f>
        <v>16122</v>
      </c>
      <c r="K236" s="40" t="n">
        <f aca="false">IRR($N$239:$AY$239,0.005)</f>
        <v>0.00381051782525325</v>
      </c>
      <c r="L236" s="41" t="n">
        <f aca="false">(1+$K$236)^12-1</f>
        <v>0.0466968143030206</v>
      </c>
    </row>
    <row r="237" customFormat="false" ht="15" hidden="false" customHeight="false" outlineLevel="0" collapsed="false">
      <c r="B237" s="9" t="s">
        <v>185</v>
      </c>
      <c r="N237" s="40" t="n">
        <f aca="false">0</f>
        <v>0</v>
      </c>
      <c r="O237" s="40" t="n">
        <f aca="false">$E$234*(CHOOSE($L$234,Timing!D$7,Timing!D$8)-CHOOSE($L$234,Timing!C$7,Timing!C$8))</f>
        <v>0.1002</v>
      </c>
      <c r="P237" s="40" t="n">
        <f aca="false">$E$234*(CHOOSE($L$234,Timing!E$7,Timing!E$8)-CHOOSE($L$234,Timing!D$7,Timing!D$8))</f>
        <v>0.0835</v>
      </c>
      <c r="Q237" s="40" t="n">
        <f aca="false">$E$234*(CHOOSE($L$234,Timing!F$7,Timing!F$8)-CHOOSE($L$234,Timing!E$7,Timing!E$8))</f>
        <v>0.07515</v>
      </c>
      <c r="R237" s="40" t="n">
        <f aca="false">$E$234*(CHOOSE($L$234,Timing!G$7,Timing!G$8)-CHOOSE($L$234,Timing!F$7,Timing!F$8))</f>
        <v>0.05845</v>
      </c>
      <c r="S237" s="40" t="n">
        <f aca="false">$E$234*(CHOOSE($L$234,Timing!H$7,Timing!H$8)-CHOOSE($L$234,Timing!G$7,Timing!G$8))</f>
        <v>0.05845</v>
      </c>
      <c r="T237" s="40" t="n">
        <f aca="false">$E$234*(CHOOSE($L$234,Timing!I$7,Timing!I$8)-CHOOSE($L$234,Timing!H$7,Timing!H$8))</f>
        <v>0.05845</v>
      </c>
      <c r="U237" s="40" t="n">
        <f aca="false">$E$234*(CHOOSE($L$234,Timing!J$7,Timing!J$8)-CHOOSE($L$234,Timing!I$7,Timing!I$8))</f>
        <v>0.0361833333333333</v>
      </c>
      <c r="V237" s="40" t="n">
        <f aca="false">$E$234*(CHOOSE($L$234,Timing!K$7,Timing!K$8)-CHOOSE($L$234,Timing!J$7,Timing!J$8))</f>
        <v>0.0361833333333333</v>
      </c>
      <c r="W237" s="40" t="n">
        <f aca="false">$E$234*(CHOOSE($L$234,Timing!L$7,Timing!L$8)-CHOOSE($L$234,Timing!K$7,Timing!K$8))</f>
        <v>0.0361833333333333</v>
      </c>
      <c r="X237" s="40" t="n">
        <f aca="false">$E$234*(CHOOSE($L$234,Timing!M$7,Timing!M$8)-CHOOSE($L$234,Timing!L$7,Timing!L$8))</f>
        <v>0.0306166666666666</v>
      </c>
      <c r="Y237" s="40" t="n">
        <f aca="false">$E$234*(CHOOSE($L$234,Timing!N$7,Timing!N$8)-CHOOSE($L$234,Timing!M$7,Timing!M$8))</f>
        <v>0.0306166666666667</v>
      </c>
      <c r="Z237" s="40" t="n">
        <f aca="false">$E$234*(CHOOSE($L$234,Timing!O$7,Timing!O$8)-CHOOSE($L$234,Timing!N$7,Timing!N$8))</f>
        <v>0.0306166666666666</v>
      </c>
      <c r="AA237" s="40" t="n">
        <f aca="false">$E$234*(CHOOSE($L$234,Timing!P$7,Timing!P$8)-CHOOSE($L$234,Timing!O$7,Timing!O$8))</f>
        <v>0.0194833333333333</v>
      </c>
      <c r="AB237" s="40" t="n">
        <f aca="false">$E$234*(CHOOSE($L$234,Timing!Q$7,Timing!Q$8)-CHOOSE($L$234,Timing!P$7,Timing!P$8))</f>
        <v>0.0194833333333333</v>
      </c>
      <c r="AC237" s="40" t="n">
        <f aca="false">$E$234*(CHOOSE($L$234,Timing!R$7,Timing!R$8)-CHOOSE($L$234,Timing!Q$7,Timing!Q$8))</f>
        <v>0.0194833333333334</v>
      </c>
      <c r="AD237" s="40" t="n">
        <f aca="false">$E$234*(CHOOSE($L$234,Timing!S$7,Timing!S$8)-CHOOSE($L$234,Timing!R$7,Timing!R$8))</f>
        <v>0.0194833333333333</v>
      </c>
      <c r="AE237" s="40" t="n">
        <f aca="false">$E$234*(CHOOSE($L$234,Timing!T$7,Timing!T$8)-CHOOSE($L$234,Timing!S$7,Timing!S$8))</f>
        <v>0.0194833333333333</v>
      </c>
      <c r="AF237" s="40" t="n">
        <f aca="false">$E$234*(CHOOSE($L$234,Timing!U$7,Timing!U$8)-CHOOSE($L$234,Timing!T$7,Timing!T$8))</f>
        <v>0.0194833333333333</v>
      </c>
      <c r="AG237" s="40" t="n">
        <f aca="false">$E$234*(CHOOSE($L$234,Timing!V$7,Timing!V$8)-CHOOSE($L$234,Timing!U$7,Timing!U$8))</f>
        <v>0.0139166666666667</v>
      </c>
      <c r="AH237" s="40" t="n">
        <f aca="false">$E$234*(CHOOSE($L$234,Timing!W$7,Timing!W$8)-CHOOSE($L$234,Timing!V$7,Timing!V$8))</f>
        <v>0.0139166666666666</v>
      </c>
      <c r="AI237" s="40" t="n">
        <f aca="false">$E$234*(CHOOSE($L$234,Timing!X$7,Timing!X$8)-CHOOSE($L$234,Timing!W$7,Timing!W$8))</f>
        <v>0.0139166666666666</v>
      </c>
      <c r="AJ237" s="40" t="n">
        <f aca="false">$E$234*(CHOOSE($L$234,Timing!Y$7,Timing!Y$8)-CHOOSE($L$234,Timing!X$7,Timing!X$8))</f>
        <v>0.0139166666666667</v>
      </c>
      <c r="AK237" s="40" t="n">
        <f aca="false">$E$234*(CHOOSE($L$234,Timing!Z$7,Timing!Z$8)-CHOOSE($L$234,Timing!Y$7,Timing!Y$8))</f>
        <v>0.0139166666666667</v>
      </c>
      <c r="AL237" s="40" t="n">
        <f aca="false">$E$234*(CHOOSE($L$234,Timing!AA$7,Timing!AA$8)-CHOOSE($L$234,Timing!Z$7,Timing!Z$8))</f>
        <v>0.0139166666666666</v>
      </c>
    </row>
    <row r="238" customFormat="false" ht="15" hidden="false" customHeight="false" outlineLevel="0" collapsed="false">
      <c r="B238" s="9" t="s">
        <v>186</v>
      </c>
      <c r="N238" s="42" t="n">
        <f aca="false">0</f>
        <v>0</v>
      </c>
      <c r="O238" s="42" t="n">
        <f aca="false">$D$234*(1+IF($C$234&lt;=0,0,MAX($C$234*O$5/12,Inputs!$C$8)))+$I$234*(O$5&gt;Inputs!$C$12)*$D$234*(1+Inputs!$C$11*(O$5-Inputs!$C$12)/12)</f>
        <v>4410</v>
      </c>
      <c r="P238" s="42" t="n">
        <f aca="false">$D$234*(1+IF($C$234&lt;=0,0,MAX($C$234*P$5/12,Inputs!$C$8)))+$I$234*(P$5&gt;Inputs!$C$12)*$D$234*(1+Inputs!$C$11*(P$5-Inputs!$C$12)/12)</f>
        <v>4410</v>
      </c>
      <c r="Q238" s="42" t="n">
        <f aca="false">$D$234*(1+IF($C$234&lt;=0,0,MAX($C$234*Q$5/12,Inputs!$C$8)))+$I$234*(Q$5&gt;Inputs!$C$12)*$D$234*(1+Inputs!$C$11*(Q$5-Inputs!$C$12)/12)</f>
        <v>4410</v>
      </c>
      <c r="R238" s="42" t="n">
        <f aca="false">$D$234*(1+IF($C$234&lt;=0,0,MAX($C$234*R$5/12,Inputs!$C$8)))+$I$234*(R$5&gt;Inputs!$C$12)*$D$234*(1+Inputs!$C$11*(R$5-Inputs!$C$12)/12)</f>
        <v>4410</v>
      </c>
      <c r="S238" s="42" t="n">
        <f aca="false">$D$234*(1+IF($C$234&lt;=0,0,MAX($C$234*S$5/12,Inputs!$C$8)))+$I$234*(S$5&gt;Inputs!$C$12)*$D$234*(1+Inputs!$C$11*(S$5-Inputs!$C$12)/12)</f>
        <v>4410</v>
      </c>
      <c r="T238" s="42" t="n">
        <f aca="false">$D$234*(1+IF($C$234&lt;=0,0,MAX($C$234*T$5/12,Inputs!$C$8)))+$I$234*(T$5&gt;Inputs!$C$12)*$D$234*(1+Inputs!$C$11*(T$5-Inputs!$C$12)/12)</f>
        <v>4410</v>
      </c>
      <c r="U238" s="42" t="n">
        <f aca="false">$D$234*(1+IF($C$234&lt;=0,0,MAX($C$234*U$5/12,Inputs!$C$8)))+$I$234*(U$5&gt;Inputs!$C$12)*$D$234*(1+Inputs!$C$11*(U$5-Inputs!$C$12)/12)</f>
        <v>4410</v>
      </c>
      <c r="V238" s="42" t="n">
        <f aca="false">$D$234*(1+IF($C$234&lt;=0,0,MAX($C$234*V$5/12,Inputs!$C$8)))+$I$234*(V$5&gt;Inputs!$C$12)*$D$234*(1+Inputs!$C$11*(V$5-Inputs!$C$12)/12)</f>
        <v>4410</v>
      </c>
      <c r="W238" s="42" t="n">
        <f aca="false">$D$234*(1+IF($C$234&lt;=0,0,MAX($C$234*W$5/12,Inputs!$C$8)))+$I$234*(W$5&gt;Inputs!$C$12)*$D$234*(1+Inputs!$C$11*(W$5-Inputs!$C$12)/12)</f>
        <v>4410</v>
      </c>
      <c r="X238" s="42" t="n">
        <f aca="false">$D$234*(1+IF($C$234&lt;=0,0,MAX($C$234*X$5/12,Inputs!$C$8)))+$I$234*(X$5&gt;Inputs!$C$12)*$D$234*(1+Inputs!$C$11*(X$5-Inputs!$C$12)/12)</f>
        <v>4410</v>
      </c>
      <c r="Y238" s="42" t="n">
        <f aca="false">$D$234*(1+IF($C$234&lt;=0,0,MAX($C$234*Y$5/12,Inputs!$C$8)))+$I$234*(Y$5&gt;Inputs!$C$12)*$D$234*(1+Inputs!$C$11*(Y$5-Inputs!$C$12)/12)</f>
        <v>4410</v>
      </c>
      <c r="Z238" s="42" t="n">
        <f aca="false">$D$234*(1+IF($C$234&lt;=0,0,MAX($C$234*Z$5/12,Inputs!$C$8)))+$I$234*(Z$5&gt;Inputs!$C$12)*$D$234*(1+Inputs!$C$11*(Z$5-Inputs!$C$12)/12)</f>
        <v>4410</v>
      </c>
      <c r="AA238" s="42" t="n">
        <f aca="false">$D$234*(1+IF($C$234&lt;=0,0,MAX($C$234*AA$5/12,Inputs!$C$8)))+$I$234*(AA$5&gt;Inputs!$C$12)*$D$234*(1+Inputs!$C$11*(AA$5-Inputs!$C$12)/12)</f>
        <v>8673</v>
      </c>
      <c r="AB238" s="42" t="n">
        <f aca="false">$D$234*(1+IF($C$234&lt;=0,0,MAX($C$234*AB$5/12,Inputs!$C$8)))+$I$234*(AB$5&gt;Inputs!$C$12)*$D$234*(1+Inputs!$C$11*(AB$5-Inputs!$C$12)/12)</f>
        <v>8736</v>
      </c>
      <c r="AC238" s="42" t="n">
        <f aca="false">$D$234*(1+IF($C$234&lt;=0,0,MAX($C$234*AC$5/12,Inputs!$C$8)))+$I$234*(AC$5&gt;Inputs!$C$12)*$D$234*(1+Inputs!$C$11*(AC$5-Inputs!$C$12)/12)</f>
        <v>8799</v>
      </c>
      <c r="AD238" s="42" t="n">
        <f aca="false">$D$234*(1+IF($C$234&lt;=0,0,MAX($C$234*AD$5/12,Inputs!$C$8)))+$I$234*(AD$5&gt;Inputs!$C$12)*$D$234*(1+Inputs!$C$11*(AD$5-Inputs!$C$12)/12)</f>
        <v>8862</v>
      </c>
      <c r="AE238" s="42" t="n">
        <f aca="false">$D$234*(1+IF($C$234&lt;=0,0,MAX($C$234*AE$5/12,Inputs!$C$8)))+$I$234*(AE$5&gt;Inputs!$C$12)*$D$234*(1+Inputs!$C$11*(AE$5-Inputs!$C$12)/12)</f>
        <v>8925</v>
      </c>
      <c r="AF238" s="42" t="n">
        <f aca="false">$D$234*(1+IF($C$234&lt;=0,0,MAX($C$234*AF$5/12,Inputs!$C$8)))+$I$234*(AF$5&gt;Inputs!$C$12)*$D$234*(1+Inputs!$C$11*(AF$5-Inputs!$C$12)/12)</f>
        <v>8988</v>
      </c>
      <c r="AG238" s="42" t="n">
        <f aca="false">$D$234*(1+IF($C$234&lt;=0,0,MAX($C$234*AG$5/12,Inputs!$C$8)))+$I$234*(AG$5&gt;Inputs!$C$12)*$D$234*(1+Inputs!$C$11*(AG$5-Inputs!$C$12)/12)</f>
        <v>9051</v>
      </c>
      <c r="AH238" s="42" t="n">
        <f aca="false">$D$234*(1+IF($C$234&lt;=0,0,MAX($C$234*AH$5/12,Inputs!$C$8)))+$I$234*(AH$5&gt;Inputs!$C$12)*$D$234*(1+Inputs!$C$11*(AH$5-Inputs!$C$12)/12)</f>
        <v>9114</v>
      </c>
      <c r="AI238" s="42" t="n">
        <f aca="false">$D$234*(1+IF($C$234&lt;=0,0,MAX($C$234*AI$5/12,Inputs!$C$8)))+$I$234*(AI$5&gt;Inputs!$C$12)*$D$234*(1+Inputs!$C$11*(AI$5-Inputs!$C$12)/12)</f>
        <v>9177</v>
      </c>
      <c r="AJ238" s="42" t="n">
        <f aca="false">$D$234*(1+IF($C$234&lt;=0,0,MAX($C$234*AJ$5/12,Inputs!$C$8)))+$I$234*(AJ$5&gt;Inputs!$C$12)*$D$234*(1+Inputs!$C$11*(AJ$5-Inputs!$C$12)/12)</f>
        <v>9240</v>
      </c>
      <c r="AK238" s="42" t="n">
        <f aca="false">$D$234*(1+IF($C$234&lt;=0,0,MAX($C$234*AK$5/12,Inputs!$C$8)))+$I$234*(AK$5&gt;Inputs!$C$12)*$D$234*(1+Inputs!$C$11*(AK$5-Inputs!$C$12)/12)</f>
        <v>9303</v>
      </c>
      <c r="AL238" s="42" t="n">
        <f aca="false">$D$234*(1+IF($C$234&lt;=0,0,MAX($C$234*AL$5/12,Inputs!$C$8)))+$I$234*(AL$5&gt;Inputs!$C$12)*$D$234*(1+Inputs!$C$11*(AL$5-Inputs!$C$12)/12)</f>
        <v>9366</v>
      </c>
    </row>
    <row r="239" customFormat="false" ht="15" hidden="false" customHeight="false" outlineLevel="0" collapsed="false">
      <c r="B239" s="31" t="s">
        <v>187</v>
      </c>
      <c r="N239" s="42" t="n">
        <f aca="false">-($D$234+$J$234)*(N$5=0)+IF(AND(N$5-$K$234&gt;=1,N$5-$K$234&lt;=Inputs!$C$13),INDEX($N$237:$AL$237,1,N$5-$K$234+1)*INDEX($N$238:$AL$238,1,N$5-$K$234+1),0)-$I$234*((N$5=Inputs!$C$12)*$C$236*$D$234+(N$5=Inputs!$C$13)*$D$236*($D$234+Inputs!$C$14))+$I$234*((N$5=Inputs!$C$15+$K$234)*$E$236*$I$236+(N$5=Inputs!$C$16+$K$234)*$F$236*$J$236+(N$5=Inputs!$C$17)*$G$236*$H$234*$H$236)</f>
        <v>-4210</v>
      </c>
      <c r="O239" s="42" t="n">
        <f aca="false">-($D$234+$J$234)*(O$5=0)+IF(AND(O$5-$K$234&gt;=1,O$5-$K$234&lt;=Inputs!$C$13),INDEX($N$237:$AL$237,1,O$5-$K$234+1)*INDEX($N$238:$AL$238,1,O$5-$K$234+1),0)-$I$234*((O$5=Inputs!$C$12)*$C$236*$D$234+(O$5=Inputs!$C$13)*$D$236*($D$234+Inputs!$C$14))+$I$234*((O$5=Inputs!$C$15+$K$234)*$E$236*$I$236+(O$5=Inputs!$C$16+$K$234)*$F$236*$J$236+(O$5=Inputs!$C$17)*$G$236*$H$234*$H$236)</f>
        <v>0</v>
      </c>
      <c r="P239" s="42" t="n">
        <f aca="false">-($D$234+$J$234)*(P$5=0)+IF(AND(P$5-$K$234&gt;=1,P$5-$K$234&lt;=Inputs!$C$13),INDEX($N$237:$AL$237,1,P$5-$K$234+1)*INDEX($N$238:$AL$238,1,P$5-$K$234+1),0)-$I$234*((P$5=Inputs!$C$12)*$C$236*$D$234+(P$5=Inputs!$C$13)*$D$236*($D$234+Inputs!$C$14))+$I$234*((P$5=Inputs!$C$15+$K$234)*$E$236*$I$236+(P$5=Inputs!$C$16+$K$234)*$F$236*$J$236+(P$5=Inputs!$C$17)*$G$236*$H$234*$H$236)</f>
        <v>441.882</v>
      </c>
      <c r="Q239" s="42" t="n">
        <f aca="false">-($D$234+$J$234)*(Q$5=0)+IF(AND(Q$5-$K$234&gt;=1,Q$5-$K$234&lt;=Inputs!$C$13),INDEX($N$237:$AL$237,1,Q$5-$K$234+1)*INDEX($N$238:$AL$238,1,Q$5-$K$234+1),0)-$I$234*((Q$5=Inputs!$C$12)*$C$236*$D$234+(Q$5=Inputs!$C$13)*$D$236*($D$234+Inputs!$C$14))+$I$234*((Q$5=Inputs!$C$15+$K$234)*$E$236*$I$236+(Q$5=Inputs!$C$16+$K$234)*$F$236*$J$236+(Q$5=Inputs!$C$17)*$G$236*$H$234*$H$236)</f>
        <v>368.235</v>
      </c>
      <c r="R239" s="42" t="n">
        <f aca="false">-($D$234+$J$234)*(R$5=0)+IF(AND(R$5-$K$234&gt;=1,R$5-$K$234&lt;=Inputs!$C$13),INDEX($N$237:$AL$237,1,R$5-$K$234+1)*INDEX($N$238:$AL$238,1,R$5-$K$234+1),0)-$I$234*((R$5=Inputs!$C$12)*$C$236*$D$234+(R$5=Inputs!$C$13)*$D$236*($D$234+Inputs!$C$14))+$I$234*((R$5=Inputs!$C$15+$K$234)*$E$236*$I$236+(R$5=Inputs!$C$16+$K$234)*$F$236*$J$236+(R$5=Inputs!$C$17)*$G$236*$H$234*$H$236)</f>
        <v>331.4115</v>
      </c>
      <c r="S239" s="42" t="n">
        <f aca="false">-($D$234+$J$234)*(S$5=0)+IF(AND(S$5-$K$234&gt;=1,S$5-$K$234&lt;=Inputs!$C$13),INDEX($N$237:$AL$237,1,S$5-$K$234+1)*INDEX($N$238:$AL$238,1,S$5-$K$234+1),0)-$I$234*((S$5=Inputs!$C$12)*$C$236*$D$234+(S$5=Inputs!$C$13)*$D$236*($D$234+Inputs!$C$14))+$I$234*((S$5=Inputs!$C$15+$K$234)*$E$236*$I$236+(S$5=Inputs!$C$16+$K$234)*$F$236*$J$236+(S$5=Inputs!$C$17)*$G$236*$H$234*$H$236)</f>
        <v>257.7645</v>
      </c>
      <c r="T239" s="42" t="n">
        <f aca="false">-($D$234+$J$234)*(T$5=0)+IF(AND(T$5-$K$234&gt;=1,T$5-$K$234&lt;=Inputs!$C$13),INDEX($N$237:$AL$237,1,T$5-$K$234+1)*INDEX($N$238:$AL$238,1,T$5-$K$234+1),0)-$I$234*((T$5=Inputs!$C$12)*$C$236*$D$234+(T$5=Inputs!$C$13)*$D$236*($D$234+Inputs!$C$14))+$I$234*((T$5=Inputs!$C$15+$K$234)*$E$236*$I$236+(T$5=Inputs!$C$16+$K$234)*$F$236*$J$236+(T$5=Inputs!$C$17)*$G$236*$H$234*$H$236)</f>
        <v>257.7645</v>
      </c>
      <c r="U239" s="42" t="n">
        <f aca="false">-($D$234+$J$234)*(U$5=0)+IF(AND(U$5-$K$234&gt;=1,U$5-$K$234&lt;=Inputs!$C$13),INDEX($N$237:$AL$237,1,U$5-$K$234+1)*INDEX($N$238:$AL$238,1,U$5-$K$234+1),0)-$I$234*((U$5=Inputs!$C$12)*$C$236*$D$234+(U$5=Inputs!$C$13)*$D$236*($D$234+Inputs!$C$14))+$I$234*((U$5=Inputs!$C$15+$K$234)*$E$236*$I$236+(U$5=Inputs!$C$16+$K$234)*$F$236*$J$236+(U$5=Inputs!$C$17)*$G$236*$H$234*$H$236)</f>
        <v>257.7645</v>
      </c>
      <c r="V239" s="42" t="n">
        <f aca="false">-($D$234+$J$234)*(V$5=0)+IF(AND(V$5-$K$234&gt;=1,V$5-$K$234&lt;=Inputs!$C$13),INDEX($N$237:$AL$237,1,V$5-$K$234+1)*INDEX($N$238:$AL$238,1,V$5-$K$234+1),0)-$I$234*((V$5=Inputs!$C$12)*$C$236*$D$234+(V$5=Inputs!$C$13)*$D$236*($D$234+Inputs!$C$14))+$I$234*((V$5=Inputs!$C$15+$K$234)*$E$236*$I$236+(V$5=Inputs!$C$16+$K$234)*$F$236*$J$236+(V$5=Inputs!$C$17)*$G$236*$H$234*$H$236)</f>
        <v>159.5685</v>
      </c>
      <c r="W239" s="42" t="n">
        <f aca="false">-($D$234+$J$234)*(W$5=0)+IF(AND(W$5-$K$234&gt;=1,W$5-$K$234&lt;=Inputs!$C$13),INDEX($N$237:$AL$237,1,W$5-$K$234+1)*INDEX($N$238:$AL$238,1,W$5-$K$234+1),0)-$I$234*((W$5=Inputs!$C$12)*$C$236*$D$234+(W$5=Inputs!$C$13)*$D$236*($D$234+Inputs!$C$14))+$I$234*((W$5=Inputs!$C$15+$K$234)*$E$236*$I$236+(W$5=Inputs!$C$16+$K$234)*$F$236*$J$236+(W$5=Inputs!$C$17)*$G$236*$H$234*$H$236)</f>
        <v>159.5685</v>
      </c>
      <c r="X239" s="42" t="n">
        <f aca="false">-($D$234+$J$234)*(X$5=0)+IF(AND(X$5-$K$234&gt;=1,X$5-$K$234&lt;=Inputs!$C$13),INDEX($N$237:$AL$237,1,X$5-$K$234+1)*INDEX($N$238:$AL$238,1,X$5-$K$234+1),0)-$I$234*((X$5=Inputs!$C$12)*$C$236*$D$234+(X$5=Inputs!$C$13)*$D$236*($D$234+Inputs!$C$14))+$I$234*((X$5=Inputs!$C$15+$K$234)*$E$236*$I$236+(X$5=Inputs!$C$16+$K$234)*$F$236*$J$236+(X$5=Inputs!$C$17)*$G$236*$H$234*$H$236)</f>
        <v>159.5685</v>
      </c>
      <c r="Y239" s="42" t="n">
        <f aca="false">-($D$234+$J$234)*(Y$5=0)+IF(AND(Y$5-$K$234&gt;=1,Y$5-$K$234&lt;=Inputs!$C$13),INDEX($N$237:$AL$237,1,Y$5-$K$234+1)*INDEX($N$238:$AL$238,1,Y$5-$K$234+1),0)-$I$234*((Y$5=Inputs!$C$12)*$C$236*$D$234+(Y$5=Inputs!$C$13)*$D$236*($D$234+Inputs!$C$14))+$I$234*((Y$5=Inputs!$C$15+$K$234)*$E$236*$I$236+(Y$5=Inputs!$C$16+$K$234)*$F$236*$J$236+(Y$5=Inputs!$C$17)*$G$236*$H$234*$H$236)</f>
        <v>135.0195</v>
      </c>
      <c r="Z239" s="42" t="n">
        <f aca="false">-($D$234+$J$234)*(Z$5=0)+IF(AND(Z$5-$K$234&gt;=1,Z$5-$K$234&lt;=Inputs!$C$13),INDEX($N$237:$AL$237,1,Z$5-$K$234+1)*INDEX($N$238:$AL$238,1,Z$5-$K$234+1),0)-$I$234*((Z$5=Inputs!$C$12)*$C$236*$D$234+(Z$5=Inputs!$C$13)*$D$236*($D$234+Inputs!$C$14))+$I$234*((Z$5=Inputs!$C$15+$K$234)*$E$236*$I$236+(Z$5=Inputs!$C$16+$K$234)*$F$236*$J$236+(Z$5=Inputs!$C$17)*$G$236*$H$234*$H$236)</f>
        <v>-1399.6605</v>
      </c>
      <c r="AA239" s="42" t="n">
        <f aca="false">-($D$234+$J$234)*(AA$5=0)+IF(AND(AA$5-$K$234&gt;=1,AA$5-$K$234&lt;=Inputs!$C$13),INDEX($N$237:$AL$237,1,AA$5-$K$234+1)*INDEX($N$238:$AL$238,1,AA$5-$K$234+1),0)-$I$234*((AA$5=Inputs!$C$12)*$C$236*$D$234+(AA$5=Inputs!$C$13)*$D$236*($D$234+Inputs!$C$14))+$I$234*((AA$5=Inputs!$C$15+$K$234)*$E$236*$I$236+(AA$5=Inputs!$C$16+$K$234)*$F$236*$J$236+(AA$5=Inputs!$C$17)*$G$236*$H$234*$H$236)</f>
        <v>135.0195</v>
      </c>
      <c r="AB239" s="42" t="n">
        <f aca="false">-($D$234+$J$234)*(AB$5=0)+IF(AND(AB$5-$K$234&gt;=1,AB$5-$K$234&lt;=Inputs!$C$13),INDEX($N$237:$AL$237,1,AB$5-$K$234+1)*INDEX($N$238:$AL$238,1,AB$5-$K$234+1),0)-$I$234*((AB$5=Inputs!$C$12)*$C$236*$D$234+(AB$5=Inputs!$C$13)*$D$236*($D$234+Inputs!$C$14))+$I$234*((AB$5=Inputs!$C$15+$K$234)*$E$236*$I$236+(AB$5=Inputs!$C$16+$K$234)*$F$236*$J$236+(AB$5=Inputs!$C$17)*$G$236*$H$234*$H$236)</f>
        <v>168.97895</v>
      </c>
      <c r="AC239" s="42" t="n">
        <f aca="false">-($D$234+$J$234)*(AC$5=0)+IF(AND(AC$5-$K$234&gt;=1,AC$5-$K$234&lt;=Inputs!$C$13),INDEX($N$237:$AL$237,1,AC$5-$K$234+1)*INDEX($N$238:$AL$238,1,AC$5-$K$234+1),0)-$I$234*((AC$5=Inputs!$C$12)*$C$236*$D$234+(AC$5=Inputs!$C$13)*$D$236*($D$234+Inputs!$C$14))+$I$234*((AC$5=Inputs!$C$15+$K$234)*$E$236*$I$236+(AC$5=Inputs!$C$16+$K$234)*$F$236*$J$236+(AC$5=Inputs!$C$17)*$G$236*$H$234*$H$236)</f>
        <v>170.2064</v>
      </c>
      <c r="AD239" s="42" t="n">
        <f aca="false">-($D$234+$J$234)*(AD$5=0)+IF(AND(AD$5-$K$234&gt;=1,AD$5-$K$234&lt;=Inputs!$C$13),INDEX($N$237:$AL$237,1,AD$5-$K$234+1)*INDEX($N$238:$AL$238,1,AD$5-$K$234+1),0)-$I$234*((AD$5=Inputs!$C$12)*$C$236*$D$234+(AD$5=Inputs!$C$13)*$D$236*($D$234+Inputs!$C$14))+$I$234*((AD$5=Inputs!$C$15+$K$234)*$E$236*$I$236+(AD$5=Inputs!$C$16+$K$234)*$F$236*$J$236+(AD$5=Inputs!$C$17)*$G$236*$H$234*$H$236)</f>
        <v>171.433850000001</v>
      </c>
      <c r="AE239" s="42" t="n">
        <f aca="false">-($D$234+$J$234)*(AE$5=0)+IF(AND(AE$5-$K$234&gt;=1,AE$5-$K$234&lt;=Inputs!$C$13),INDEX($N$237:$AL$237,1,AE$5-$K$234+1)*INDEX($N$238:$AL$238,1,AE$5-$K$234+1),0)-$I$234*((AE$5=Inputs!$C$12)*$C$236*$D$234+(AE$5=Inputs!$C$13)*$D$236*($D$234+Inputs!$C$14))+$I$234*((AE$5=Inputs!$C$15+$K$234)*$E$236*$I$236+(AE$5=Inputs!$C$16+$K$234)*$F$236*$J$236+(AE$5=Inputs!$C$17)*$G$236*$H$234*$H$236)</f>
        <v>172.6613</v>
      </c>
      <c r="AF239" s="42" t="n">
        <f aca="false">-($D$234+$J$234)*(AF$5=0)+IF(AND(AF$5-$K$234&gt;=1,AF$5-$K$234&lt;=Inputs!$C$13),INDEX($N$237:$AL$237,1,AF$5-$K$234+1)*INDEX($N$238:$AL$238,1,AF$5-$K$234+1),0)-$I$234*((AF$5=Inputs!$C$12)*$C$236*$D$234+(AF$5=Inputs!$C$13)*$D$236*($D$234+Inputs!$C$14))+$I$234*((AF$5=Inputs!$C$15+$K$234)*$E$236*$I$236+(AF$5=Inputs!$C$16+$K$234)*$F$236*$J$236+(AF$5=Inputs!$C$17)*$G$236*$H$234*$H$236)</f>
        <v>173.88875</v>
      </c>
      <c r="AG239" s="42" t="n">
        <f aca="false">-($D$234+$J$234)*(AG$5=0)+IF(AND(AG$5-$K$234&gt;=1,AG$5-$K$234&lt;=Inputs!$C$13),INDEX($N$237:$AL$237,1,AG$5-$K$234+1)*INDEX($N$238:$AL$238,1,AG$5-$K$234+1),0)-$I$234*((AG$5=Inputs!$C$12)*$C$236*$D$234+(AG$5=Inputs!$C$13)*$D$236*($D$234+Inputs!$C$14))+$I$234*((AG$5=Inputs!$C$15+$K$234)*$E$236*$I$236+(AG$5=Inputs!$C$16+$K$234)*$F$236*$J$236+(AG$5=Inputs!$C$17)*$G$236*$H$234*$H$236)</f>
        <v>175.1162</v>
      </c>
      <c r="AH239" s="42" t="n">
        <f aca="false">-($D$234+$J$234)*(AH$5=0)+IF(AND(AH$5-$K$234&gt;=1,AH$5-$K$234&lt;=Inputs!$C$13),INDEX($N$237:$AL$237,1,AH$5-$K$234+1)*INDEX($N$238:$AL$238,1,AH$5-$K$234+1),0)-$I$234*((AH$5=Inputs!$C$12)*$C$236*$D$234+(AH$5=Inputs!$C$13)*$D$236*($D$234+Inputs!$C$14))+$I$234*((AH$5=Inputs!$C$15+$K$234)*$E$236*$I$236+(AH$5=Inputs!$C$16+$K$234)*$F$236*$J$236+(AH$5=Inputs!$C$17)*$G$236*$H$234*$H$236)</f>
        <v>125.95975</v>
      </c>
      <c r="AI239" s="42" t="n">
        <f aca="false">-($D$234+$J$234)*(AI$5=0)+IF(AND(AI$5-$K$234&gt;=1,AI$5-$K$234&lt;=Inputs!$C$13),INDEX($N$237:$AL$237,1,AI$5-$K$234+1)*INDEX($N$238:$AL$238,1,AI$5-$K$234+1),0)-$I$234*((AI$5=Inputs!$C$12)*$C$236*$D$234+(AI$5=Inputs!$C$13)*$D$236*($D$234+Inputs!$C$14))+$I$234*((AI$5=Inputs!$C$15+$K$234)*$E$236*$I$236+(AI$5=Inputs!$C$16+$K$234)*$F$236*$J$236+(AI$5=Inputs!$C$17)*$G$236*$H$234*$H$236)</f>
        <v>126.8365</v>
      </c>
      <c r="AJ239" s="42" t="n">
        <f aca="false">-($D$234+$J$234)*(AJ$5=0)+IF(AND(AJ$5-$K$234&gt;=1,AJ$5-$K$234&lt;=Inputs!$C$13),INDEX($N$237:$AL$237,1,AJ$5-$K$234+1)*INDEX($N$238:$AL$238,1,AJ$5-$K$234+1),0)-$I$234*((AJ$5=Inputs!$C$12)*$C$236*$D$234+(AJ$5=Inputs!$C$13)*$D$236*($D$234+Inputs!$C$14))+$I$234*((AJ$5=Inputs!$C$15+$K$234)*$E$236*$I$236+(AJ$5=Inputs!$C$16+$K$234)*$F$236*$J$236+(AJ$5=Inputs!$C$17)*$G$236*$H$234*$H$236)</f>
        <v>127.71325</v>
      </c>
      <c r="AK239" s="42" t="n">
        <f aca="false">-($D$234+$J$234)*(AK$5=0)+IF(AND(AK$5-$K$234&gt;=1,AK$5-$K$234&lt;=Inputs!$C$13),INDEX($N$237:$AL$237,1,AK$5-$K$234+1)*INDEX($N$238:$AL$238,1,AK$5-$K$234+1),0)-$I$234*((AK$5=Inputs!$C$12)*$C$236*$D$234+(AK$5=Inputs!$C$13)*$D$236*($D$234+Inputs!$C$14))+$I$234*((AK$5=Inputs!$C$15+$K$234)*$E$236*$I$236+(AK$5=Inputs!$C$16+$K$234)*$F$236*$J$236+(AK$5=Inputs!$C$17)*$G$236*$H$234*$H$236)</f>
        <v>128.59</v>
      </c>
      <c r="AL239" s="42" t="n">
        <f aca="false">-($D$234+$J$234)*(AL$5=0)+IF(AND(AL$5-$K$234&gt;=1,AL$5-$K$234&lt;=Inputs!$C$13),INDEX($N$237:$AL$237,1,AL$5-$K$234+1)*INDEX($N$238:$AL$238,1,AL$5-$K$234+1),0)-$I$234*((AL$5=Inputs!$C$12)*$C$236*$D$234+(AL$5=Inputs!$C$13)*$D$236*($D$234+Inputs!$C$14))+$I$234*((AL$5=Inputs!$C$15+$K$234)*$E$236*$I$236+(AL$5=Inputs!$C$16+$K$234)*$F$236*$J$236+(AL$5=Inputs!$C$17)*$G$236*$H$234*$H$236)</f>
        <v>-860.53325</v>
      </c>
      <c r="AM239" s="42" t="n">
        <f aca="false">-($D$234+$J$234)*(AM$5=0)+IF(AND(AM$5-$K$234&gt;=1,AM$5-$K$234&lt;=Inputs!$C$13),INDEX($N$237:$AL$237,1,AM$5-$K$234+1)*INDEX($N$238:$AL$238,1,AM$5-$K$234+1),0)-$I$234*((AM$5=Inputs!$C$12)*$C$236*$D$234+(AM$5=Inputs!$C$13)*$D$236*($D$234+Inputs!$C$14))+$I$234*((AM$5=Inputs!$C$15+$K$234)*$E$236*$I$236+(AM$5=Inputs!$C$16+$K$234)*$F$236*$J$236+(AM$5=Inputs!$C$17)*$G$236*$H$234*$H$236)</f>
        <v>130.3435</v>
      </c>
      <c r="AN239" s="42" t="n">
        <f aca="false">-($D$234+$J$234)*(AN$5=0)+IF(AND(AN$5-$K$234&gt;=1,AN$5-$K$234&lt;=Inputs!$C$13),INDEX($N$237:$AL$237,1,AN$5-$K$234+1)*INDEX($N$238:$AL$238,1,AN$5-$K$234+1),0)-$I$234*((AN$5=Inputs!$C$12)*$C$236*$D$234+(AN$5=Inputs!$C$13)*$D$236*($D$234+Inputs!$C$14))+$I$234*((AN$5=Inputs!$C$15+$K$234)*$E$236*$I$236+(AN$5=Inputs!$C$16+$K$234)*$F$236*$J$236+(AN$5=Inputs!$C$17)*$G$236*$H$234*$H$236)</f>
        <v>0</v>
      </c>
      <c r="AO239" s="42" t="n">
        <f aca="false">-($D$234+$J$234)*(AO$5=0)+IF(AND(AO$5-$K$234&gt;=1,AO$5-$K$234&lt;=Inputs!$C$13),INDEX($N$237:$AL$237,1,AO$5-$K$234+1)*INDEX($N$238:$AL$238,1,AO$5-$K$234+1),0)-$I$234*((AO$5=Inputs!$C$12)*$C$236*$D$234+(AO$5=Inputs!$C$13)*$D$236*($D$234+Inputs!$C$14))+$I$234*((AO$5=Inputs!$C$15+$K$234)*$E$236*$I$236+(AO$5=Inputs!$C$16+$K$234)*$F$236*$J$236+(AO$5=Inputs!$C$17)*$G$236*$H$234*$H$236)</f>
        <v>0</v>
      </c>
      <c r="AP239" s="42" t="n">
        <f aca="false">-($D$234+$J$234)*(AP$5=0)+IF(AND(AP$5-$K$234&gt;=1,AP$5-$K$234&lt;=Inputs!$C$13),INDEX($N$237:$AL$237,1,AP$5-$K$234+1)*INDEX($N$238:$AL$238,1,AP$5-$K$234+1),0)-$I$234*((AP$5=Inputs!$C$12)*$C$236*$D$234+(AP$5=Inputs!$C$13)*$D$236*($D$234+Inputs!$C$14))+$I$234*((AP$5=Inputs!$C$15+$K$234)*$E$236*$I$236+(AP$5=Inputs!$C$16+$K$234)*$F$236*$J$236+(AP$5=Inputs!$C$17)*$G$236*$H$234*$H$236)</f>
        <v>2078.208</v>
      </c>
      <c r="AQ239" s="42" t="n">
        <f aca="false">-($D$234+$J$234)*(AQ$5=0)+IF(AND(AQ$5-$K$234&gt;=1,AQ$5-$K$234&lt;=Inputs!$C$13),INDEX($N$237:$AL$237,1,AQ$5-$K$234+1)*INDEX($N$238:$AL$238,1,AQ$5-$K$234+1),0)-$I$234*((AQ$5=Inputs!$C$12)*$C$236*$D$234+(AQ$5=Inputs!$C$13)*$D$236*($D$234+Inputs!$C$14))+$I$234*((AQ$5=Inputs!$C$15+$K$234)*$E$236*$I$236+(AQ$5=Inputs!$C$16+$K$234)*$F$236*$J$236+(AQ$5=Inputs!$C$17)*$G$236*$H$234*$H$236)</f>
        <v>0</v>
      </c>
      <c r="AR239" s="42" t="n">
        <f aca="false">-($D$234+$J$234)*(AR$5=0)+IF(AND(AR$5-$K$234&gt;=1,AR$5-$K$234&lt;=Inputs!$C$13),INDEX($N$237:$AL$237,1,AR$5-$K$234+1)*INDEX($N$238:$AL$238,1,AR$5-$K$234+1),0)-$I$234*((AR$5=Inputs!$C$12)*$C$236*$D$234+(AR$5=Inputs!$C$13)*$D$236*($D$234+Inputs!$C$14))+$I$234*((AR$5=Inputs!$C$15+$K$234)*$E$236*$I$236+(AR$5=Inputs!$C$16+$K$234)*$F$236*$J$236+(AR$5=Inputs!$C$17)*$G$236*$H$234*$H$236)</f>
        <v>0</v>
      </c>
      <c r="AS239" s="42" t="n">
        <f aca="false">-($D$234+$J$234)*(AS$5=0)+IF(AND(AS$5-$K$234&gt;=1,AS$5-$K$234&lt;=Inputs!$C$13),INDEX($N$237:$AL$237,1,AS$5-$K$234+1)*INDEX($N$238:$AL$238,1,AS$5-$K$234+1),0)-$I$234*((AS$5=Inputs!$C$12)*$C$236*$D$234+(AS$5=Inputs!$C$13)*$D$236*($D$234+Inputs!$C$14))+$I$234*((AS$5=Inputs!$C$15+$K$234)*$E$236*$I$236+(AS$5=Inputs!$C$16+$K$234)*$F$236*$J$236+(AS$5=Inputs!$C$17)*$G$236*$H$234*$H$236)</f>
        <v>126.356175</v>
      </c>
      <c r="AT239" s="42" t="n">
        <f aca="false">-($D$234+$J$234)*(AT$5=0)+IF(AND(AT$5-$K$234&gt;=1,AT$5-$K$234&lt;=Inputs!$C$13),INDEX($N$237:$AL$237,1,AT$5-$K$234+1)*INDEX($N$238:$AL$238,1,AT$5-$K$234+1),0)-$I$234*((AT$5=Inputs!$C$12)*$C$236*$D$234+(AT$5=Inputs!$C$13)*$D$236*($D$234+Inputs!$C$14))+$I$234*((AT$5=Inputs!$C$15+$K$234)*$E$236*$I$236+(AT$5=Inputs!$C$16+$K$234)*$F$236*$J$236+(AT$5=Inputs!$C$17)*$G$236*$H$234*$H$236)</f>
        <v>0</v>
      </c>
      <c r="AU239" s="42" t="n">
        <f aca="false">-($D$234+$J$234)*(AU$5=0)+IF(AND(AU$5-$K$234&gt;=1,AU$5-$K$234&lt;=Inputs!$C$13),INDEX($N$237:$AL$237,1,AU$5-$K$234+1)*INDEX($N$238:$AL$238,1,AU$5-$K$234+1),0)-$I$234*((AU$5=Inputs!$C$12)*$C$236*$D$234+(AU$5=Inputs!$C$13)*$D$236*($D$234+Inputs!$C$14))+$I$234*((AU$5=Inputs!$C$15+$K$234)*$E$236*$I$236+(AU$5=Inputs!$C$16+$K$234)*$F$236*$J$236+(AU$5=Inputs!$C$17)*$G$236*$H$234*$H$236)</f>
        <v>0</v>
      </c>
      <c r="AV239" s="42" t="n">
        <f aca="false">-($D$234+$J$234)*(AV$5=0)+IF(AND(AV$5-$K$234&gt;=1,AV$5-$K$234&lt;=Inputs!$C$13),INDEX($N$237:$AL$237,1,AV$5-$K$234+1)*INDEX($N$238:$AL$238,1,AV$5-$K$234+1),0)-$I$234*((AV$5=Inputs!$C$12)*$C$236*$D$234+(AV$5=Inputs!$C$13)*$D$236*($D$234+Inputs!$C$14))+$I$234*((AV$5=Inputs!$C$15+$K$234)*$E$236*$I$236+(AV$5=Inputs!$C$16+$K$234)*$F$236*$J$236+(AV$5=Inputs!$C$17)*$G$236*$H$234*$H$236)</f>
        <v>0</v>
      </c>
      <c r="AW239" s="42" t="n">
        <f aca="false">-($D$234+$J$234)*(AW$5=0)+IF(AND(AW$5-$K$234&gt;=1,AW$5-$K$234&lt;=Inputs!$C$13),INDEX($N$237:$AL$237,1,AW$5-$K$234+1)*INDEX($N$238:$AL$238,1,AW$5-$K$234+1),0)-$I$234*((AW$5=Inputs!$C$12)*$C$236*$D$234+(AW$5=Inputs!$C$13)*$D$236*($D$234+Inputs!$C$14))+$I$234*((AW$5=Inputs!$C$15+$K$234)*$E$236*$I$236+(AW$5=Inputs!$C$16+$K$234)*$F$236*$J$236+(AW$5=Inputs!$C$17)*$G$236*$H$234*$H$236)</f>
        <v>0</v>
      </c>
      <c r="AX239" s="42" t="n">
        <f aca="false">-($D$234+$J$234)*(AX$5=0)+IF(AND(AX$5-$K$234&gt;=1,AX$5-$K$234&lt;=Inputs!$C$13),INDEX($N$237:$AL$237,1,AX$5-$K$234+1)*INDEX($N$238:$AL$238,1,AX$5-$K$234+1),0)-$I$234*((AX$5=Inputs!$C$12)*$C$236*$D$234+(AX$5=Inputs!$C$13)*$D$236*($D$234+Inputs!$C$14))+$I$234*((AX$5=Inputs!$C$15+$K$234)*$E$236*$I$236+(AX$5=Inputs!$C$16+$K$234)*$F$236*$J$236+(AX$5=Inputs!$C$17)*$G$236*$H$234*$H$236)</f>
        <v>217.404</v>
      </c>
      <c r="AY239" s="42" t="n">
        <f aca="false">-($D$234+$J$234)*(AY$5=0)+IF(AND(AY$5-$K$234&gt;=1,AY$5-$K$234&lt;=Inputs!$C$13),INDEX($N$237:$AL$237,1,AY$5-$K$234+1)*INDEX($N$238:$AL$238,1,AY$5-$K$234+1),0)-$I$234*((AY$5=Inputs!$C$12)*$C$236*$D$234+(AY$5=Inputs!$C$13)*$D$236*($D$234+Inputs!$C$14))+$I$234*((AY$5=Inputs!$C$15+$K$234)*$E$236*$I$236+(AY$5=Inputs!$C$16+$K$234)*$F$236*$J$236+(AY$5=Inputs!$C$17)*$G$236*$H$234*$H$236)</f>
        <v>0</v>
      </c>
    </row>
    <row r="241" customFormat="false" ht="15" hidden="false" customHeight="false" outlineLevel="0" collapsed="false">
      <c r="B241" s="7" t="s">
        <v>267</v>
      </c>
      <c r="C241" s="8"/>
      <c r="D241" s="8"/>
      <c r="E241" s="8"/>
      <c r="F241" s="8"/>
      <c r="G241" s="8"/>
      <c r="H241" s="8"/>
      <c r="I241" s="8"/>
      <c r="J241" s="8"/>
      <c r="K241" s="8"/>
      <c r="L241" s="8"/>
    </row>
    <row r="242" customFormat="false" ht="30" hidden="false" customHeight="true" outlineLevel="0" collapsed="false">
      <c r="B242" s="37"/>
      <c r="C242" s="38" t="s">
        <v>169</v>
      </c>
      <c r="D242" s="38" t="s">
        <v>170</v>
      </c>
      <c r="E242" s="38" t="s">
        <v>171</v>
      </c>
      <c r="F242" s="38" t="s">
        <v>43</v>
      </c>
      <c r="G242" s="38" t="s">
        <v>44</v>
      </c>
      <c r="H242" s="38" t="s">
        <v>45</v>
      </c>
      <c r="I242" s="38" t="s">
        <v>172</v>
      </c>
      <c r="J242" s="38" t="s">
        <v>90</v>
      </c>
      <c r="K242" s="38" t="s">
        <v>89</v>
      </c>
      <c r="L242" s="38" t="s">
        <v>173</v>
      </c>
    </row>
    <row r="243" customFormat="false" ht="15" hidden="false" customHeight="false" outlineLevel="0" collapsed="false">
      <c r="B243" s="39" t="s">
        <v>174</v>
      </c>
      <c r="C243" s="26" t="n">
        <f aca="false">Inputs!$F$40*Inputs!$E$60</f>
        <v>0.07</v>
      </c>
      <c r="D243" s="30" t="n">
        <f aca="false">Inputs!$E$40</f>
        <v>3600</v>
      </c>
      <c r="E243" s="26" t="n">
        <f aca="false">IF(Inputs!$G$40=1,Inputs!$F$27,MIN(1,MAX(0,INDEX(Inputs!$F$23:$F$27,MATCH(Inputs!$C$40,Inputs!$B$23:$B$27,0))+INDEX(Inputs!$C$48:$C$51,MATCH(Inputs!$D$60,Inputs!$B$48:$B$51,0)))))</f>
        <v>0.78</v>
      </c>
      <c r="F243" s="25" t="n">
        <f aca="false">IF(Inputs!$G$40=1,Inputs!$G$27,INDEX(Inputs!$G$23:$G$27,MATCH(Inputs!$C$40,Inputs!$B$23:$B$27,0)))</f>
        <v>0.6</v>
      </c>
      <c r="G243" s="25" t="n">
        <f aca="false">IF(Inputs!$G$40=1,Inputs!$H$27,INDEX(Inputs!$H$23:$H$27,MATCH(Inputs!$C$40,Inputs!$B$23:$B$27,0)))*INDEX(Inputs!$D$48:$D$51,MATCH(Inputs!$D$60,Inputs!$B$48:$B$51,0))</f>
        <v>0.2125</v>
      </c>
      <c r="H243" s="25" t="n">
        <f aca="false">MAX(0,IF(Inputs!$G$40=1,Inputs!$I$27,INDEX(Inputs!$I$23:$I$27,MATCH(Inputs!$C$40,Inputs!$B$23:$B$27,0)))+INDEX(Inputs!$E$48:$E$51,MATCH(Inputs!$D$60,Inputs!$B$48:$B$51,0)))</f>
        <v>0.6</v>
      </c>
      <c r="I243" s="22" t="n">
        <f aca="false">IF(Inputs!$G$40=1,0,INDEX(Inputs!$J$23:$J$27,MATCH(Inputs!$C$40,Inputs!$B$23:$B$27,0)))</f>
        <v>1</v>
      </c>
      <c r="J243" s="23" t="n">
        <f aca="false">Inputs!$G$60</f>
        <v>10</v>
      </c>
      <c r="K243" s="22" t="n">
        <f aca="false">Inputs!$F$60</f>
        <v>1</v>
      </c>
      <c r="L243" s="22" t="n">
        <f aca="false">Inputs!$C$60</f>
        <v>1</v>
      </c>
    </row>
    <row r="244" customFormat="false" ht="30" hidden="false" customHeight="true" outlineLevel="0" collapsed="false">
      <c r="B244" s="37"/>
      <c r="C244" s="38" t="s">
        <v>175</v>
      </c>
      <c r="D244" s="38" t="s">
        <v>176</v>
      </c>
      <c r="E244" s="38" t="s">
        <v>177</v>
      </c>
      <c r="F244" s="38" t="s">
        <v>178</v>
      </c>
      <c r="G244" s="38" t="s">
        <v>112</v>
      </c>
      <c r="H244" s="38" t="s">
        <v>179</v>
      </c>
      <c r="I244" s="38" t="s">
        <v>180</v>
      </c>
      <c r="J244" s="38" t="s">
        <v>181</v>
      </c>
      <c r="K244" s="38" t="s">
        <v>182</v>
      </c>
      <c r="L244" s="38" t="s">
        <v>183</v>
      </c>
    </row>
    <row r="245" customFormat="false" ht="15" hidden="false" customHeight="false" outlineLevel="0" collapsed="false">
      <c r="B245" s="39" t="s">
        <v>184</v>
      </c>
      <c r="C245" s="40" t="n">
        <f aca="false">1-$E$243*CHOOSE($L$243,INDEX(Timing!$C$7:$AA$7,1,Inputs!$C$12+1),INDEX(Timing!$C$8:$AA$8,1,Inputs!$C$12+1))</f>
        <v>0.4072</v>
      </c>
      <c r="D245" s="40" t="n">
        <f aca="false">1-$E$243*CHOOSE($L$243,INDEX(Timing!$C$7:$AA$7,1,Inputs!$C$13+1),INDEX(Timing!$C$8:$AA$8,1,Inputs!$C$13+1))</f>
        <v>0.22</v>
      </c>
      <c r="E245" s="40" t="n">
        <f aca="false">$I$243*$D$245*$F$243</f>
        <v>0.132</v>
      </c>
      <c r="F245" s="40" t="n">
        <f aca="false">$I$243*($D$245-$E$245)*$G$243</f>
        <v>0.0187</v>
      </c>
      <c r="G245" s="40" t="n">
        <f aca="false">$I$243*($D$245-$E$245-$F$245)</f>
        <v>0.0693</v>
      </c>
      <c r="H245" s="23" t="n">
        <f aca="false">$I$243*(3*$D$243+Inputs!$C$14)</f>
        <v>12600</v>
      </c>
      <c r="I245" s="23" t="n">
        <f aca="false">$I$243*($D$243*(1+IF($C$243&lt;=0,0,MAX($C$243*Inputs!$C$15/12,Inputs!$C$8)))+$D$243*(1+Inputs!$C$11*(Inputs!$C$15-Inputs!$C$12)/12)+$D$243*(1+Inputs!$C$11*(Inputs!$C$15-Inputs!$C$13)/12)+Inputs!$C$14)</f>
        <v>14139</v>
      </c>
      <c r="J245" s="23" t="n">
        <f aca="false">$I$243*($D$243*(1+IF($C$243&lt;=0,0,MAX($C$243*Inputs!$C$16/12,Inputs!$C$8)))+$D$243*(1+Inputs!$C$11*(Inputs!$C$16-Inputs!$C$12)/12)+$D$243*(1+Inputs!$C$11*(Inputs!$C$16-Inputs!$C$13)/12)+Inputs!$C$14)</f>
        <v>14526</v>
      </c>
      <c r="K245" s="40" t="n">
        <f aca="false">IRR($N$248:$AY$248,0.005)</f>
        <v>0.00166629415192653</v>
      </c>
      <c r="L245" s="41" t="n">
        <f aca="false">(1+$K$245)^12-1</f>
        <v>0.0201798028743196</v>
      </c>
    </row>
    <row r="246" customFormat="false" ht="15" hidden="false" customHeight="false" outlineLevel="0" collapsed="false">
      <c r="B246" s="9" t="s">
        <v>185</v>
      </c>
      <c r="N246" s="40" t="n">
        <f aca="false">0</f>
        <v>0</v>
      </c>
      <c r="O246" s="40" t="n">
        <f aca="false">$E$243*(CHOOSE($L$243,Timing!D$7,Timing!D$8)-CHOOSE($L$243,Timing!C$7,Timing!C$8))</f>
        <v>0.0936</v>
      </c>
      <c r="P246" s="40" t="n">
        <f aca="false">$E$243*(CHOOSE($L$243,Timing!E$7,Timing!E$8)-CHOOSE($L$243,Timing!D$7,Timing!D$8))</f>
        <v>0.078</v>
      </c>
      <c r="Q246" s="40" t="n">
        <f aca="false">$E$243*(CHOOSE($L$243,Timing!F$7,Timing!F$8)-CHOOSE($L$243,Timing!E$7,Timing!E$8))</f>
        <v>0.0702</v>
      </c>
      <c r="R246" s="40" t="n">
        <f aca="false">$E$243*(CHOOSE($L$243,Timing!G$7,Timing!G$8)-CHOOSE($L$243,Timing!F$7,Timing!F$8))</f>
        <v>0.0546</v>
      </c>
      <c r="S246" s="40" t="n">
        <f aca="false">$E$243*(CHOOSE($L$243,Timing!H$7,Timing!H$8)-CHOOSE($L$243,Timing!G$7,Timing!G$8))</f>
        <v>0.0546</v>
      </c>
      <c r="T246" s="40" t="n">
        <f aca="false">$E$243*(CHOOSE($L$243,Timing!I$7,Timing!I$8)-CHOOSE($L$243,Timing!H$7,Timing!H$8))</f>
        <v>0.0546</v>
      </c>
      <c r="U246" s="40" t="n">
        <f aca="false">$E$243*(CHOOSE($L$243,Timing!J$7,Timing!J$8)-CHOOSE($L$243,Timing!I$7,Timing!I$8))</f>
        <v>0.0338</v>
      </c>
      <c r="V246" s="40" t="n">
        <f aca="false">$E$243*(CHOOSE($L$243,Timing!K$7,Timing!K$8)-CHOOSE($L$243,Timing!J$7,Timing!J$8))</f>
        <v>0.0338</v>
      </c>
      <c r="W246" s="40" t="n">
        <f aca="false">$E$243*(CHOOSE($L$243,Timing!L$7,Timing!L$8)-CHOOSE($L$243,Timing!K$7,Timing!K$8))</f>
        <v>0.0338</v>
      </c>
      <c r="X246" s="40" t="n">
        <f aca="false">$E$243*(CHOOSE($L$243,Timing!M$7,Timing!M$8)-CHOOSE($L$243,Timing!L$7,Timing!L$8))</f>
        <v>0.0286</v>
      </c>
      <c r="Y246" s="40" t="n">
        <f aca="false">$E$243*(CHOOSE($L$243,Timing!N$7,Timing!N$8)-CHOOSE($L$243,Timing!M$7,Timing!M$8))</f>
        <v>0.0286000000000001</v>
      </c>
      <c r="Z246" s="40" t="n">
        <f aca="false">$E$243*(CHOOSE($L$243,Timing!O$7,Timing!O$8)-CHOOSE($L$243,Timing!N$7,Timing!N$8))</f>
        <v>0.0286</v>
      </c>
      <c r="AA246" s="40" t="n">
        <f aca="false">$E$243*(CHOOSE($L$243,Timing!P$7,Timing!P$8)-CHOOSE($L$243,Timing!O$7,Timing!O$8))</f>
        <v>0.0182</v>
      </c>
      <c r="AB246" s="40" t="n">
        <f aca="false">$E$243*(CHOOSE($L$243,Timing!Q$7,Timing!Q$8)-CHOOSE($L$243,Timing!P$7,Timing!P$8))</f>
        <v>0.0182</v>
      </c>
      <c r="AC246" s="40" t="n">
        <f aca="false">$E$243*(CHOOSE($L$243,Timing!R$7,Timing!R$8)-CHOOSE($L$243,Timing!Q$7,Timing!Q$8))</f>
        <v>0.0182000000000001</v>
      </c>
      <c r="AD246" s="40" t="n">
        <f aca="false">$E$243*(CHOOSE($L$243,Timing!S$7,Timing!S$8)-CHOOSE($L$243,Timing!R$7,Timing!R$8))</f>
        <v>0.0182</v>
      </c>
      <c r="AE246" s="40" t="n">
        <f aca="false">$E$243*(CHOOSE($L$243,Timing!T$7,Timing!T$8)-CHOOSE($L$243,Timing!S$7,Timing!S$8))</f>
        <v>0.0182</v>
      </c>
      <c r="AF246" s="40" t="n">
        <f aca="false">$E$243*(CHOOSE($L$243,Timing!U$7,Timing!U$8)-CHOOSE($L$243,Timing!T$7,Timing!T$8))</f>
        <v>0.0182</v>
      </c>
      <c r="AG246" s="40" t="n">
        <f aca="false">$E$243*(CHOOSE($L$243,Timing!V$7,Timing!V$8)-CHOOSE($L$243,Timing!U$7,Timing!U$8))</f>
        <v>0.013</v>
      </c>
      <c r="AH246" s="40" t="n">
        <f aca="false">$E$243*(CHOOSE($L$243,Timing!W$7,Timing!W$8)-CHOOSE($L$243,Timing!V$7,Timing!V$8))</f>
        <v>0.013</v>
      </c>
      <c r="AI246" s="40" t="n">
        <f aca="false">$E$243*(CHOOSE($L$243,Timing!X$7,Timing!X$8)-CHOOSE($L$243,Timing!W$7,Timing!W$8))</f>
        <v>0.013</v>
      </c>
      <c r="AJ246" s="40" t="n">
        <f aca="false">$E$243*(CHOOSE($L$243,Timing!Y$7,Timing!Y$8)-CHOOSE($L$243,Timing!X$7,Timing!X$8))</f>
        <v>0.013</v>
      </c>
      <c r="AK246" s="40" t="n">
        <f aca="false">$E$243*(CHOOSE($L$243,Timing!Z$7,Timing!Z$8)-CHOOSE($L$243,Timing!Y$7,Timing!Y$8))</f>
        <v>0.013</v>
      </c>
      <c r="AL246" s="40" t="n">
        <f aca="false">$E$243*(CHOOSE($L$243,Timing!AA$7,Timing!AA$8)-CHOOSE($L$243,Timing!Z$7,Timing!Z$8))</f>
        <v>0.013</v>
      </c>
    </row>
    <row r="247" customFormat="false" ht="15" hidden="false" customHeight="false" outlineLevel="0" collapsed="false">
      <c r="B247" s="9" t="s">
        <v>186</v>
      </c>
      <c r="N247" s="42" t="n">
        <f aca="false">0</f>
        <v>0</v>
      </c>
      <c r="O247" s="42" t="n">
        <f aca="false">$D$243*(1+IF($C$243&lt;=0,0,MAX($C$243*O$5/12,Inputs!$C$8)))+$I$243*(O$5&gt;Inputs!$C$12)*$D$243*(1+Inputs!$C$11*(O$5-Inputs!$C$12)/12)</f>
        <v>3780</v>
      </c>
      <c r="P247" s="42" t="n">
        <f aca="false">$D$243*(1+IF($C$243&lt;=0,0,MAX($C$243*P$5/12,Inputs!$C$8)))+$I$243*(P$5&gt;Inputs!$C$12)*$D$243*(1+Inputs!$C$11*(P$5-Inputs!$C$12)/12)</f>
        <v>3780</v>
      </c>
      <c r="Q247" s="42" t="n">
        <f aca="false">$D$243*(1+IF($C$243&lt;=0,0,MAX($C$243*Q$5/12,Inputs!$C$8)))+$I$243*(Q$5&gt;Inputs!$C$12)*$D$243*(1+Inputs!$C$11*(Q$5-Inputs!$C$12)/12)</f>
        <v>3780</v>
      </c>
      <c r="R247" s="42" t="n">
        <f aca="false">$D$243*(1+IF($C$243&lt;=0,0,MAX($C$243*R$5/12,Inputs!$C$8)))+$I$243*(R$5&gt;Inputs!$C$12)*$D$243*(1+Inputs!$C$11*(R$5-Inputs!$C$12)/12)</f>
        <v>3780</v>
      </c>
      <c r="S247" s="42" t="n">
        <f aca="false">$D$243*(1+IF($C$243&lt;=0,0,MAX($C$243*S$5/12,Inputs!$C$8)))+$I$243*(S$5&gt;Inputs!$C$12)*$D$243*(1+Inputs!$C$11*(S$5-Inputs!$C$12)/12)</f>
        <v>3780</v>
      </c>
      <c r="T247" s="42" t="n">
        <f aca="false">$D$243*(1+IF($C$243&lt;=0,0,MAX($C$243*T$5/12,Inputs!$C$8)))+$I$243*(T$5&gt;Inputs!$C$12)*$D$243*(1+Inputs!$C$11*(T$5-Inputs!$C$12)/12)</f>
        <v>3780</v>
      </c>
      <c r="U247" s="42" t="n">
        <f aca="false">$D$243*(1+IF($C$243&lt;=0,0,MAX($C$243*U$5/12,Inputs!$C$8)))+$I$243*(U$5&gt;Inputs!$C$12)*$D$243*(1+Inputs!$C$11*(U$5-Inputs!$C$12)/12)</f>
        <v>3780</v>
      </c>
      <c r="V247" s="42" t="n">
        <f aca="false">$D$243*(1+IF($C$243&lt;=0,0,MAX($C$243*V$5/12,Inputs!$C$8)))+$I$243*(V$5&gt;Inputs!$C$12)*$D$243*(1+Inputs!$C$11*(V$5-Inputs!$C$12)/12)</f>
        <v>3780</v>
      </c>
      <c r="W247" s="42" t="n">
        <f aca="false">$D$243*(1+IF($C$243&lt;=0,0,MAX($C$243*W$5/12,Inputs!$C$8)))+$I$243*(W$5&gt;Inputs!$C$12)*$D$243*(1+Inputs!$C$11*(W$5-Inputs!$C$12)/12)</f>
        <v>3789</v>
      </c>
      <c r="X247" s="42" t="n">
        <f aca="false">$D$243*(1+IF($C$243&lt;=0,0,MAX($C$243*X$5/12,Inputs!$C$8)))+$I$243*(X$5&gt;Inputs!$C$12)*$D$243*(1+Inputs!$C$11*(X$5-Inputs!$C$12)/12)</f>
        <v>3810</v>
      </c>
      <c r="Y247" s="42" t="n">
        <f aca="false">$D$243*(1+IF($C$243&lt;=0,0,MAX($C$243*Y$5/12,Inputs!$C$8)))+$I$243*(Y$5&gt;Inputs!$C$12)*$D$243*(1+Inputs!$C$11*(Y$5-Inputs!$C$12)/12)</f>
        <v>3831</v>
      </c>
      <c r="Z247" s="42" t="n">
        <f aca="false">$D$243*(1+IF($C$243&lt;=0,0,MAX($C$243*Z$5/12,Inputs!$C$8)))+$I$243*(Z$5&gt;Inputs!$C$12)*$D$243*(1+Inputs!$C$11*(Z$5-Inputs!$C$12)/12)</f>
        <v>3852</v>
      </c>
      <c r="AA247" s="42" t="n">
        <f aca="false">$D$243*(1+IF($C$243&lt;=0,0,MAX($C$243*AA$5/12,Inputs!$C$8)))+$I$243*(AA$5&gt;Inputs!$C$12)*$D$243*(1+Inputs!$C$11*(AA$5-Inputs!$C$12)/12)</f>
        <v>7527</v>
      </c>
      <c r="AB247" s="42" t="n">
        <f aca="false">$D$243*(1+IF($C$243&lt;=0,0,MAX($C$243*AB$5/12,Inputs!$C$8)))+$I$243*(AB$5&gt;Inputs!$C$12)*$D$243*(1+Inputs!$C$11*(AB$5-Inputs!$C$12)/12)</f>
        <v>7602</v>
      </c>
      <c r="AC247" s="42" t="n">
        <f aca="false">$D$243*(1+IF($C$243&lt;=0,0,MAX($C$243*AC$5/12,Inputs!$C$8)))+$I$243*(AC$5&gt;Inputs!$C$12)*$D$243*(1+Inputs!$C$11*(AC$5-Inputs!$C$12)/12)</f>
        <v>7677</v>
      </c>
      <c r="AD247" s="42" t="n">
        <f aca="false">$D$243*(1+IF($C$243&lt;=0,0,MAX($C$243*AD$5/12,Inputs!$C$8)))+$I$243*(AD$5&gt;Inputs!$C$12)*$D$243*(1+Inputs!$C$11*(AD$5-Inputs!$C$12)/12)</f>
        <v>7752</v>
      </c>
      <c r="AE247" s="42" t="n">
        <f aca="false">$D$243*(1+IF($C$243&lt;=0,0,MAX($C$243*AE$5/12,Inputs!$C$8)))+$I$243*(AE$5&gt;Inputs!$C$12)*$D$243*(1+Inputs!$C$11*(AE$5-Inputs!$C$12)/12)</f>
        <v>7827</v>
      </c>
      <c r="AF247" s="42" t="n">
        <f aca="false">$D$243*(1+IF($C$243&lt;=0,0,MAX($C$243*AF$5/12,Inputs!$C$8)))+$I$243*(AF$5&gt;Inputs!$C$12)*$D$243*(1+Inputs!$C$11*(AF$5-Inputs!$C$12)/12)</f>
        <v>7902</v>
      </c>
      <c r="AG247" s="42" t="n">
        <f aca="false">$D$243*(1+IF($C$243&lt;=0,0,MAX($C$243*AG$5/12,Inputs!$C$8)))+$I$243*(AG$5&gt;Inputs!$C$12)*$D$243*(1+Inputs!$C$11*(AG$5-Inputs!$C$12)/12)</f>
        <v>7977</v>
      </c>
      <c r="AH247" s="42" t="n">
        <f aca="false">$D$243*(1+IF($C$243&lt;=0,0,MAX($C$243*AH$5/12,Inputs!$C$8)))+$I$243*(AH$5&gt;Inputs!$C$12)*$D$243*(1+Inputs!$C$11*(AH$5-Inputs!$C$12)/12)</f>
        <v>8052</v>
      </c>
      <c r="AI247" s="42" t="n">
        <f aca="false">$D$243*(1+IF($C$243&lt;=0,0,MAX($C$243*AI$5/12,Inputs!$C$8)))+$I$243*(AI$5&gt;Inputs!$C$12)*$D$243*(1+Inputs!$C$11*(AI$5-Inputs!$C$12)/12)</f>
        <v>8127</v>
      </c>
      <c r="AJ247" s="42" t="n">
        <f aca="false">$D$243*(1+IF($C$243&lt;=0,0,MAX($C$243*AJ$5/12,Inputs!$C$8)))+$I$243*(AJ$5&gt;Inputs!$C$12)*$D$243*(1+Inputs!$C$11*(AJ$5-Inputs!$C$12)/12)</f>
        <v>8202</v>
      </c>
      <c r="AK247" s="42" t="n">
        <f aca="false">$D$243*(1+IF($C$243&lt;=0,0,MAX($C$243*AK$5/12,Inputs!$C$8)))+$I$243*(AK$5&gt;Inputs!$C$12)*$D$243*(1+Inputs!$C$11*(AK$5-Inputs!$C$12)/12)</f>
        <v>8277</v>
      </c>
      <c r="AL247" s="42" t="n">
        <f aca="false">$D$243*(1+IF($C$243&lt;=0,0,MAX($C$243*AL$5/12,Inputs!$C$8)))+$I$243*(AL$5&gt;Inputs!$C$12)*$D$243*(1+Inputs!$C$11*(AL$5-Inputs!$C$12)/12)</f>
        <v>8352</v>
      </c>
    </row>
    <row r="248" customFormat="false" ht="15" hidden="false" customHeight="false" outlineLevel="0" collapsed="false">
      <c r="B248" s="31" t="s">
        <v>187</v>
      </c>
      <c r="N248" s="42" t="n">
        <f aca="false">-($D$243+$J$243)*(N$5=0)+IF(AND(N$5-$K$243&gt;=1,N$5-$K$243&lt;=Inputs!$C$13),INDEX($N$246:$AL$246,1,N$5-$K$243+1)*INDEX($N$247:$AL$247,1,N$5-$K$243+1),0)-$I$243*((N$5=Inputs!$C$12)*$C$245*$D$243+(N$5=Inputs!$C$13)*$D$245*($D$243+Inputs!$C$14))+$I$243*((N$5=Inputs!$C$15+$K$243)*$E$245*$I$245+(N$5=Inputs!$C$16+$K$243)*$F$245*$J$245+(N$5=Inputs!$C$17)*$G$245*$H$243*$H$245)</f>
        <v>-3610</v>
      </c>
      <c r="O248" s="42" t="n">
        <f aca="false">-($D$243+$J$243)*(O$5=0)+IF(AND(O$5-$K$243&gt;=1,O$5-$K$243&lt;=Inputs!$C$13),INDEX($N$246:$AL$246,1,O$5-$K$243+1)*INDEX($N$247:$AL$247,1,O$5-$K$243+1),0)-$I$243*((O$5=Inputs!$C$12)*$C$245*$D$243+(O$5=Inputs!$C$13)*$D$245*($D$243+Inputs!$C$14))+$I$243*((O$5=Inputs!$C$15+$K$243)*$E$245*$I$245+(O$5=Inputs!$C$16+$K$243)*$F$245*$J$245+(O$5=Inputs!$C$17)*$G$245*$H$243*$H$245)</f>
        <v>0</v>
      </c>
      <c r="P248" s="42" t="n">
        <f aca="false">-($D$243+$J$243)*(P$5=0)+IF(AND(P$5-$K$243&gt;=1,P$5-$K$243&lt;=Inputs!$C$13),INDEX($N$246:$AL$246,1,P$5-$K$243+1)*INDEX($N$247:$AL$247,1,P$5-$K$243+1),0)-$I$243*((P$5=Inputs!$C$12)*$C$245*$D$243+(P$5=Inputs!$C$13)*$D$245*($D$243+Inputs!$C$14))+$I$243*((P$5=Inputs!$C$15+$K$243)*$E$245*$I$245+(P$5=Inputs!$C$16+$K$243)*$F$245*$J$245+(P$5=Inputs!$C$17)*$G$245*$H$243*$H$245)</f>
        <v>353.808</v>
      </c>
      <c r="Q248" s="42" t="n">
        <f aca="false">-($D$243+$J$243)*(Q$5=0)+IF(AND(Q$5-$K$243&gt;=1,Q$5-$K$243&lt;=Inputs!$C$13),INDEX($N$246:$AL$246,1,Q$5-$K$243+1)*INDEX($N$247:$AL$247,1,Q$5-$K$243+1),0)-$I$243*((Q$5=Inputs!$C$12)*$C$245*$D$243+(Q$5=Inputs!$C$13)*$D$245*($D$243+Inputs!$C$14))+$I$243*((Q$5=Inputs!$C$15+$K$243)*$E$245*$I$245+(Q$5=Inputs!$C$16+$K$243)*$F$245*$J$245+(Q$5=Inputs!$C$17)*$G$245*$H$243*$H$245)</f>
        <v>294.84</v>
      </c>
      <c r="R248" s="42" t="n">
        <f aca="false">-($D$243+$J$243)*(R$5=0)+IF(AND(R$5-$K$243&gt;=1,R$5-$K$243&lt;=Inputs!$C$13),INDEX($N$246:$AL$246,1,R$5-$K$243+1)*INDEX($N$247:$AL$247,1,R$5-$K$243+1),0)-$I$243*((R$5=Inputs!$C$12)*$C$245*$D$243+(R$5=Inputs!$C$13)*$D$245*($D$243+Inputs!$C$14))+$I$243*((R$5=Inputs!$C$15+$K$243)*$E$245*$I$245+(R$5=Inputs!$C$16+$K$243)*$F$245*$J$245+(R$5=Inputs!$C$17)*$G$245*$H$243*$H$245)</f>
        <v>265.356</v>
      </c>
      <c r="S248" s="42" t="n">
        <f aca="false">-($D$243+$J$243)*(S$5=0)+IF(AND(S$5-$K$243&gt;=1,S$5-$K$243&lt;=Inputs!$C$13),INDEX($N$246:$AL$246,1,S$5-$K$243+1)*INDEX($N$247:$AL$247,1,S$5-$K$243+1),0)-$I$243*((S$5=Inputs!$C$12)*$C$245*$D$243+(S$5=Inputs!$C$13)*$D$245*($D$243+Inputs!$C$14))+$I$243*((S$5=Inputs!$C$15+$K$243)*$E$245*$I$245+(S$5=Inputs!$C$16+$K$243)*$F$245*$J$245+(S$5=Inputs!$C$17)*$G$245*$H$243*$H$245)</f>
        <v>206.388</v>
      </c>
      <c r="T248" s="42" t="n">
        <f aca="false">-($D$243+$J$243)*(T$5=0)+IF(AND(T$5-$K$243&gt;=1,T$5-$K$243&lt;=Inputs!$C$13),INDEX($N$246:$AL$246,1,T$5-$K$243+1)*INDEX($N$247:$AL$247,1,T$5-$K$243+1),0)-$I$243*((T$5=Inputs!$C$12)*$C$245*$D$243+(T$5=Inputs!$C$13)*$D$245*($D$243+Inputs!$C$14))+$I$243*((T$5=Inputs!$C$15+$K$243)*$E$245*$I$245+(T$5=Inputs!$C$16+$K$243)*$F$245*$J$245+(T$5=Inputs!$C$17)*$G$245*$H$243*$H$245)</f>
        <v>206.388</v>
      </c>
      <c r="U248" s="42" t="n">
        <f aca="false">-($D$243+$J$243)*(U$5=0)+IF(AND(U$5-$K$243&gt;=1,U$5-$K$243&lt;=Inputs!$C$13),INDEX($N$246:$AL$246,1,U$5-$K$243+1)*INDEX($N$247:$AL$247,1,U$5-$K$243+1),0)-$I$243*((U$5=Inputs!$C$12)*$C$245*$D$243+(U$5=Inputs!$C$13)*$D$245*($D$243+Inputs!$C$14))+$I$243*((U$5=Inputs!$C$15+$K$243)*$E$245*$I$245+(U$5=Inputs!$C$16+$K$243)*$F$245*$J$245+(U$5=Inputs!$C$17)*$G$245*$H$243*$H$245)</f>
        <v>206.388</v>
      </c>
      <c r="V248" s="42" t="n">
        <f aca="false">-($D$243+$J$243)*(V$5=0)+IF(AND(V$5-$K$243&gt;=1,V$5-$K$243&lt;=Inputs!$C$13),INDEX($N$246:$AL$246,1,V$5-$K$243+1)*INDEX($N$247:$AL$247,1,V$5-$K$243+1),0)-$I$243*((V$5=Inputs!$C$12)*$C$245*$D$243+(V$5=Inputs!$C$13)*$D$245*($D$243+Inputs!$C$14))+$I$243*((V$5=Inputs!$C$15+$K$243)*$E$245*$I$245+(V$5=Inputs!$C$16+$K$243)*$F$245*$J$245+(V$5=Inputs!$C$17)*$G$245*$H$243*$H$245)</f>
        <v>127.764</v>
      </c>
      <c r="W248" s="42" t="n">
        <f aca="false">-($D$243+$J$243)*(W$5=0)+IF(AND(W$5-$K$243&gt;=1,W$5-$K$243&lt;=Inputs!$C$13),INDEX($N$246:$AL$246,1,W$5-$K$243+1)*INDEX($N$247:$AL$247,1,W$5-$K$243+1),0)-$I$243*((W$5=Inputs!$C$12)*$C$245*$D$243+(W$5=Inputs!$C$13)*$D$245*($D$243+Inputs!$C$14))+$I$243*((W$5=Inputs!$C$15+$K$243)*$E$245*$I$245+(W$5=Inputs!$C$16+$K$243)*$F$245*$J$245+(W$5=Inputs!$C$17)*$G$245*$H$243*$H$245)</f>
        <v>127.764</v>
      </c>
      <c r="X248" s="42" t="n">
        <f aca="false">-($D$243+$J$243)*(X$5=0)+IF(AND(X$5-$K$243&gt;=1,X$5-$K$243&lt;=Inputs!$C$13),INDEX($N$246:$AL$246,1,X$5-$K$243+1)*INDEX($N$247:$AL$247,1,X$5-$K$243+1),0)-$I$243*((X$5=Inputs!$C$12)*$C$245*$D$243+(X$5=Inputs!$C$13)*$D$245*($D$243+Inputs!$C$14))+$I$243*((X$5=Inputs!$C$15+$K$243)*$E$245*$I$245+(X$5=Inputs!$C$16+$K$243)*$F$245*$J$245+(X$5=Inputs!$C$17)*$G$245*$H$243*$H$245)</f>
        <v>128.0682</v>
      </c>
      <c r="Y248" s="42" t="n">
        <f aca="false">-($D$243+$J$243)*(Y$5=0)+IF(AND(Y$5-$K$243&gt;=1,Y$5-$K$243&lt;=Inputs!$C$13),INDEX($N$246:$AL$246,1,Y$5-$K$243+1)*INDEX($N$247:$AL$247,1,Y$5-$K$243+1),0)-$I$243*((Y$5=Inputs!$C$12)*$C$245*$D$243+(Y$5=Inputs!$C$13)*$D$245*($D$243+Inputs!$C$14))+$I$243*((Y$5=Inputs!$C$15+$K$243)*$E$245*$I$245+(Y$5=Inputs!$C$16+$K$243)*$F$245*$J$245+(Y$5=Inputs!$C$17)*$G$245*$H$243*$H$245)</f>
        <v>108.966</v>
      </c>
      <c r="Z248" s="42" t="n">
        <f aca="false">-($D$243+$J$243)*(Z$5=0)+IF(AND(Z$5-$K$243&gt;=1,Z$5-$K$243&lt;=Inputs!$C$13),INDEX($N$246:$AL$246,1,Z$5-$K$243+1)*INDEX($N$247:$AL$247,1,Z$5-$K$243+1),0)-$I$243*((Z$5=Inputs!$C$12)*$C$245*$D$243+(Z$5=Inputs!$C$13)*$D$245*($D$243+Inputs!$C$14))+$I$243*((Z$5=Inputs!$C$15+$K$243)*$E$245*$I$245+(Z$5=Inputs!$C$16+$K$243)*$F$245*$J$245+(Z$5=Inputs!$C$17)*$G$245*$H$243*$H$245)</f>
        <v>-1356.3534</v>
      </c>
      <c r="AA248" s="42" t="n">
        <f aca="false">-($D$243+$J$243)*(AA$5=0)+IF(AND(AA$5-$K$243&gt;=1,AA$5-$K$243&lt;=Inputs!$C$13),INDEX($N$246:$AL$246,1,AA$5-$K$243+1)*INDEX($N$247:$AL$247,1,AA$5-$K$243+1),0)-$I$243*((AA$5=Inputs!$C$12)*$C$245*$D$243+(AA$5=Inputs!$C$13)*$D$245*($D$243+Inputs!$C$14))+$I$243*((AA$5=Inputs!$C$15+$K$243)*$E$245*$I$245+(AA$5=Inputs!$C$16+$K$243)*$F$245*$J$245+(AA$5=Inputs!$C$17)*$G$245*$H$243*$H$245)</f>
        <v>110.1672</v>
      </c>
      <c r="AB248" s="42" t="n">
        <f aca="false">-($D$243+$J$243)*(AB$5=0)+IF(AND(AB$5-$K$243&gt;=1,AB$5-$K$243&lt;=Inputs!$C$13),INDEX($N$246:$AL$246,1,AB$5-$K$243+1)*INDEX($N$247:$AL$247,1,AB$5-$K$243+1),0)-$I$243*((AB$5=Inputs!$C$12)*$C$245*$D$243+(AB$5=Inputs!$C$13)*$D$245*($D$243+Inputs!$C$14))+$I$243*((AB$5=Inputs!$C$15+$K$243)*$E$245*$I$245+(AB$5=Inputs!$C$16+$K$243)*$F$245*$J$245+(AB$5=Inputs!$C$17)*$G$245*$H$243*$H$245)</f>
        <v>136.9914</v>
      </c>
      <c r="AC248" s="42" t="n">
        <f aca="false">-($D$243+$J$243)*(AC$5=0)+IF(AND(AC$5-$K$243&gt;=1,AC$5-$K$243&lt;=Inputs!$C$13),INDEX($N$246:$AL$246,1,AC$5-$K$243+1)*INDEX($N$247:$AL$247,1,AC$5-$K$243+1),0)-$I$243*((AC$5=Inputs!$C$12)*$C$245*$D$243+(AC$5=Inputs!$C$13)*$D$245*($D$243+Inputs!$C$14))+$I$243*((AC$5=Inputs!$C$15+$K$243)*$E$245*$I$245+(AC$5=Inputs!$C$16+$K$243)*$F$245*$J$245+(AC$5=Inputs!$C$17)*$G$245*$H$243*$H$245)</f>
        <v>138.3564</v>
      </c>
      <c r="AD248" s="42" t="n">
        <f aca="false">-($D$243+$J$243)*(AD$5=0)+IF(AND(AD$5-$K$243&gt;=1,AD$5-$K$243&lt;=Inputs!$C$13),INDEX($N$246:$AL$246,1,AD$5-$K$243+1)*INDEX($N$247:$AL$247,1,AD$5-$K$243+1),0)-$I$243*((AD$5=Inputs!$C$12)*$C$245*$D$243+(AD$5=Inputs!$C$13)*$D$245*($D$243+Inputs!$C$14))+$I$243*((AD$5=Inputs!$C$15+$K$243)*$E$245*$I$245+(AD$5=Inputs!$C$16+$K$243)*$F$245*$J$245+(AD$5=Inputs!$C$17)*$G$245*$H$243*$H$245)</f>
        <v>139.721400000001</v>
      </c>
      <c r="AE248" s="42" t="n">
        <f aca="false">-($D$243+$J$243)*(AE$5=0)+IF(AND(AE$5-$K$243&gt;=1,AE$5-$K$243&lt;=Inputs!$C$13),INDEX($N$246:$AL$246,1,AE$5-$K$243+1)*INDEX($N$247:$AL$247,1,AE$5-$K$243+1),0)-$I$243*((AE$5=Inputs!$C$12)*$C$245*$D$243+(AE$5=Inputs!$C$13)*$D$245*($D$243+Inputs!$C$14))+$I$243*((AE$5=Inputs!$C$15+$K$243)*$E$245*$I$245+(AE$5=Inputs!$C$16+$K$243)*$F$245*$J$245+(AE$5=Inputs!$C$17)*$G$245*$H$243*$H$245)</f>
        <v>141.0864</v>
      </c>
      <c r="AF248" s="42" t="n">
        <f aca="false">-($D$243+$J$243)*(AF$5=0)+IF(AND(AF$5-$K$243&gt;=1,AF$5-$K$243&lt;=Inputs!$C$13),INDEX($N$246:$AL$246,1,AF$5-$K$243+1)*INDEX($N$247:$AL$247,1,AF$5-$K$243+1),0)-$I$243*((AF$5=Inputs!$C$12)*$C$245*$D$243+(AF$5=Inputs!$C$13)*$D$245*($D$243+Inputs!$C$14))+$I$243*((AF$5=Inputs!$C$15+$K$243)*$E$245*$I$245+(AF$5=Inputs!$C$16+$K$243)*$F$245*$J$245+(AF$5=Inputs!$C$17)*$G$245*$H$243*$H$245)</f>
        <v>142.4514</v>
      </c>
      <c r="AG248" s="42" t="n">
        <f aca="false">-($D$243+$J$243)*(AG$5=0)+IF(AND(AG$5-$K$243&gt;=1,AG$5-$K$243&lt;=Inputs!$C$13),INDEX($N$246:$AL$246,1,AG$5-$K$243+1)*INDEX($N$247:$AL$247,1,AG$5-$K$243+1),0)-$I$243*((AG$5=Inputs!$C$12)*$C$245*$D$243+(AG$5=Inputs!$C$13)*$D$245*($D$243+Inputs!$C$14))+$I$243*((AG$5=Inputs!$C$15+$K$243)*$E$245*$I$245+(AG$5=Inputs!$C$16+$K$243)*$F$245*$J$245+(AG$5=Inputs!$C$17)*$G$245*$H$243*$H$245)</f>
        <v>143.8164</v>
      </c>
      <c r="AH248" s="42" t="n">
        <f aca="false">-($D$243+$J$243)*(AH$5=0)+IF(AND(AH$5-$K$243&gt;=1,AH$5-$K$243&lt;=Inputs!$C$13),INDEX($N$246:$AL$246,1,AH$5-$K$243+1)*INDEX($N$247:$AL$247,1,AH$5-$K$243+1),0)-$I$243*((AH$5=Inputs!$C$12)*$C$245*$D$243+(AH$5=Inputs!$C$13)*$D$245*($D$243+Inputs!$C$14))+$I$243*((AH$5=Inputs!$C$15+$K$243)*$E$245*$I$245+(AH$5=Inputs!$C$16+$K$243)*$F$245*$J$245+(AH$5=Inputs!$C$17)*$G$245*$H$243*$H$245)</f>
        <v>103.701</v>
      </c>
      <c r="AI248" s="42" t="n">
        <f aca="false">-($D$243+$J$243)*(AI$5=0)+IF(AND(AI$5-$K$243&gt;=1,AI$5-$K$243&lt;=Inputs!$C$13),INDEX($N$246:$AL$246,1,AI$5-$K$243+1)*INDEX($N$247:$AL$247,1,AI$5-$K$243+1),0)-$I$243*((AI$5=Inputs!$C$12)*$C$245*$D$243+(AI$5=Inputs!$C$13)*$D$245*($D$243+Inputs!$C$14))+$I$243*((AI$5=Inputs!$C$15+$K$243)*$E$245*$I$245+(AI$5=Inputs!$C$16+$K$243)*$F$245*$J$245+(AI$5=Inputs!$C$17)*$G$245*$H$243*$H$245)</f>
        <v>104.676</v>
      </c>
      <c r="AJ248" s="42" t="n">
        <f aca="false">-($D$243+$J$243)*(AJ$5=0)+IF(AND(AJ$5-$K$243&gt;=1,AJ$5-$K$243&lt;=Inputs!$C$13),INDEX($N$246:$AL$246,1,AJ$5-$K$243+1)*INDEX($N$247:$AL$247,1,AJ$5-$K$243+1),0)-$I$243*((AJ$5=Inputs!$C$12)*$C$245*$D$243+(AJ$5=Inputs!$C$13)*$D$245*($D$243+Inputs!$C$14))+$I$243*((AJ$5=Inputs!$C$15+$K$243)*$E$245*$I$245+(AJ$5=Inputs!$C$16+$K$243)*$F$245*$J$245+(AJ$5=Inputs!$C$17)*$G$245*$H$243*$H$245)</f>
        <v>105.651</v>
      </c>
      <c r="AK248" s="42" t="n">
        <f aca="false">-($D$243+$J$243)*(AK$5=0)+IF(AND(AK$5-$K$243&gt;=1,AK$5-$K$243&lt;=Inputs!$C$13),INDEX($N$246:$AL$246,1,AK$5-$K$243+1)*INDEX($N$247:$AL$247,1,AK$5-$K$243+1),0)-$I$243*((AK$5=Inputs!$C$12)*$C$245*$D$243+(AK$5=Inputs!$C$13)*$D$245*($D$243+Inputs!$C$14))+$I$243*((AK$5=Inputs!$C$15+$K$243)*$E$245*$I$245+(AK$5=Inputs!$C$16+$K$243)*$F$245*$J$245+(AK$5=Inputs!$C$17)*$G$245*$H$243*$H$245)</f>
        <v>106.626</v>
      </c>
      <c r="AL248" s="42" t="n">
        <f aca="false">-($D$243+$J$243)*(AL$5=0)+IF(AND(AL$5-$K$243&gt;=1,AL$5-$K$243&lt;=Inputs!$C$13),INDEX($N$246:$AL$246,1,AL$5-$K$243+1)*INDEX($N$247:$AL$247,1,AL$5-$K$243+1),0)-$I$243*((AL$5=Inputs!$C$12)*$C$245*$D$243+(AL$5=Inputs!$C$13)*$D$245*($D$243+Inputs!$C$14))+$I$243*((AL$5=Inputs!$C$15+$K$243)*$E$245*$I$245+(AL$5=Inputs!$C$16+$K$243)*$F$245*$J$245+(AL$5=Inputs!$C$17)*$G$245*$H$243*$H$245)</f>
        <v>-1080.399</v>
      </c>
      <c r="AM248" s="42" t="n">
        <f aca="false">-($D$243+$J$243)*(AM$5=0)+IF(AND(AM$5-$K$243&gt;=1,AM$5-$K$243&lt;=Inputs!$C$13),INDEX($N$246:$AL$246,1,AM$5-$K$243+1)*INDEX($N$247:$AL$247,1,AM$5-$K$243+1),0)-$I$243*((AM$5=Inputs!$C$12)*$C$245*$D$243+(AM$5=Inputs!$C$13)*$D$245*($D$243+Inputs!$C$14))+$I$243*((AM$5=Inputs!$C$15+$K$243)*$E$245*$I$245+(AM$5=Inputs!$C$16+$K$243)*$F$245*$J$245+(AM$5=Inputs!$C$17)*$G$245*$H$243*$H$245)</f>
        <v>108.576</v>
      </c>
      <c r="AN248" s="42" t="n">
        <f aca="false">-($D$243+$J$243)*(AN$5=0)+IF(AND(AN$5-$K$243&gt;=1,AN$5-$K$243&lt;=Inputs!$C$13),INDEX($N$246:$AL$246,1,AN$5-$K$243+1)*INDEX($N$247:$AL$247,1,AN$5-$K$243+1),0)-$I$243*((AN$5=Inputs!$C$12)*$C$245*$D$243+(AN$5=Inputs!$C$13)*$D$245*($D$243+Inputs!$C$14))+$I$243*((AN$5=Inputs!$C$15+$K$243)*$E$245*$I$245+(AN$5=Inputs!$C$16+$K$243)*$F$245*$J$245+(AN$5=Inputs!$C$17)*$G$245*$H$243*$H$245)</f>
        <v>0</v>
      </c>
      <c r="AO248" s="42" t="n">
        <f aca="false">-($D$243+$J$243)*(AO$5=0)+IF(AND(AO$5-$K$243&gt;=1,AO$5-$K$243&lt;=Inputs!$C$13),INDEX($N$246:$AL$246,1,AO$5-$K$243+1)*INDEX($N$247:$AL$247,1,AO$5-$K$243+1),0)-$I$243*((AO$5=Inputs!$C$12)*$C$245*$D$243+(AO$5=Inputs!$C$13)*$D$245*($D$243+Inputs!$C$14))+$I$243*((AO$5=Inputs!$C$15+$K$243)*$E$245*$I$245+(AO$5=Inputs!$C$16+$K$243)*$F$245*$J$245+(AO$5=Inputs!$C$17)*$G$245*$H$243*$H$245)</f>
        <v>0</v>
      </c>
      <c r="AP248" s="42" t="n">
        <f aca="false">-($D$243+$J$243)*(AP$5=0)+IF(AND(AP$5-$K$243&gt;=1,AP$5-$K$243&lt;=Inputs!$C$13),INDEX($N$246:$AL$246,1,AP$5-$K$243+1)*INDEX($N$247:$AL$247,1,AP$5-$K$243+1),0)-$I$243*((AP$5=Inputs!$C$12)*$C$245*$D$243+(AP$5=Inputs!$C$13)*$D$245*($D$243+Inputs!$C$14))+$I$243*((AP$5=Inputs!$C$15+$K$243)*$E$245*$I$245+(AP$5=Inputs!$C$16+$K$243)*$F$245*$J$245+(AP$5=Inputs!$C$17)*$G$245*$H$243*$H$245)</f>
        <v>1866.348</v>
      </c>
      <c r="AQ248" s="42" t="n">
        <f aca="false">-($D$243+$J$243)*(AQ$5=0)+IF(AND(AQ$5-$K$243&gt;=1,AQ$5-$K$243&lt;=Inputs!$C$13),INDEX($N$246:$AL$246,1,AQ$5-$K$243+1)*INDEX($N$247:$AL$247,1,AQ$5-$K$243+1),0)-$I$243*((AQ$5=Inputs!$C$12)*$C$245*$D$243+(AQ$5=Inputs!$C$13)*$D$245*($D$243+Inputs!$C$14))+$I$243*((AQ$5=Inputs!$C$15+$K$243)*$E$245*$I$245+(AQ$5=Inputs!$C$16+$K$243)*$F$245*$J$245+(AQ$5=Inputs!$C$17)*$G$245*$H$243*$H$245)</f>
        <v>0</v>
      </c>
      <c r="AR248" s="42" t="n">
        <f aca="false">-($D$243+$J$243)*(AR$5=0)+IF(AND(AR$5-$K$243&gt;=1,AR$5-$K$243&lt;=Inputs!$C$13),INDEX($N$246:$AL$246,1,AR$5-$K$243+1)*INDEX($N$247:$AL$247,1,AR$5-$K$243+1),0)-$I$243*((AR$5=Inputs!$C$12)*$C$245*$D$243+(AR$5=Inputs!$C$13)*$D$245*($D$243+Inputs!$C$14))+$I$243*((AR$5=Inputs!$C$15+$K$243)*$E$245*$I$245+(AR$5=Inputs!$C$16+$K$243)*$F$245*$J$245+(AR$5=Inputs!$C$17)*$G$245*$H$243*$H$245)</f>
        <v>0</v>
      </c>
      <c r="AS248" s="42" t="n">
        <f aca="false">-($D$243+$J$243)*(AS$5=0)+IF(AND(AS$5-$K$243&gt;=1,AS$5-$K$243&lt;=Inputs!$C$13),INDEX($N$246:$AL$246,1,AS$5-$K$243+1)*INDEX($N$247:$AL$247,1,AS$5-$K$243+1),0)-$I$243*((AS$5=Inputs!$C$12)*$C$245*$D$243+(AS$5=Inputs!$C$13)*$D$245*($D$243+Inputs!$C$14))+$I$243*((AS$5=Inputs!$C$15+$K$243)*$E$245*$I$245+(AS$5=Inputs!$C$16+$K$243)*$F$245*$J$245+(AS$5=Inputs!$C$17)*$G$245*$H$243*$H$245)</f>
        <v>271.6362</v>
      </c>
      <c r="AT248" s="42" t="n">
        <f aca="false">-($D$243+$J$243)*(AT$5=0)+IF(AND(AT$5-$K$243&gt;=1,AT$5-$K$243&lt;=Inputs!$C$13),INDEX($N$246:$AL$246,1,AT$5-$K$243+1)*INDEX($N$247:$AL$247,1,AT$5-$K$243+1),0)-$I$243*((AT$5=Inputs!$C$12)*$C$245*$D$243+(AT$5=Inputs!$C$13)*$D$245*($D$243+Inputs!$C$14))+$I$243*((AT$5=Inputs!$C$15+$K$243)*$E$245*$I$245+(AT$5=Inputs!$C$16+$K$243)*$F$245*$J$245+(AT$5=Inputs!$C$17)*$G$245*$H$243*$H$245)</f>
        <v>0</v>
      </c>
      <c r="AU248" s="42" t="n">
        <f aca="false">-($D$243+$J$243)*(AU$5=0)+IF(AND(AU$5-$K$243&gt;=1,AU$5-$K$243&lt;=Inputs!$C$13),INDEX($N$246:$AL$246,1,AU$5-$K$243+1)*INDEX($N$247:$AL$247,1,AU$5-$K$243+1),0)-$I$243*((AU$5=Inputs!$C$12)*$C$245*$D$243+(AU$5=Inputs!$C$13)*$D$245*($D$243+Inputs!$C$14))+$I$243*((AU$5=Inputs!$C$15+$K$243)*$E$245*$I$245+(AU$5=Inputs!$C$16+$K$243)*$F$245*$J$245+(AU$5=Inputs!$C$17)*$G$245*$H$243*$H$245)</f>
        <v>0</v>
      </c>
      <c r="AV248" s="42" t="n">
        <f aca="false">-($D$243+$J$243)*(AV$5=0)+IF(AND(AV$5-$K$243&gt;=1,AV$5-$K$243&lt;=Inputs!$C$13),INDEX($N$246:$AL$246,1,AV$5-$K$243+1)*INDEX($N$247:$AL$247,1,AV$5-$K$243+1),0)-$I$243*((AV$5=Inputs!$C$12)*$C$245*$D$243+(AV$5=Inputs!$C$13)*$D$245*($D$243+Inputs!$C$14))+$I$243*((AV$5=Inputs!$C$15+$K$243)*$E$245*$I$245+(AV$5=Inputs!$C$16+$K$243)*$F$245*$J$245+(AV$5=Inputs!$C$17)*$G$245*$H$243*$H$245)</f>
        <v>0</v>
      </c>
      <c r="AW248" s="42" t="n">
        <f aca="false">-($D$243+$J$243)*(AW$5=0)+IF(AND(AW$5-$K$243&gt;=1,AW$5-$K$243&lt;=Inputs!$C$13),INDEX($N$246:$AL$246,1,AW$5-$K$243+1)*INDEX($N$247:$AL$247,1,AW$5-$K$243+1),0)-$I$243*((AW$5=Inputs!$C$12)*$C$245*$D$243+(AW$5=Inputs!$C$13)*$D$245*($D$243+Inputs!$C$14))+$I$243*((AW$5=Inputs!$C$15+$K$243)*$E$245*$I$245+(AW$5=Inputs!$C$16+$K$243)*$F$245*$J$245+(AW$5=Inputs!$C$17)*$G$245*$H$243*$H$245)</f>
        <v>0</v>
      </c>
      <c r="AX248" s="42" t="n">
        <f aca="false">-($D$243+$J$243)*(AX$5=0)+IF(AND(AX$5-$K$243&gt;=1,AX$5-$K$243&lt;=Inputs!$C$13),INDEX($N$246:$AL$246,1,AX$5-$K$243+1)*INDEX($N$247:$AL$247,1,AX$5-$K$243+1),0)-$I$243*((AX$5=Inputs!$C$12)*$C$245*$D$243+(AX$5=Inputs!$C$13)*$D$245*($D$243+Inputs!$C$14))+$I$243*((AX$5=Inputs!$C$15+$K$243)*$E$245*$I$245+(AX$5=Inputs!$C$16+$K$243)*$F$245*$J$245+(AX$5=Inputs!$C$17)*$G$245*$H$243*$H$245)</f>
        <v>523.908</v>
      </c>
      <c r="AY248" s="42" t="n">
        <f aca="false">-($D$243+$J$243)*(AY$5=0)+IF(AND(AY$5-$K$243&gt;=1,AY$5-$K$243&lt;=Inputs!$C$13),INDEX($N$246:$AL$246,1,AY$5-$K$243+1)*INDEX($N$247:$AL$247,1,AY$5-$K$243+1),0)-$I$243*((AY$5=Inputs!$C$12)*$C$245*$D$243+(AY$5=Inputs!$C$13)*$D$245*($D$243+Inputs!$C$14))+$I$243*((AY$5=Inputs!$C$15+$K$243)*$E$245*$I$245+(AY$5=Inputs!$C$16+$K$243)*$F$245*$J$245+(AY$5=Inputs!$C$17)*$G$245*$H$243*$H$245)</f>
        <v>0</v>
      </c>
    </row>
    <row r="250" customFormat="false" ht="15" hidden="false" customHeight="false" outlineLevel="0" collapsed="false">
      <c r="B250" s="7" t="s">
        <v>268</v>
      </c>
      <c r="C250" s="8"/>
      <c r="D250" s="8"/>
      <c r="E250" s="8"/>
      <c r="F250" s="8"/>
      <c r="G250" s="8"/>
      <c r="H250" s="8"/>
      <c r="I250" s="8"/>
      <c r="J250" s="8"/>
      <c r="K250" s="8"/>
      <c r="L250" s="8"/>
    </row>
    <row r="251" customFormat="false" ht="30" hidden="false" customHeight="true" outlineLevel="0" collapsed="false">
      <c r="B251" s="37"/>
      <c r="C251" s="38" t="s">
        <v>169</v>
      </c>
      <c r="D251" s="38" t="s">
        <v>170</v>
      </c>
      <c r="E251" s="38" t="s">
        <v>171</v>
      </c>
      <c r="F251" s="38" t="s">
        <v>43</v>
      </c>
      <c r="G251" s="38" t="s">
        <v>44</v>
      </c>
      <c r="H251" s="38" t="s">
        <v>45</v>
      </c>
      <c r="I251" s="38" t="s">
        <v>172</v>
      </c>
      <c r="J251" s="38" t="s">
        <v>90</v>
      </c>
      <c r="K251" s="38" t="s">
        <v>89</v>
      </c>
      <c r="L251" s="38" t="s">
        <v>173</v>
      </c>
    </row>
    <row r="252" customFormat="false" ht="15" hidden="false" customHeight="false" outlineLevel="0" collapsed="false">
      <c r="B252" s="39" t="s">
        <v>174</v>
      </c>
      <c r="C252" s="26" t="n">
        <f aca="false">Inputs!$F$41*Inputs!$E$60</f>
        <v>0.09</v>
      </c>
      <c r="D252" s="30" t="n">
        <f aca="false">Inputs!$E$41</f>
        <v>9500</v>
      </c>
      <c r="E252" s="26" t="n">
        <f aca="false">IF(Inputs!$G$41=1,Inputs!$F$27,MIN(1,MAX(0,INDEX(Inputs!$F$23:$F$27,MATCH(Inputs!$C$41,Inputs!$B$23:$B$27,0))+INDEX(Inputs!$C$48:$C$51,MATCH(Inputs!$D$60,Inputs!$B$48:$B$51,0)))))</f>
        <v>0.75</v>
      </c>
      <c r="F252" s="25" t="n">
        <f aca="false">IF(Inputs!$G$41=1,Inputs!$G$27,INDEX(Inputs!$G$23:$G$27,MATCH(Inputs!$C$41,Inputs!$B$23:$B$27,0)))</f>
        <v>0.6</v>
      </c>
      <c r="G252" s="25" t="n">
        <f aca="false">IF(Inputs!$G$41=1,Inputs!$H$27,INDEX(Inputs!$H$23:$H$27,MATCH(Inputs!$C$41,Inputs!$B$23:$B$27,0)))*INDEX(Inputs!$D$48:$D$51,MATCH(Inputs!$D$60,Inputs!$B$48:$B$51,0))</f>
        <v>0.2</v>
      </c>
      <c r="H252" s="25" t="n">
        <f aca="false">MAX(0,IF(Inputs!$G$41=1,Inputs!$I$27,INDEX(Inputs!$I$23:$I$27,MATCH(Inputs!$C$41,Inputs!$B$23:$B$27,0)))+INDEX(Inputs!$E$48:$E$51,MATCH(Inputs!$D$60,Inputs!$B$48:$B$51,0)))</f>
        <v>0.6</v>
      </c>
      <c r="I252" s="22" t="n">
        <f aca="false">IF(Inputs!$G$41=1,0,INDEX(Inputs!$J$23:$J$27,MATCH(Inputs!$C$41,Inputs!$B$23:$B$27,0)))</f>
        <v>1</v>
      </c>
      <c r="J252" s="23" t="n">
        <f aca="false">Inputs!$G$60</f>
        <v>10</v>
      </c>
      <c r="K252" s="22" t="n">
        <f aca="false">Inputs!$F$60</f>
        <v>1</v>
      </c>
      <c r="L252" s="22" t="n">
        <f aca="false">Inputs!$C$60</f>
        <v>1</v>
      </c>
    </row>
    <row r="253" customFormat="false" ht="30" hidden="false" customHeight="true" outlineLevel="0" collapsed="false">
      <c r="B253" s="37"/>
      <c r="C253" s="38" t="s">
        <v>175</v>
      </c>
      <c r="D253" s="38" t="s">
        <v>176</v>
      </c>
      <c r="E253" s="38" t="s">
        <v>177</v>
      </c>
      <c r="F253" s="38" t="s">
        <v>178</v>
      </c>
      <c r="G253" s="38" t="s">
        <v>112</v>
      </c>
      <c r="H253" s="38" t="s">
        <v>179</v>
      </c>
      <c r="I253" s="38" t="s">
        <v>180</v>
      </c>
      <c r="J253" s="38" t="s">
        <v>181</v>
      </c>
      <c r="K253" s="38" t="s">
        <v>182</v>
      </c>
      <c r="L253" s="38" t="s">
        <v>183</v>
      </c>
    </row>
    <row r="254" customFormat="false" ht="15" hidden="false" customHeight="false" outlineLevel="0" collapsed="false">
      <c r="B254" s="39" t="s">
        <v>184</v>
      </c>
      <c r="C254" s="40" t="n">
        <f aca="false">1-$E$252*CHOOSE($L$252,INDEX(Timing!$C$7:$AA$7,1,Inputs!$C$12+1),INDEX(Timing!$C$8:$AA$8,1,Inputs!$C$12+1))</f>
        <v>0.43</v>
      </c>
      <c r="D254" s="40" t="n">
        <f aca="false">1-$E$252*CHOOSE($L$252,INDEX(Timing!$C$7:$AA$7,1,Inputs!$C$13+1),INDEX(Timing!$C$8:$AA$8,1,Inputs!$C$13+1))</f>
        <v>0.25</v>
      </c>
      <c r="E254" s="40" t="n">
        <f aca="false">$I$252*$D$254*$F$252</f>
        <v>0.15</v>
      </c>
      <c r="F254" s="40" t="n">
        <f aca="false">$I$252*($D$254-$E$254)*$G$252</f>
        <v>0.02</v>
      </c>
      <c r="G254" s="40" t="n">
        <f aca="false">$I$252*($D$254-$E$254-$F$254)</f>
        <v>0.08</v>
      </c>
      <c r="H254" s="23" t="n">
        <f aca="false">$I$252*(3*$D$252+Inputs!$C$14)</f>
        <v>30300</v>
      </c>
      <c r="I254" s="23" t="n">
        <f aca="false">$I$252*($D$252*(1+IF($C$252&lt;=0,0,MAX($C$252*Inputs!$C$15/12,Inputs!$C$8)))+$D$252*(1+Inputs!$C$11*(Inputs!$C$15-Inputs!$C$12)/12)+$D$252*(1+Inputs!$C$11*(Inputs!$C$15-Inputs!$C$13)/12)+Inputs!$C$14)</f>
        <v>34788.75</v>
      </c>
      <c r="J254" s="23" t="n">
        <f aca="false">$I$252*($D$252*(1+IF($C$252&lt;=0,0,MAX($C$252*Inputs!$C$16/12,Inputs!$C$8)))+$D$252*(1+Inputs!$C$11*(Inputs!$C$16-Inputs!$C$12)/12)+$D$252*(1+Inputs!$C$11*(Inputs!$C$16-Inputs!$C$13)/12)+Inputs!$C$14)</f>
        <v>35857.5</v>
      </c>
      <c r="K254" s="40" t="n">
        <f aca="false">IRR($N$257:$AY$257,0.005)</f>
        <v>0.00242365077183235</v>
      </c>
      <c r="L254" s="41" t="n">
        <f aca="false">(1+$K$254)^12-1</f>
        <v>0.0294746479702299</v>
      </c>
    </row>
    <row r="255" customFormat="false" ht="15" hidden="false" customHeight="false" outlineLevel="0" collapsed="false">
      <c r="B255" s="9" t="s">
        <v>185</v>
      </c>
      <c r="N255" s="40" t="n">
        <f aca="false">0</f>
        <v>0</v>
      </c>
      <c r="O255" s="40" t="n">
        <f aca="false">$E$252*(CHOOSE($L$252,Timing!D$7,Timing!D$8)-CHOOSE($L$252,Timing!C$7,Timing!C$8))</f>
        <v>0.09</v>
      </c>
      <c r="P255" s="40" t="n">
        <f aca="false">$E$252*(CHOOSE($L$252,Timing!E$7,Timing!E$8)-CHOOSE($L$252,Timing!D$7,Timing!D$8))</f>
        <v>0.075</v>
      </c>
      <c r="Q255" s="40" t="n">
        <f aca="false">$E$252*(CHOOSE($L$252,Timing!F$7,Timing!F$8)-CHOOSE($L$252,Timing!E$7,Timing!E$8))</f>
        <v>0.0675</v>
      </c>
      <c r="R255" s="40" t="n">
        <f aca="false">$E$252*(CHOOSE($L$252,Timing!G$7,Timing!G$8)-CHOOSE($L$252,Timing!F$7,Timing!F$8))</f>
        <v>0.0525</v>
      </c>
      <c r="S255" s="40" t="n">
        <f aca="false">$E$252*(CHOOSE($L$252,Timing!H$7,Timing!H$8)-CHOOSE($L$252,Timing!G$7,Timing!G$8))</f>
        <v>0.0525</v>
      </c>
      <c r="T255" s="40" t="n">
        <f aca="false">$E$252*(CHOOSE($L$252,Timing!I$7,Timing!I$8)-CHOOSE($L$252,Timing!H$7,Timing!H$8))</f>
        <v>0.0525</v>
      </c>
      <c r="U255" s="40" t="n">
        <f aca="false">$E$252*(CHOOSE($L$252,Timing!J$7,Timing!J$8)-CHOOSE($L$252,Timing!I$7,Timing!I$8))</f>
        <v>0.0325</v>
      </c>
      <c r="V255" s="40" t="n">
        <f aca="false">$E$252*(CHOOSE($L$252,Timing!K$7,Timing!K$8)-CHOOSE($L$252,Timing!J$7,Timing!J$8))</f>
        <v>0.0325</v>
      </c>
      <c r="W255" s="40" t="n">
        <f aca="false">$E$252*(CHOOSE($L$252,Timing!L$7,Timing!L$8)-CHOOSE($L$252,Timing!K$7,Timing!K$8))</f>
        <v>0.0325</v>
      </c>
      <c r="X255" s="40" t="n">
        <f aca="false">$E$252*(CHOOSE($L$252,Timing!M$7,Timing!M$8)-CHOOSE($L$252,Timing!L$7,Timing!L$8))</f>
        <v>0.0275</v>
      </c>
      <c r="Y255" s="40" t="n">
        <f aca="false">$E$252*(CHOOSE($L$252,Timing!N$7,Timing!N$8)-CHOOSE($L$252,Timing!M$7,Timing!M$8))</f>
        <v>0.0275000000000001</v>
      </c>
      <c r="Z255" s="40" t="n">
        <f aca="false">$E$252*(CHOOSE($L$252,Timing!O$7,Timing!O$8)-CHOOSE($L$252,Timing!N$7,Timing!N$8))</f>
        <v>0.0275</v>
      </c>
      <c r="AA255" s="40" t="n">
        <f aca="false">$E$252*(CHOOSE($L$252,Timing!P$7,Timing!P$8)-CHOOSE($L$252,Timing!O$7,Timing!O$8))</f>
        <v>0.0175</v>
      </c>
      <c r="AB255" s="40" t="n">
        <f aca="false">$E$252*(CHOOSE($L$252,Timing!Q$7,Timing!Q$8)-CHOOSE($L$252,Timing!P$7,Timing!P$8))</f>
        <v>0.0175</v>
      </c>
      <c r="AC255" s="40" t="n">
        <f aca="false">$E$252*(CHOOSE($L$252,Timing!R$7,Timing!R$8)-CHOOSE($L$252,Timing!Q$7,Timing!Q$8))</f>
        <v>0.0175000000000001</v>
      </c>
      <c r="AD255" s="40" t="n">
        <f aca="false">$E$252*(CHOOSE($L$252,Timing!S$7,Timing!S$8)-CHOOSE($L$252,Timing!R$7,Timing!R$8))</f>
        <v>0.0175</v>
      </c>
      <c r="AE255" s="40" t="n">
        <f aca="false">$E$252*(CHOOSE($L$252,Timing!T$7,Timing!T$8)-CHOOSE($L$252,Timing!S$7,Timing!S$8))</f>
        <v>0.0175</v>
      </c>
      <c r="AF255" s="40" t="n">
        <f aca="false">$E$252*(CHOOSE($L$252,Timing!U$7,Timing!U$8)-CHOOSE($L$252,Timing!T$7,Timing!T$8))</f>
        <v>0.0175</v>
      </c>
      <c r="AG255" s="40" t="n">
        <f aca="false">$E$252*(CHOOSE($L$252,Timing!V$7,Timing!V$8)-CHOOSE($L$252,Timing!U$7,Timing!U$8))</f>
        <v>0.0125</v>
      </c>
      <c r="AH255" s="40" t="n">
        <f aca="false">$E$252*(CHOOSE($L$252,Timing!W$7,Timing!W$8)-CHOOSE($L$252,Timing!V$7,Timing!V$8))</f>
        <v>0.0125</v>
      </c>
      <c r="AI255" s="40" t="n">
        <f aca="false">$E$252*(CHOOSE($L$252,Timing!X$7,Timing!X$8)-CHOOSE($L$252,Timing!W$7,Timing!W$8))</f>
        <v>0.0125</v>
      </c>
      <c r="AJ255" s="40" t="n">
        <f aca="false">$E$252*(CHOOSE($L$252,Timing!Y$7,Timing!Y$8)-CHOOSE($L$252,Timing!X$7,Timing!X$8))</f>
        <v>0.0125</v>
      </c>
      <c r="AK255" s="40" t="n">
        <f aca="false">$E$252*(CHOOSE($L$252,Timing!Z$7,Timing!Z$8)-CHOOSE($L$252,Timing!Y$7,Timing!Y$8))</f>
        <v>0.0125</v>
      </c>
      <c r="AL255" s="40" t="n">
        <f aca="false">$E$252*(CHOOSE($L$252,Timing!AA$7,Timing!AA$8)-CHOOSE($L$252,Timing!Z$7,Timing!Z$8))</f>
        <v>0.0125</v>
      </c>
    </row>
    <row r="256" customFormat="false" ht="15" hidden="false" customHeight="false" outlineLevel="0" collapsed="false">
      <c r="B256" s="9" t="s">
        <v>186</v>
      </c>
      <c r="N256" s="42" t="n">
        <f aca="false">0</f>
        <v>0</v>
      </c>
      <c r="O256" s="42" t="n">
        <f aca="false">$D$252*(1+IF($C$252&lt;=0,0,MAX($C$252*O$5/12,Inputs!$C$8)))+$I$252*(O$5&gt;Inputs!$C$12)*$D$252*(1+Inputs!$C$11*(O$5-Inputs!$C$12)/12)</f>
        <v>9975</v>
      </c>
      <c r="P256" s="42" t="n">
        <f aca="false">$D$252*(1+IF($C$252&lt;=0,0,MAX($C$252*P$5/12,Inputs!$C$8)))+$I$252*(P$5&gt;Inputs!$C$12)*$D$252*(1+Inputs!$C$11*(P$5-Inputs!$C$12)/12)</f>
        <v>9975</v>
      </c>
      <c r="Q256" s="42" t="n">
        <f aca="false">$D$252*(1+IF($C$252&lt;=0,0,MAX($C$252*Q$5/12,Inputs!$C$8)))+$I$252*(Q$5&gt;Inputs!$C$12)*$D$252*(1+Inputs!$C$11*(Q$5-Inputs!$C$12)/12)</f>
        <v>9975</v>
      </c>
      <c r="R256" s="42" t="n">
        <f aca="false">$D$252*(1+IF($C$252&lt;=0,0,MAX($C$252*R$5/12,Inputs!$C$8)))+$I$252*(R$5&gt;Inputs!$C$12)*$D$252*(1+Inputs!$C$11*(R$5-Inputs!$C$12)/12)</f>
        <v>9975</v>
      </c>
      <c r="S256" s="42" t="n">
        <f aca="false">$D$252*(1+IF($C$252&lt;=0,0,MAX($C$252*S$5/12,Inputs!$C$8)))+$I$252*(S$5&gt;Inputs!$C$12)*$D$252*(1+Inputs!$C$11*(S$5-Inputs!$C$12)/12)</f>
        <v>9975</v>
      </c>
      <c r="T256" s="42" t="n">
        <f aca="false">$D$252*(1+IF($C$252&lt;=0,0,MAX($C$252*T$5/12,Inputs!$C$8)))+$I$252*(T$5&gt;Inputs!$C$12)*$D$252*(1+Inputs!$C$11*(T$5-Inputs!$C$12)/12)</f>
        <v>9975</v>
      </c>
      <c r="U256" s="42" t="n">
        <f aca="false">$D$252*(1+IF($C$252&lt;=0,0,MAX($C$252*U$5/12,Inputs!$C$8)))+$I$252*(U$5&gt;Inputs!$C$12)*$D$252*(1+Inputs!$C$11*(U$5-Inputs!$C$12)/12)</f>
        <v>9998.75</v>
      </c>
      <c r="V256" s="42" t="n">
        <f aca="false">$D$252*(1+IF($C$252&lt;=0,0,MAX($C$252*V$5/12,Inputs!$C$8)))+$I$252*(V$5&gt;Inputs!$C$12)*$D$252*(1+Inputs!$C$11*(V$5-Inputs!$C$12)/12)</f>
        <v>10070</v>
      </c>
      <c r="W256" s="42" t="n">
        <f aca="false">$D$252*(1+IF($C$252&lt;=0,0,MAX($C$252*W$5/12,Inputs!$C$8)))+$I$252*(W$5&gt;Inputs!$C$12)*$D$252*(1+Inputs!$C$11*(W$5-Inputs!$C$12)/12)</f>
        <v>10141.25</v>
      </c>
      <c r="X256" s="42" t="n">
        <f aca="false">$D$252*(1+IF($C$252&lt;=0,0,MAX($C$252*X$5/12,Inputs!$C$8)))+$I$252*(X$5&gt;Inputs!$C$12)*$D$252*(1+Inputs!$C$11*(X$5-Inputs!$C$12)/12)</f>
        <v>10212.5</v>
      </c>
      <c r="Y256" s="42" t="n">
        <f aca="false">$D$252*(1+IF($C$252&lt;=0,0,MAX($C$252*Y$5/12,Inputs!$C$8)))+$I$252*(Y$5&gt;Inputs!$C$12)*$D$252*(1+Inputs!$C$11*(Y$5-Inputs!$C$12)/12)</f>
        <v>10283.75</v>
      </c>
      <c r="Z256" s="42" t="n">
        <f aca="false">$D$252*(1+IF($C$252&lt;=0,0,MAX($C$252*Z$5/12,Inputs!$C$8)))+$I$252*(Z$5&gt;Inputs!$C$12)*$D$252*(1+Inputs!$C$11*(Z$5-Inputs!$C$12)/12)</f>
        <v>10355</v>
      </c>
      <c r="AA256" s="42" t="n">
        <f aca="false">$D$252*(1+IF($C$252&lt;=0,0,MAX($C$252*AA$5/12,Inputs!$C$8)))+$I$252*(AA$5&gt;Inputs!$C$12)*$D$252*(1+Inputs!$C$11*(AA$5-Inputs!$C$12)/12)</f>
        <v>20068.75</v>
      </c>
      <c r="AB256" s="42" t="n">
        <f aca="false">$D$252*(1+IF($C$252&lt;=0,0,MAX($C$252*AB$5/12,Inputs!$C$8)))+$I$252*(AB$5&gt;Inputs!$C$12)*$D$252*(1+Inputs!$C$11*(AB$5-Inputs!$C$12)/12)</f>
        <v>20282.5</v>
      </c>
      <c r="AC256" s="42" t="n">
        <f aca="false">$D$252*(1+IF($C$252&lt;=0,0,MAX($C$252*AC$5/12,Inputs!$C$8)))+$I$252*(AC$5&gt;Inputs!$C$12)*$D$252*(1+Inputs!$C$11*(AC$5-Inputs!$C$12)/12)</f>
        <v>20496.25</v>
      </c>
      <c r="AD256" s="42" t="n">
        <f aca="false">$D$252*(1+IF($C$252&lt;=0,0,MAX($C$252*AD$5/12,Inputs!$C$8)))+$I$252*(AD$5&gt;Inputs!$C$12)*$D$252*(1+Inputs!$C$11*(AD$5-Inputs!$C$12)/12)</f>
        <v>20710</v>
      </c>
      <c r="AE256" s="42" t="n">
        <f aca="false">$D$252*(1+IF($C$252&lt;=0,0,MAX($C$252*AE$5/12,Inputs!$C$8)))+$I$252*(AE$5&gt;Inputs!$C$12)*$D$252*(1+Inputs!$C$11*(AE$5-Inputs!$C$12)/12)</f>
        <v>20923.75</v>
      </c>
      <c r="AF256" s="42" t="n">
        <f aca="false">$D$252*(1+IF($C$252&lt;=0,0,MAX($C$252*AF$5/12,Inputs!$C$8)))+$I$252*(AF$5&gt;Inputs!$C$12)*$D$252*(1+Inputs!$C$11*(AF$5-Inputs!$C$12)/12)</f>
        <v>21137.5</v>
      </c>
      <c r="AG256" s="42" t="n">
        <f aca="false">$D$252*(1+IF($C$252&lt;=0,0,MAX($C$252*AG$5/12,Inputs!$C$8)))+$I$252*(AG$5&gt;Inputs!$C$12)*$D$252*(1+Inputs!$C$11*(AG$5-Inputs!$C$12)/12)</f>
        <v>21351.25</v>
      </c>
      <c r="AH256" s="42" t="n">
        <f aca="false">$D$252*(1+IF($C$252&lt;=0,0,MAX($C$252*AH$5/12,Inputs!$C$8)))+$I$252*(AH$5&gt;Inputs!$C$12)*$D$252*(1+Inputs!$C$11*(AH$5-Inputs!$C$12)/12)</f>
        <v>21565</v>
      </c>
      <c r="AI256" s="42" t="n">
        <f aca="false">$D$252*(1+IF($C$252&lt;=0,0,MAX($C$252*AI$5/12,Inputs!$C$8)))+$I$252*(AI$5&gt;Inputs!$C$12)*$D$252*(1+Inputs!$C$11*(AI$5-Inputs!$C$12)/12)</f>
        <v>21778.75</v>
      </c>
      <c r="AJ256" s="42" t="n">
        <f aca="false">$D$252*(1+IF($C$252&lt;=0,0,MAX($C$252*AJ$5/12,Inputs!$C$8)))+$I$252*(AJ$5&gt;Inputs!$C$12)*$D$252*(1+Inputs!$C$11*(AJ$5-Inputs!$C$12)/12)</f>
        <v>21992.5</v>
      </c>
      <c r="AK256" s="42" t="n">
        <f aca="false">$D$252*(1+IF($C$252&lt;=0,0,MAX($C$252*AK$5/12,Inputs!$C$8)))+$I$252*(AK$5&gt;Inputs!$C$12)*$D$252*(1+Inputs!$C$11*(AK$5-Inputs!$C$12)/12)</f>
        <v>22206.25</v>
      </c>
      <c r="AL256" s="42" t="n">
        <f aca="false">$D$252*(1+IF($C$252&lt;=0,0,MAX($C$252*AL$5/12,Inputs!$C$8)))+$I$252*(AL$5&gt;Inputs!$C$12)*$D$252*(1+Inputs!$C$11*(AL$5-Inputs!$C$12)/12)</f>
        <v>22420</v>
      </c>
    </row>
    <row r="257" customFormat="false" ht="15" hidden="false" customHeight="false" outlineLevel="0" collapsed="false">
      <c r="B257" s="31" t="s">
        <v>187</v>
      </c>
      <c r="N257" s="42" t="n">
        <f aca="false">-($D$252+$J$252)*(N$5=0)+IF(AND(N$5-$K$252&gt;=1,N$5-$K$252&lt;=Inputs!$C$13),INDEX($N$255:$AL$255,1,N$5-$K$252+1)*INDEX($N$256:$AL$256,1,N$5-$K$252+1),0)-$I$252*((N$5=Inputs!$C$12)*$C$254*$D$252+(N$5=Inputs!$C$13)*$D$254*($D$252+Inputs!$C$14))+$I$252*((N$5=Inputs!$C$15+$K$252)*$E$254*$I$254+(N$5=Inputs!$C$16+$K$252)*$F$254*$J$254+(N$5=Inputs!$C$17)*$G$254*$H$252*$H$254)</f>
        <v>-9510</v>
      </c>
      <c r="O257" s="42" t="n">
        <f aca="false">-($D$252+$J$252)*(O$5=0)+IF(AND(O$5-$K$252&gt;=1,O$5-$K$252&lt;=Inputs!$C$13),INDEX($N$255:$AL$255,1,O$5-$K$252+1)*INDEX($N$256:$AL$256,1,O$5-$K$252+1),0)-$I$252*((O$5=Inputs!$C$12)*$C$254*$D$252+(O$5=Inputs!$C$13)*$D$254*($D$252+Inputs!$C$14))+$I$252*((O$5=Inputs!$C$15+$K$252)*$E$254*$I$254+(O$5=Inputs!$C$16+$K$252)*$F$254*$J$254+(O$5=Inputs!$C$17)*$G$254*$H$252*$H$254)</f>
        <v>0</v>
      </c>
      <c r="P257" s="42" t="n">
        <f aca="false">-($D$252+$J$252)*(P$5=0)+IF(AND(P$5-$K$252&gt;=1,P$5-$K$252&lt;=Inputs!$C$13),INDEX($N$255:$AL$255,1,P$5-$K$252+1)*INDEX($N$256:$AL$256,1,P$5-$K$252+1),0)-$I$252*((P$5=Inputs!$C$12)*$C$254*$D$252+(P$5=Inputs!$C$13)*$D$254*($D$252+Inputs!$C$14))+$I$252*((P$5=Inputs!$C$15+$K$252)*$E$254*$I$254+(P$5=Inputs!$C$16+$K$252)*$F$254*$J$254+(P$5=Inputs!$C$17)*$G$254*$H$252*$H$254)</f>
        <v>897.75</v>
      </c>
      <c r="Q257" s="42" t="n">
        <f aca="false">-($D$252+$J$252)*(Q$5=0)+IF(AND(Q$5-$K$252&gt;=1,Q$5-$K$252&lt;=Inputs!$C$13),INDEX($N$255:$AL$255,1,Q$5-$K$252+1)*INDEX($N$256:$AL$256,1,Q$5-$K$252+1),0)-$I$252*((Q$5=Inputs!$C$12)*$C$254*$D$252+(Q$5=Inputs!$C$13)*$D$254*($D$252+Inputs!$C$14))+$I$252*((Q$5=Inputs!$C$15+$K$252)*$E$254*$I$254+(Q$5=Inputs!$C$16+$K$252)*$F$254*$J$254+(Q$5=Inputs!$C$17)*$G$254*$H$252*$H$254)</f>
        <v>748.125</v>
      </c>
      <c r="R257" s="42" t="n">
        <f aca="false">-($D$252+$J$252)*(R$5=0)+IF(AND(R$5-$K$252&gt;=1,R$5-$K$252&lt;=Inputs!$C$13),INDEX($N$255:$AL$255,1,R$5-$K$252+1)*INDEX($N$256:$AL$256,1,R$5-$K$252+1),0)-$I$252*((R$5=Inputs!$C$12)*$C$254*$D$252+(R$5=Inputs!$C$13)*$D$254*($D$252+Inputs!$C$14))+$I$252*((R$5=Inputs!$C$15+$K$252)*$E$254*$I$254+(R$5=Inputs!$C$16+$K$252)*$F$254*$J$254+(R$5=Inputs!$C$17)*$G$254*$H$252*$H$254)</f>
        <v>673.3125</v>
      </c>
      <c r="S257" s="42" t="n">
        <f aca="false">-($D$252+$J$252)*(S$5=0)+IF(AND(S$5-$K$252&gt;=1,S$5-$K$252&lt;=Inputs!$C$13),INDEX($N$255:$AL$255,1,S$5-$K$252+1)*INDEX($N$256:$AL$256,1,S$5-$K$252+1),0)-$I$252*((S$5=Inputs!$C$12)*$C$254*$D$252+(S$5=Inputs!$C$13)*$D$254*($D$252+Inputs!$C$14))+$I$252*((S$5=Inputs!$C$15+$K$252)*$E$254*$I$254+(S$5=Inputs!$C$16+$K$252)*$F$254*$J$254+(S$5=Inputs!$C$17)*$G$254*$H$252*$H$254)</f>
        <v>523.6875</v>
      </c>
      <c r="T257" s="42" t="n">
        <f aca="false">-($D$252+$J$252)*(T$5=0)+IF(AND(T$5-$K$252&gt;=1,T$5-$K$252&lt;=Inputs!$C$13),INDEX($N$255:$AL$255,1,T$5-$K$252+1)*INDEX($N$256:$AL$256,1,T$5-$K$252+1),0)-$I$252*((T$5=Inputs!$C$12)*$C$254*$D$252+(T$5=Inputs!$C$13)*$D$254*($D$252+Inputs!$C$14))+$I$252*((T$5=Inputs!$C$15+$K$252)*$E$254*$I$254+(T$5=Inputs!$C$16+$K$252)*$F$254*$J$254+(T$5=Inputs!$C$17)*$G$254*$H$252*$H$254)</f>
        <v>523.6875</v>
      </c>
      <c r="U257" s="42" t="n">
        <f aca="false">-($D$252+$J$252)*(U$5=0)+IF(AND(U$5-$K$252&gt;=1,U$5-$K$252&lt;=Inputs!$C$13),INDEX($N$255:$AL$255,1,U$5-$K$252+1)*INDEX($N$256:$AL$256,1,U$5-$K$252+1),0)-$I$252*((U$5=Inputs!$C$12)*$C$254*$D$252+(U$5=Inputs!$C$13)*$D$254*($D$252+Inputs!$C$14))+$I$252*((U$5=Inputs!$C$15+$K$252)*$E$254*$I$254+(U$5=Inputs!$C$16+$K$252)*$F$254*$J$254+(U$5=Inputs!$C$17)*$G$254*$H$252*$H$254)</f>
        <v>523.6875</v>
      </c>
      <c r="V257" s="42" t="n">
        <f aca="false">-($D$252+$J$252)*(V$5=0)+IF(AND(V$5-$K$252&gt;=1,V$5-$K$252&lt;=Inputs!$C$13),INDEX($N$255:$AL$255,1,V$5-$K$252+1)*INDEX($N$256:$AL$256,1,V$5-$K$252+1),0)-$I$252*((V$5=Inputs!$C$12)*$C$254*$D$252+(V$5=Inputs!$C$13)*$D$254*($D$252+Inputs!$C$14))+$I$252*((V$5=Inputs!$C$15+$K$252)*$E$254*$I$254+(V$5=Inputs!$C$16+$K$252)*$F$254*$J$254+(V$5=Inputs!$C$17)*$G$254*$H$252*$H$254)</f>
        <v>324.959375</v>
      </c>
      <c r="W257" s="42" t="n">
        <f aca="false">-($D$252+$J$252)*(W$5=0)+IF(AND(W$5-$K$252&gt;=1,W$5-$K$252&lt;=Inputs!$C$13),INDEX($N$255:$AL$255,1,W$5-$K$252+1)*INDEX($N$256:$AL$256,1,W$5-$K$252+1),0)-$I$252*((W$5=Inputs!$C$12)*$C$254*$D$252+(W$5=Inputs!$C$13)*$D$254*($D$252+Inputs!$C$14))+$I$252*((W$5=Inputs!$C$15+$K$252)*$E$254*$I$254+(W$5=Inputs!$C$16+$K$252)*$F$254*$J$254+(W$5=Inputs!$C$17)*$G$254*$H$252*$H$254)</f>
        <v>327.275</v>
      </c>
      <c r="X257" s="42" t="n">
        <f aca="false">-($D$252+$J$252)*(X$5=0)+IF(AND(X$5-$K$252&gt;=1,X$5-$K$252&lt;=Inputs!$C$13),INDEX($N$255:$AL$255,1,X$5-$K$252+1)*INDEX($N$256:$AL$256,1,X$5-$K$252+1),0)-$I$252*((X$5=Inputs!$C$12)*$C$254*$D$252+(X$5=Inputs!$C$13)*$D$254*($D$252+Inputs!$C$14))+$I$252*((X$5=Inputs!$C$15+$K$252)*$E$254*$I$254+(X$5=Inputs!$C$16+$K$252)*$F$254*$J$254+(X$5=Inputs!$C$17)*$G$254*$H$252*$H$254)</f>
        <v>329.590625</v>
      </c>
      <c r="Y257" s="42" t="n">
        <f aca="false">-($D$252+$J$252)*(Y$5=0)+IF(AND(Y$5-$K$252&gt;=1,Y$5-$K$252&lt;=Inputs!$C$13),INDEX($N$255:$AL$255,1,Y$5-$K$252+1)*INDEX($N$256:$AL$256,1,Y$5-$K$252+1),0)-$I$252*((Y$5=Inputs!$C$12)*$C$254*$D$252+(Y$5=Inputs!$C$13)*$D$254*($D$252+Inputs!$C$14))+$I$252*((Y$5=Inputs!$C$15+$K$252)*$E$254*$I$254+(Y$5=Inputs!$C$16+$K$252)*$F$254*$J$254+(Y$5=Inputs!$C$17)*$G$254*$H$252*$H$254)</f>
        <v>280.84375</v>
      </c>
      <c r="Z257" s="42" t="n">
        <f aca="false">-($D$252+$J$252)*(Z$5=0)+IF(AND(Z$5-$K$252&gt;=1,Z$5-$K$252&lt;=Inputs!$C$13),INDEX($N$255:$AL$255,1,Z$5-$K$252+1)*INDEX($N$256:$AL$256,1,Z$5-$K$252+1),0)-$I$252*((Z$5=Inputs!$C$12)*$C$254*$D$252+(Z$5=Inputs!$C$13)*$D$254*($D$252+Inputs!$C$14))+$I$252*((Z$5=Inputs!$C$15+$K$252)*$E$254*$I$254+(Z$5=Inputs!$C$16+$K$252)*$F$254*$J$254+(Z$5=Inputs!$C$17)*$G$254*$H$252*$H$254)</f>
        <v>-3802.196875</v>
      </c>
      <c r="AA257" s="42" t="n">
        <f aca="false">-($D$252+$J$252)*(AA$5=0)+IF(AND(AA$5-$K$252&gt;=1,AA$5-$K$252&lt;=Inputs!$C$13),INDEX($N$255:$AL$255,1,AA$5-$K$252+1)*INDEX($N$256:$AL$256,1,AA$5-$K$252+1),0)-$I$252*((AA$5=Inputs!$C$12)*$C$254*$D$252+(AA$5=Inputs!$C$13)*$D$254*($D$252+Inputs!$C$14))+$I$252*((AA$5=Inputs!$C$15+$K$252)*$E$254*$I$254+(AA$5=Inputs!$C$16+$K$252)*$F$254*$J$254+(AA$5=Inputs!$C$17)*$G$254*$H$252*$H$254)</f>
        <v>284.7625</v>
      </c>
      <c r="AB257" s="42" t="n">
        <f aca="false">-($D$252+$J$252)*(AB$5=0)+IF(AND(AB$5-$K$252&gt;=1,AB$5-$K$252&lt;=Inputs!$C$13),INDEX($N$255:$AL$255,1,AB$5-$K$252+1)*INDEX($N$256:$AL$256,1,AB$5-$K$252+1),0)-$I$252*((AB$5=Inputs!$C$12)*$C$254*$D$252+(AB$5=Inputs!$C$13)*$D$254*($D$252+Inputs!$C$14))+$I$252*((AB$5=Inputs!$C$15+$K$252)*$E$254*$I$254+(AB$5=Inputs!$C$16+$K$252)*$F$254*$J$254+(AB$5=Inputs!$C$17)*$G$254*$H$252*$H$254)</f>
        <v>351.203125</v>
      </c>
      <c r="AC257" s="42" t="n">
        <f aca="false">-($D$252+$J$252)*(AC$5=0)+IF(AND(AC$5-$K$252&gt;=1,AC$5-$K$252&lt;=Inputs!$C$13),INDEX($N$255:$AL$255,1,AC$5-$K$252+1)*INDEX($N$256:$AL$256,1,AC$5-$K$252+1),0)-$I$252*((AC$5=Inputs!$C$12)*$C$254*$D$252+(AC$5=Inputs!$C$13)*$D$254*($D$252+Inputs!$C$14))+$I$252*((AC$5=Inputs!$C$15+$K$252)*$E$254*$I$254+(AC$5=Inputs!$C$16+$K$252)*$F$254*$J$254+(AC$5=Inputs!$C$17)*$G$254*$H$252*$H$254)</f>
        <v>354.94375</v>
      </c>
      <c r="AD257" s="42" t="n">
        <f aca="false">-($D$252+$J$252)*(AD$5=0)+IF(AND(AD$5-$K$252&gt;=1,AD$5-$K$252&lt;=Inputs!$C$13),INDEX($N$255:$AL$255,1,AD$5-$K$252+1)*INDEX($N$256:$AL$256,1,AD$5-$K$252+1),0)-$I$252*((AD$5=Inputs!$C$12)*$C$254*$D$252+(AD$5=Inputs!$C$13)*$D$254*($D$252+Inputs!$C$14))+$I$252*((AD$5=Inputs!$C$15+$K$252)*$E$254*$I$254+(AD$5=Inputs!$C$16+$K$252)*$F$254*$J$254+(AD$5=Inputs!$C$17)*$G$254*$H$252*$H$254)</f>
        <v>358.684375000001</v>
      </c>
      <c r="AE257" s="42" t="n">
        <f aca="false">-($D$252+$J$252)*(AE$5=0)+IF(AND(AE$5-$K$252&gt;=1,AE$5-$K$252&lt;=Inputs!$C$13),INDEX($N$255:$AL$255,1,AE$5-$K$252+1)*INDEX($N$256:$AL$256,1,AE$5-$K$252+1),0)-$I$252*((AE$5=Inputs!$C$12)*$C$254*$D$252+(AE$5=Inputs!$C$13)*$D$254*($D$252+Inputs!$C$14))+$I$252*((AE$5=Inputs!$C$15+$K$252)*$E$254*$I$254+(AE$5=Inputs!$C$16+$K$252)*$F$254*$J$254+(AE$5=Inputs!$C$17)*$G$254*$H$252*$H$254)</f>
        <v>362.425</v>
      </c>
      <c r="AF257" s="42" t="n">
        <f aca="false">-($D$252+$J$252)*(AF$5=0)+IF(AND(AF$5-$K$252&gt;=1,AF$5-$K$252&lt;=Inputs!$C$13),INDEX($N$255:$AL$255,1,AF$5-$K$252+1)*INDEX($N$256:$AL$256,1,AF$5-$K$252+1),0)-$I$252*((AF$5=Inputs!$C$12)*$C$254*$D$252+(AF$5=Inputs!$C$13)*$D$254*($D$252+Inputs!$C$14))+$I$252*((AF$5=Inputs!$C$15+$K$252)*$E$254*$I$254+(AF$5=Inputs!$C$16+$K$252)*$F$254*$J$254+(AF$5=Inputs!$C$17)*$G$254*$H$252*$H$254)</f>
        <v>366.165625</v>
      </c>
      <c r="AG257" s="42" t="n">
        <f aca="false">-($D$252+$J$252)*(AG$5=0)+IF(AND(AG$5-$K$252&gt;=1,AG$5-$K$252&lt;=Inputs!$C$13),INDEX($N$255:$AL$255,1,AG$5-$K$252+1)*INDEX($N$256:$AL$256,1,AG$5-$K$252+1),0)-$I$252*((AG$5=Inputs!$C$12)*$C$254*$D$252+(AG$5=Inputs!$C$13)*$D$254*($D$252+Inputs!$C$14))+$I$252*((AG$5=Inputs!$C$15+$K$252)*$E$254*$I$254+(AG$5=Inputs!$C$16+$K$252)*$F$254*$J$254+(AG$5=Inputs!$C$17)*$G$254*$H$252*$H$254)</f>
        <v>369.90625</v>
      </c>
      <c r="AH257" s="42" t="n">
        <f aca="false">-($D$252+$J$252)*(AH$5=0)+IF(AND(AH$5-$K$252&gt;=1,AH$5-$K$252&lt;=Inputs!$C$13),INDEX($N$255:$AL$255,1,AH$5-$K$252+1)*INDEX($N$256:$AL$256,1,AH$5-$K$252+1),0)-$I$252*((AH$5=Inputs!$C$12)*$C$254*$D$252+(AH$5=Inputs!$C$13)*$D$254*($D$252+Inputs!$C$14))+$I$252*((AH$5=Inputs!$C$15+$K$252)*$E$254*$I$254+(AH$5=Inputs!$C$16+$K$252)*$F$254*$J$254+(AH$5=Inputs!$C$17)*$G$254*$H$252*$H$254)</f>
        <v>266.890625000001</v>
      </c>
      <c r="AI257" s="42" t="n">
        <f aca="false">-($D$252+$J$252)*(AI$5=0)+IF(AND(AI$5-$K$252&gt;=1,AI$5-$K$252&lt;=Inputs!$C$13),INDEX($N$255:$AL$255,1,AI$5-$K$252+1)*INDEX($N$256:$AL$256,1,AI$5-$K$252+1),0)-$I$252*((AI$5=Inputs!$C$12)*$C$254*$D$252+(AI$5=Inputs!$C$13)*$D$254*($D$252+Inputs!$C$14))+$I$252*((AI$5=Inputs!$C$15+$K$252)*$E$254*$I$254+(AI$5=Inputs!$C$16+$K$252)*$F$254*$J$254+(AI$5=Inputs!$C$17)*$G$254*$H$252*$H$254)</f>
        <v>269.562499999999</v>
      </c>
      <c r="AJ257" s="42" t="n">
        <f aca="false">-($D$252+$J$252)*(AJ$5=0)+IF(AND(AJ$5-$K$252&gt;=1,AJ$5-$K$252&lt;=Inputs!$C$13),INDEX($N$255:$AL$255,1,AJ$5-$K$252+1)*INDEX($N$256:$AL$256,1,AJ$5-$K$252+1),0)-$I$252*((AJ$5=Inputs!$C$12)*$C$254*$D$252+(AJ$5=Inputs!$C$13)*$D$254*($D$252+Inputs!$C$14))+$I$252*((AJ$5=Inputs!$C$15+$K$252)*$E$254*$I$254+(AJ$5=Inputs!$C$16+$K$252)*$F$254*$J$254+(AJ$5=Inputs!$C$17)*$G$254*$H$252*$H$254)</f>
        <v>272.234374999999</v>
      </c>
      <c r="AK257" s="42" t="n">
        <f aca="false">-($D$252+$J$252)*(AK$5=0)+IF(AND(AK$5-$K$252&gt;=1,AK$5-$K$252&lt;=Inputs!$C$13),INDEX($N$255:$AL$255,1,AK$5-$K$252+1)*INDEX($N$256:$AL$256,1,AK$5-$K$252+1),0)-$I$252*((AK$5=Inputs!$C$12)*$C$254*$D$252+(AK$5=Inputs!$C$13)*$D$254*($D$252+Inputs!$C$14))+$I$252*((AK$5=Inputs!$C$15+$K$252)*$E$254*$I$254+(AK$5=Inputs!$C$16+$K$252)*$F$254*$J$254+(AK$5=Inputs!$C$17)*$G$254*$H$252*$H$254)</f>
        <v>274.906250000001</v>
      </c>
      <c r="AL257" s="42" t="n">
        <f aca="false">-($D$252+$J$252)*(AL$5=0)+IF(AND(AL$5-$K$252&gt;=1,AL$5-$K$252&lt;=Inputs!$C$13),INDEX($N$255:$AL$255,1,AL$5-$K$252+1)*INDEX($N$256:$AL$256,1,AL$5-$K$252+1),0)-$I$252*((AL$5=Inputs!$C$12)*$C$254*$D$252+(AL$5=Inputs!$C$13)*$D$254*($D$252+Inputs!$C$14))+$I$252*((AL$5=Inputs!$C$15+$K$252)*$E$254*$I$254+(AL$5=Inputs!$C$16+$K$252)*$F$254*$J$254+(AL$5=Inputs!$C$17)*$G$254*$H$252*$H$254)</f>
        <v>-2547.421875</v>
      </c>
      <c r="AM257" s="42" t="n">
        <f aca="false">-($D$252+$J$252)*(AM$5=0)+IF(AND(AM$5-$K$252&gt;=1,AM$5-$K$252&lt;=Inputs!$C$13),INDEX($N$255:$AL$255,1,AM$5-$K$252+1)*INDEX($N$256:$AL$256,1,AM$5-$K$252+1),0)-$I$252*((AM$5=Inputs!$C$12)*$C$254*$D$252+(AM$5=Inputs!$C$13)*$D$254*($D$252+Inputs!$C$14))+$I$252*((AM$5=Inputs!$C$15+$K$252)*$E$254*$I$254+(AM$5=Inputs!$C$16+$K$252)*$F$254*$J$254+(AM$5=Inputs!$C$17)*$G$254*$H$252*$H$254)</f>
        <v>280.249999999999</v>
      </c>
      <c r="AN257" s="42" t="n">
        <f aca="false">-($D$252+$J$252)*(AN$5=0)+IF(AND(AN$5-$K$252&gt;=1,AN$5-$K$252&lt;=Inputs!$C$13),INDEX($N$255:$AL$255,1,AN$5-$K$252+1)*INDEX($N$256:$AL$256,1,AN$5-$K$252+1),0)-$I$252*((AN$5=Inputs!$C$12)*$C$254*$D$252+(AN$5=Inputs!$C$13)*$D$254*($D$252+Inputs!$C$14))+$I$252*((AN$5=Inputs!$C$15+$K$252)*$E$254*$I$254+(AN$5=Inputs!$C$16+$K$252)*$F$254*$J$254+(AN$5=Inputs!$C$17)*$G$254*$H$252*$H$254)</f>
        <v>0</v>
      </c>
      <c r="AO257" s="42" t="n">
        <f aca="false">-($D$252+$J$252)*(AO$5=0)+IF(AND(AO$5-$K$252&gt;=1,AO$5-$K$252&lt;=Inputs!$C$13),INDEX($N$255:$AL$255,1,AO$5-$K$252+1)*INDEX($N$256:$AL$256,1,AO$5-$K$252+1),0)-$I$252*((AO$5=Inputs!$C$12)*$C$254*$D$252+(AO$5=Inputs!$C$13)*$D$254*($D$252+Inputs!$C$14))+$I$252*((AO$5=Inputs!$C$15+$K$252)*$E$254*$I$254+(AO$5=Inputs!$C$16+$K$252)*$F$254*$J$254+(AO$5=Inputs!$C$17)*$G$254*$H$252*$H$254)</f>
        <v>0</v>
      </c>
      <c r="AP257" s="42" t="n">
        <f aca="false">-($D$252+$J$252)*(AP$5=0)+IF(AND(AP$5-$K$252&gt;=1,AP$5-$K$252&lt;=Inputs!$C$13),INDEX($N$255:$AL$255,1,AP$5-$K$252+1)*INDEX($N$256:$AL$256,1,AP$5-$K$252+1),0)-$I$252*((AP$5=Inputs!$C$12)*$C$254*$D$252+(AP$5=Inputs!$C$13)*$D$254*($D$252+Inputs!$C$14))+$I$252*((AP$5=Inputs!$C$15+$K$252)*$E$254*$I$254+(AP$5=Inputs!$C$16+$K$252)*$F$254*$J$254+(AP$5=Inputs!$C$17)*$G$254*$H$252*$H$254)</f>
        <v>5218.3125</v>
      </c>
      <c r="AQ257" s="42" t="n">
        <f aca="false">-($D$252+$J$252)*(AQ$5=0)+IF(AND(AQ$5-$K$252&gt;=1,AQ$5-$K$252&lt;=Inputs!$C$13),INDEX($N$255:$AL$255,1,AQ$5-$K$252+1)*INDEX($N$256:$AL$256,1,AQ$5-$K$252+1),0)-$I$252*((AQ$5=Inputs!$C$12)*$C$254*$D$252+(AQ$5=Inputs!$C$13)*$D$254*($D$252+Inputs!$C$14))+$I$252*((AQ$5=Inputs!$C$15+$K$252)*$E$254*$I$254+(AQ$5=Inputs!$C$16+$K$252)*$F$254*$J$254+(AQ$5=Inputs!$C$17)*$G$254*$H$252*$H$254)</f>
        <v>0</v>
      </c>
      <c r="AR257" s="42" t="n">
        <f aca="false">-($D$252+$J$252)*(AR$5=0)+IF(AND(AR$5-$K$252&gt;=1,AR$5-$K$252&lt;=Inputs!$C$13),INDEX($N$255:$AL$255,1,AR$5-$K$252+1)*INDEX($N$256:$AL$256,1,AR$5-$K$252+1),0)-$I$252*((AR$5=Inputs!$C$12)*$C$254*$D$252+(AR$5=Inputs!$C$13)*$D$254*($D$252+Inputs!$C$14))+$I$252*((AR$5=Inputs!$C$15+$K$252)*$E$254*$I$254+(AR$5=Inputs!$C$16+$K$252)*$F$254*$J$254+(AR$5=Inputs!$C$17)*$G$254*$H$252*$H$254)</f>
        <v>0</v>
      </c>
      <c r="AS257" s="42" t="n">
        <f aca="false">-($D$252+$J$252)*(AS$5=0)+IF(AND(AS$5-$K$252&gt;=1,AS$5-$K$252&lt;=Inputs!$C$13),INDEX($N$255:$AL$255,1,AS$5-$K$252+1)*INDEX($N$256:$AL$256,1,AS$5-$K$252+1),0)-$I$252*((AS$5=Inputs!$C$12)*$C$254*$D$252+(AS$5=Inputs!$C$13)*$D$254*($D$252+Inputs!$C$14))+$I$252*((AS$5=Inputs!$C$15+$K$252)*$E$254*$I$254+(AS$5=Inputs!$C$16+$K$252)*$F$254*$J$254+(AS$5=Inputs!$C$17)*$G$254*$H$252*$H$254)</f>
        <v>717.15</v>
      </c>
      <c r="AT257" s="42" t="n">
        <f aca="false">-($D$252+$J$252)*(AT$5=0)+IF(AND(AT$5-$K$252&gt;=1,AT$5-$K$252&lt;=Inputs!$C$13),INDEX($N$255:$AL$255,1,AT$5-$K$252+1)*INDEX($N$256:$AL$256,1,AT$5-$K$252+1),0)-$I$252*((AT$5=Inputs!$C$12)*$C$254*$D$252+(AT$5=Inputs!$C$13)*$D$254*($D$252+Inputs!$C$14))+$I$252*((AT$5=Inputs!$C$15+$K$252)*$E$254*$I$254+(AT$5=Inputs!$C$16+$K$252)*$F$254*$J$254+(AT$5=Inputs!$C$17)*$G$254*$H$252*$H$254)</f>
        <v>0</v>
      </c>
      <c r="AU257" s="42" t="n">
        <f aca="false">-($D$252+$J$252)*(AU$5=0)+IF(AND(AU$5-$K$252&gt;=1,AU$5-$K$252&lt;=Inputs!$C$13),INDEX($N$255:$AL$255,1,AU$5-$K$252+1)*INDEX($N$256:$AL$256,1,AU$5-$K$252+1),0)-$I$252*((AU$5=Inputs!$C$12)*$C$254*$D$252+(AU$5=Inputs!$C$13)*$D$254*($D$252+Inputs!$C$14))+$I$252*((AU$5=Inputs!$C$15+$K$252)*$E$254*$I$254+(AU$5=Inputs!$C$16+$K$252)*$F$254*$J$254+(AU$5=Inputs!$C$17)*$G$254*$H$252*$H$254)</f>
        <v>0</v>
      </c>
      <c r="AV257" s="42" t="n">
        <f aca="false">-($D$252+$J$252)*(AV$5=0)+IF(AND(AV$5-$K$252&gt;=1,AV$5-$K$252&lt;=Inputs!$C$13),INDEX($N$255:$AL$255,1,AV$5-$K$252+1)*INDEX($N$256:$AL$256,1,AV$5-$K$252+1),0)-$I$252*((AV$5=Inputs!$C$12)*$C$254*$D$252+(AV$5=Inputs!$C$13)*$D$254*($D$252+Inputs!$C$14))+$I$252*((AV$5=Inputs!$C$15+$K$252)*$E$254*$I$254+(AV$5=Inputs!$C$16+$K$252)*$F$254*$J$254+(AV$5=Inputs!$C$17)*$G$254*$H$252*$H$254)</f>
        <v>0</v>
      </c>
      <c r="AW257" s="42" t="n">
        <f aca="false">-($D$252+$J$252)*(AW$5=0)+IF(AND(AW$5-$K$252&gt;=1,AW$5-$K$252&lt;=Inputs!$C$13),INDEX($N$255:$AL$255,1,AW$5-$K$252+1)*INDEX($N$256:$AL$256,1,AW$5-$K$252+1),0)-$I$252*((AW$5=Inputs!$C$12)*$C$254*$D$252+(AW$5=Inputs!$C$13)*$D$254*($D$252+Inputs!$C$14))+$I$252*((AW$5=Inputs!$C$15+$K$252)*$E$254*$I$254+(AW$5=Inputs!$C$16+$K$252)*$F$254*$J$254+(AW$5=Inputs!$C$17)*$G$254*$H$252*$H$254)</f>
        <v>0</v>
      </c>
      <c r="AX257" s="42" t="n">
        <f aca="false">-($D$252+$J$252)*(AX$5=0)+IF(AND(AX$5-$K$252&gt;=1,AX$5-$K$252&lt;=Inputs!$C$13),INDEX($N$255:$AL$255,1,AX$5-$K$252+1)*INDEX($N$256:$AL$256,1,AX$5-$K$252+1),0)-$I$252*((AX$5=Inputs!$C$12)*$C$254*$D$252+(AX$5=Inputs!$C$13)*$D$254*($D$252+Inputs!$C$14))+$I$252*((AX$5=Inputs!$C$15+$K$252)*$E$254*$I$254+(AX$5=Inputs!$C$16+$K$252)*$F$254*$J$254+(AX$5=Inputs!$C$17)*$G$254*$H$252*$H$254)</f>
        <v>1454.4</v>
      </c>
      <c r="AY257" s="42" t="n">
        <f aca="false">-($D$252+$J$252)*(AY$5=0)+IF(AND(AY$5-$K$252&gt;=1,AY$5-$K$252&lt;=Inputs!$C$13),INDEX($N$255:$AL$255,1,AY$5-$K$252+1)*INDEX($N$256:$AL$256,1,AY$5-$K$252+1),0)-$I$252*((AY$5=Inputs!$C$12)*$C$254*$D$252+(AY$5=Inputs!$C$13)*$D$254*($D$252+Inputs!$C$14))+$I$252*((AY$5=Inputs!$C$15+$K$252)*$E$254*$I$254+(AY$5=Inputs!$C$16+$K$252)*$F$254*$J$254+(AY$5=Inputs!$C$17)*$G$254*$H$252*$H$254)</f>
        <v>0</v>
      </c>
    </row>
    <row r="259" customFormat="false" ht="15" hidden="false" customHeight="false" outlineLevel="0" collapsed="false">
      <c r="B259" s="7" t="s">
        <v>269</v>
      </c>
      <c r="C259" s="8"/>
      <c r="D259" s="8"/>
      <c r="E259" s="8"/>
      <c r="F259" s="8"/>
      <c r="G259" s="8"/>
      <c r="H259" s="8"/>
      <c r="I259" s="8"/>
      <c r="J259" s="8"/>
      <c r="K259" s="8"/>
      <c r="L259" s="8"/>
    </row>
    <row r="260" customFormat="false" ht="30" hidden="false" customHeight="true" outlineLevel="0" collapsed="false">
      <c r="B260" s="37"/>
      <c r="C260" s="38" t="s">
        <v>169</v>
      </c>
      <c r="D260" s="38" t="s">
        <v>170</v>
      </c>
      <c r="E260" s="38" t="s">
        <v>171</v>
      </c>
      <c r="F260" s="38" t="s">
        <v>43</v>
      </c>
      <c r="G260" s="38" t="s">
        <v>44</v>
      </c>
      <c r="H260" s="38" t="s">
        <v>45</v>
      </c>
      <c r="I260" s="38" t="s">
        <v>172</v>
      </c>
      <c r="J260" s="38" t="s">
        <v>90</v>
      </c>
      <c r="K260" s="38" t="s">
        <v>89</v>
      </c>
      <c r="L260" s="38" t="s">
        <v>173</v>
      </c>
    </row>
    <row r="261" customFormat="false" ht="15" hidden="false" customHeight="false" outlineLevel="0" collapsed="false">
      <c r="B261" s="39" t="s">
        <v>174</v>
      </c>
      <c r="C261" s="26" t="n">
        <f aca="false">Inputs!$F$42*Inputs!$E$60</f>
        <v>0.13</v>
      </c>
      <c r="D261" s="30" t="n">
        <f aca="false">Inputs!$E$42</f>
        <v>1600</v>
      </c>
      <c r="E261" s="26" t="n">
        <f aca="false">IF(Inputs!$G$42=1,Inputs!$F$27,MIN(1,MAX(0,INDEX(Inputs!$F$23:$F$27,MATCH(Inputs!$C$42,Inputs!$B$23:$B$27,0))+INDEX(Inputs!$C$48:$C$51,MATCH(Inputs!$D$60,Inputs!$B$48:$B$51,0)))))</f>
        <v>0.65</v>
      </c>
      <c r="F261" s="25" t="n">
        <f aca="false">IF(Inputs!$G$42=1,Inputs!$G$27,INDEX(Inputs!$G$23:$G$27,MATCH(Inputs!$C$42,Inputs!$B$23:$B$27,0)))</f>
        <v>0.4</v>
      </c>
      <c r="G261" s="25" t="n">
        <f aca="false">IF(Inputs!$G$42=1,Inputs!$H$27,INDEX(Inputs!$H$23:$H$27,MATCH(Inputs!$C$42,Inputs!$B$23:$B$27,0)))*INDEX(Inputs!$D$48:$D$51,MATCH(Inputs!$D$60,Inputs!$B$48:$B$51,0))</f>
        <v>0.125</v>
      </c>
      <c r="H261" s="25" t="n">
        <f aca="false">MAX(0,IF(Inputs!$G$42=1,Inputs!$I$27,INDEX(Inputs!$I$23:$I$27,MATCH(Inputs!$C$42,Inputs!$B$23:$B$27,0)))+INDEX(Inputs!$E$48:$E$51,MATCH(Inputs!$D$60,Inputs!$B$48:$B$51,0)))</f>
        <v>0.4</v>
      </c>
      <c r="I261" s="22" t="n">
        <f aca="false">IF(Inputs!$G$42=1,0,INDEX(Inputs!$J$23:$J$27,MATCH(Inputs!$C$42,Inputs!$B$23:$B$27,0)))</f>
        <v>1</v>
      </c>
      <c r="J261" s="23" t="n">
        <f aca="false">Inputs!$G$60</f>
        <v>10</v>
      </c>
      <c r="K261" s="22" t="n">
        <f aca="false">Inputs!$F$60</f>
        <v>1</v>
      </c>
      <c r="L261" s="22" t="n">
        <f aca="false">Inputs!$C$60</f>
        <v>1</v>
      </c>
    </row>
    <row r="262" customFormat="false" ht="30" hidden="false" customHeight="true" outlineLevel="0" collapsed="false">
      <c r="B262" s="37"/>
      <c r="C262" s="38" t="s">
        <v>175</v>
      </c>
      <c r="D262" s="38" t="s">
        <v>176</v>
      </c>
      <c r="E262" s="38" t="s">
        <v>177</v>
      </c>
      <c r="F262" s="38" t="s">
        <v>178</v>
      </c>
      <c r="G262" s="38" t="s">
        <v>112</v>
      </c>
      <c r="H262" s="38" t="s">
        <v>179</v>
      </c>
      <c r="I262" s="38" t="s">
        <v>180</v>
      </c>
      <c r="J262" s="38" t="s">
        <v>181</v>
      </c>
      <c r="K262" s="38" t="s">
        <v>182</v>
      </c>
      <c r="L262" s="38" t="s">
        <v>183</v>
      </c>
    </row>
    <row r="263" customFormat="false" ht="15" hidden="false" customHeight="false" outlineLevel="0" collapsed="false">
      <c r="B263" s="39" t="s">
        <v>184</v>
      </c>
      <c r="C263" s="40" t="n">
        <f aca="false">1-$E$261*CHOOSE($L$261,INDEX(Timing!$C$7:$AA$7,1,Inputs!$C$12+1),INDEX(Timing!$C$8:$AA$8,1,Inputs!$C$12+1))</f>
        <v>0.506</v>
      </c>
      <c r="D263" s="40" t="n">
        <f aca="false">1-$E$261*CHOOSE($L$261,INDEX(Timing!$C$7:$AA$7,1,Inputs!$C$13+1),INDEX(Timing!$C$8:$AA$8,1,Inputs!$C$13+1))</f>
        <v>0.35</v>
      </c>
      <c r="E263" s="40" t="n">
        <f aca="false">$I$261*$D$263*$F$261</f>
        <v>0.14</v>
      </c>
      <c r="F263" s="40" t="n">
        <f aca="false">$I$261*($D$263-$E$263)*$G$261</f>
        <v>0.02625</v>
      </c>
      <c r="G263" s="40" t="n">
        <f aca="false">$I$261*($D$263-$E$263-$F$263)</f>
        <v>0.18375</v>
      </c>
      <c r="H263" s="23" t="n">
        <f aca="false">$I$261*(3*$D$261+Inputs!$C$14)</f>
        <v>6600</v>
      </c>
      <c r="I263" s="23" t="n">
        <f aca="false">$I$261*($D$261*(1+IF($C$261&lt;=0,0,MAX($C$261*Inputs!$C$15/12,Inputs!$C$8)))+$D$261*(1+Inputs!$C$11*(Inputs!$C$15-Inputs!$C$12)/12)+$D$261*(1+Inputs!$C$11*(Inputs!$C$15-Inputs!$C$13)/12)+Inputs!$C$14)</f>
        <v>7500</v>
      </c>
      <c r="J263" s="23" t="n">
        <f aca="false">$I$261*($D$261*(1+IF($C$261&lt;=0,0,MAX($C$261*Inputs!$C$16/12,Inputs!$C$8)))+$D$261*(1+Inputs!$C$11*(Inputs!$C$16-Inputs!$C$12)/12)+$D$261*(1+Inputs!$C$11*(Inputs!$C$16-Inputs!$C$13)/12)+Inputs!$C$14)</f>
        <v>7696</v>
      </c>
      <c r="K263" s="40" t="n">
        <f aca="false">IRR($N$266:$AY$266,0.005)</f>
        <v>-0.0118107783627912</v>
      </c>
      <c r="L263" s="41" t="n">
        <f aca="false">(1+$K$263)^12-1</f>
        <v>-0.13287571024188</v>
      </c>
    </row>
    <row r="264" customFormat="false" ht="15" hidden="false" customHeight="false" outlineLevel="0" collapsed="false">
      <c r="B264" s="9" t="s">
        <v>185</v>
      </c>
      <c r="N264" s="40" t="n">
        <f aca="false">0</f>
        <v>0</v>
      </c>
      <c r="O264" s="40" t="n">
        <f aca="false">$E$261*(CHOOSE($L$261,Timing!D$7,Timing!D$8)-CHOOSE($L$261,Timing!C$7,Timing!C$8))</f>
        <v>0.078</v>
      </c>
      <c r="P264" s="40" t="n">
        <f aca="false">$E$261*(CHOOSE($L$261,Timing!E$7,Timing!E$8)-CHOOSE($L$261,Timing!D$7,Timing!D$8))</f>
        <v>0.065</v>
      </c>
      <c r="Q264" s="40" t="n">
        <f aca="false">$E$261*(CHOOSE($L$261,Timing!F$7,Timing!F$8)-CHOOSE($L$261,Timing!E$7,Timing!E$8))</f>
        <v>0.0585</v>
      </c>
      <c r="R264" s="40" t="n">
        <f aca="false">$E$261*(CHOOSE($L$261,Timing!G$7,Timing!G$8)-CHOOSE($L$261,Timing!F$7,Timing!F$8))</f>
        <v>0.0455</v>
      </c>
      <c r="S264" s="40" t="n">
        <f aca="false">$E$261*(CHOOSE($L$261,Timing!H$7,Timing!H$8)-CHOOSE($L$261,Timing!G$7,Timing!G$8))</f>
        <v>0.0455</v>
      </c>
      <c r="T264" s="40" t="n">
        <f aca="false">$E$261*(CHOOSE($L$261,Timing!I$7,Timing!I$8)-CHOOSE($L$261,Timing!H$7,Timing!H$8))</f>
        <v>0.0455</v>
      </c>
      <c r="U264" s="40" t="n">
        <f aca="false">$E$261*(CHOOSE($L$261,Timing!J$7,Timing!J$8)-CHOOSE($L$261,Timing!I$7,Timing!I$8))</f>
        <v>0.0281666666666667</v>
      </c>
      <c r="V264" s="40" t="n">
        <f aca="false">$E$261*(CHOOSE($L$261,Timing!K$7,Timing!K$8)-CHOOSE($L$261,Timing!J$7,Timing!J$8))</f>
        <v>0.0281666666666667</v>
      </c>
      <c r="W264" s="40" t="n">
        <f aca="false">$E$261*(CHOOSE($L$261,Timing!L$7,Timing!L$8)-CHOOSE($L$261,Timing!K$7,Timing!K$8))</f>
        <v>0.0281666666666667</v>
      </c>
      <c r="X264" s="40" t="n">
        <f aca="false">$E$261*(CHOOSE($L$261,Timing!M$7,Timing!M$8)-CHOOSE($L$261,Timing!L$7,Timing!L$8))</f>
        <v>0.0238333333333333</v>
      </c>
      <c r="Y264" s="40" t="n">
        <f aca="false">$E$261*(CHOOSE($L$261,Timing!N$7,Timing!N$8)-CHOOSE($L$261,Timing!M$7,Timing!M$8))</f>
        <v>0.0238333333333334</v>
      </c>
      <c r="Z264" s="40" t="n">
        <f aca="false">$E$261*(CHOOSE($L$261,Timing!O$7,Timing!O$8)-CHOOSE($L$261,Timing!N$7,Timing!N$8))</f>
        <v>0.0238333333333333</v>
      </c>
      <c r="AA264" s="40" t="n">
        <f aca="false">$E$261*(CHOOSE($L$261,Timing!P$7,Timing!P$8)-CHOOSE($L$261,Timing!O$7,Timing!O$8))</f>
        <v>0.0151666666666667</v>
      </c>
      <c r="AB264" s="40" t="n">
        <f aca="false">$E$261*(CHOOSE($L$261,Timing!Q$7,Timing!Q$8)-CHOOSE($L$261,Timing!P$7,Timing!P$8))</f>
        <v>0.0151666666666667</v>
      </c>
      <c r="AC264" s="40" t="n">
        <f aca="false">$E$261*(CHOOSE($L$261,Timing!R$7,Timing!R$8)-CHOOSE($L$261,Timing!Q$7,Timing!Q$8))</f>
        <v>0.0151666666666667</v>
      </c>
      <c r="AD264" s="40" t="n">
        <f aca="false">$E$261*(CHOOSE($L$261,Timing!S$7,Timing!S$8)-CHOOSE($L$261,Timing!R$7,Timing!R$8))</f>
        <v>0.0151666666666667</v>
      </c>
      <c r="AE264" s="40" t="n">
        <f aca="false">$E$261*(CHOOSE($L$261,Timing!T$7,Timing!T$8)-CHOOSE($L$261,Timing!S$7,Timing!S$8))</f>
        <v>0.0151666666666667</v>
      </c>
      <c r="AF264" s="40" t="n">
        <f aca="false">$E$261*(CHOOSE($L$261,Timing!U$7,Timing!U$8)-CHOOSE($L$261,Timing!T$7,Timing!T$8))</f>
        <v>0.0151666666666667</v>
      </c>
      <c r="AG264" s="40" t="n">
        <f aca="false">$E$261*(CHOOSE($L$261,Timing!V$7,Timing!V$8)-CHOOSE($L$261,Timing!U$7,Timing!U$8))</f>
        <v>0.0108333333333334</v>
      </c>
      <c r="AH264" s="40" t="n">
        <f aca="false">$E$261*(CHOOSE($L$261,Timing!W$7,Timing!W$8)-CHOOSE($L$261,Timing!V$7,Timing!V$8))</f>
        <v>0.0108333333333333</v>
      </c>
      <c r="AI264" s="40" t="n">
        <f aca="false">$E$261*(CHOOSE($L$261,Timing!X$7,Timing!X$8)-CHOOSE($L$261,Timing!W$7,Timing!W$8))</f>
        <v>0.0108333333333333</v>
      </c>
      <c r="AJ264" s="40" t="n">
        <f aca="false">$E$261*(CHOOSE($L$261,Timing!Y$7,Timing!Y$8)-CHOOSE($L$261,Timing!X$7,Timing!X$8))</f>
        <v>0.0108333333333334</v>
      </c>
      <c r="AK264" s="40" t="n">
        <f aca="false">$E$261*(CHOOSE($L$261,Timing!Z$7,Timing!Z$8)-CHOOSE($L$261,Timing!Y$7,Timing!Y$8))</f>
        <v>0.0108333333333334</v>
      </c>
      <c r="AL264" s="40" t="n">
        <f aca="false">$E$261*(CHOOSE($L$261,Timing!AA$7,Timing!AA$8)-CHOOSE($L$261,Timing!Z$7,Timing!Z$8))</f>
        <v>0.0108333333333333</v>
      </c>
    </row>
    <row r="265" customFormat="false" ht="15" hidden="false" customHeight="false" outlineLevel="0" collapsed="false">
      <c r="B265" s="9" t="s">
        <v>186</v>
      </c>
      <c r="N265" s="42" t="n">
        <f aca="false">0</f>
        <v>0</v>
      </c>
      <c r="O265" s="42" t="n">
        <f aca="false">$D$261*(1+IF($C$261&lt;=0,0,MAX($C$261*O$5/12,Inputs!$C$8)))+$I$261*(O$5&gt;Inputs!$C$12)*$D$261*(1+Inputs!$C$11*(O$5-Inputs!$C$12)/12)</f>
        <v>1680</v>
      </c>
      <c r="P265" s="42" t="n">
        <f aca="false">$D$261*(1+IF($C$261&lt;=0,0,MAX($C$261*P$5/12,Inputs!$C$8)))+$I$261*(P$5&gt;Inputs!$C$12)*$D$261*(1+Inputs!$C$11*(P$5-Inputs!$C$12)/12)</f>
        <v>1680</v>
      </c>
      <c r="Q265" s="42" t="n">
        <f aca="false">$D$261*(1+IF($C$261&lt;=0,0,MAX($C$261*Q$5/12,Inputs!$C$8)))+$I$261*(Q$5&gt;Inputs!$C$12)*$D$261*(1+Inputs!$C$11*(Q$5-Inputs!$C$12)/12)</f>
        <v>1680</v>
      </c>
      <c r="R265" s="42" t="n">
        <f aca="false">$D$261*(1+IF($C$261&lt;=0,0,MAX($C$261*R$5/12,Inputs!$C$8)))+$I$261*(R$5&gt;Inputs!$C$12)*$D$261*(1+Inputs!$C$11*(R$5-Inputs!$C$12)/12)</f>
        <v>1680</v>
      </c>
      <c r="S265" s="42" t="n">
        <f aca="false">$D$261*(1+IF($C$261&lt;=0,0,MAX($C$261*S$5/12,Inputs!$C$8)))+$I$261*(S$5&gt;Inputs!$C$12)*$D$261*(1+Inputs!$C$11*(S$5-Inputs!$C$12)/12)</f>
        <v>1686.66666666667</v>
      </c>
      <c r="T265" s="42" t="n">
        <f aca="false">$D$261*(1+IF($C$261&lt;=0,0,MAX($C$261*T$5/12,Inputs!$C$8)))+$I$261*(T$5&gt;Inputs!$C$12)*$D$261*(1+Inputs!$C$11*(T$5-Inputs!$C$12)/12)</f>
        <v>1704</v>
      </c>
      <c r="U265" s="42" t="n">
        <f aca="false">$D$261*(1+IF($C$261&lt;=0,0,MAX($C$261*U$5/12,Inputs!$C$8)))+$I$261*(U$5&gt;Inputs!$C$12)*$D$261*(1+Inputs!$C$11*(U$5-Inputs!$C$12)/12)</f>
        <v>1721.33333333333</v>
      </c>
      <c r="V265" s="42" t="n">
        <f aca="false">$D$261*(1+IF($C$261&lt;=0,0,MAX($C$261*V$5/12,Inputs!$C$8)))+$I$261*(V$5&gt;Inputs!$C$12)*$D$261*(1+Inputs!$C$11*(V$5-Inputs!$C$12)/12)</f>
        <v>1738.66666666667</v>
      </c>
      <c r="W265" s="42" t="n">
        <f aca="false">$D$261*(1+IF($C$261&lt;=0,0,MAX($C$261*W$5/12,Inputs!$C$8)))+$I$261*(W$5&gt;Inputs!$C$12)*$D$261*(1+Inputs!$C$11*(W$5-Inputs!$C$12)/12)</f>
        <v>1756</v>
      </c>
      <c r="X265" s="42" t="n">
        <f aca="false">$D$261*(1+IF($C$261&lt;=0,0,MAX($C$261*X$5/12,Inputs!$C$8)))+$I$261*(X$5&gt;Inputs!$C$12)*$D$261*(1+Inputs!$C$11*(X$5-Inputs!$C$12)/12)</f>
        <v>1773.33333333333</v>
      </c>
      <c r="Y265" s="42" t="n">
        <f aca="false">$D$261*(1+IF($C$261&lt;=0,0,MAX($C$261*Y$5/12,Inputs!$C$8)))+$I$261*(Y$5&gt;Inputs!$C$12)*$D$261*(1+Inputs!$C$11*(Y$5-Inputs!$C$12)/12)</f>
        <v>1790.66666666667</v>
      </c>
      <c r="Z265" s="42" t="n">
        <f aca="false">$D$261*(1+IF($C$261&lt;=0,0,MAX($C$261*Z$5/12,Inputs!$C$8)))+$I$261*(Z$5&gt;Inputs!$C$12)*$D$261*(1+Inputs!$C$11*(Z$5-Inputs!$C$12)/12)</f>
        <v>1808</v>
      </c>
      <c r="AA265" s="42" t="n">
        <f aca="false">$D$261*(1+IF($C$261&lt;=0,0,MAX($C$261*AA$5/12,Inputs!$C$8)))+$I$261*(AA$5&gt;Inputs!$C$12)*$D$261*(1+Inputs!$C$11*(AA$5-Inputs!$C$12)/12)</f>
        <v>3449.33333333333</v>
      </c>
      <c r="AB265" s="42" t="n">
        <f aca="false">$D$261*(1+IF($C$261&lt;=0,0,MAX($C$261*AB$5/12,Inputs!$C$8)))+$I$261*(AB$5&gt;Inputs!$C$12)*$D$261*(1+Inputs!$C$11*(AB$5-Inputs!$C$12)/12)</f>
        <v>3490.66666666667</v>
      </c>
      <c r="AC265" s="42" t="n">
        <f aca="false">$D$261*(1+IF($C$261&lt;=0,0,MAX($C$261*AC$5/12,Inputs!$C$8)))+$I$261*(AC$5&gt;Inputs!$C$12)*$D$261*(1+Inputs!$C$11*(AC$5-Inputs!$C$12)/12)</f>
        <v>3532</v>
      </c>
      <c r="AD265" s="42" t="n">
        <f aca="false">$D$261*(1+IF($C$261&lt;=0,0,MAX($C$261*AD$5/12,Inputs!$C$8)))+$I$261*(AD$5&gt;Inputs!$C$12)*$D$261*(1+Inputs!$C$11*(AD$5-Inputs!$C$12)/12)</f>
        <v>3573.33333333333</v>
      </c>
      <c r="AE265" s="42" t="n">
        <f aca="false">$D$261*(1+IF($C$261&lt;=0,0,MAX($C$261*AE$5/12,Inputs!$C$8)))+$I$261*(AE$5&gt;Inputs!$C$12)*$D$261*(1+Inputs!$C$11*(AE$5-Inputs!$C$12)/12)</f>
        <v>3614.66666666667</v>
      </c>
      <c r="AF265" s="42" t="n">
        <f aca="false">$D$261*(1+IF($C$261&lt;=0,0,MAX($C$261*AF$5/12,Inputs!$C$8)))+$I$261*(AF$5&gt;Inputs!$C$12)*$D$261*(1+Inputs!$C$11*(AF$5-Inputs!$C$12)/12)</f>
        <v>3656</v>
      </c>
      <c r="AG265" s="42" t="n">
        <f aca="false">$D$261*(1+IF($C$261&lt;=0,0,MAX($C$261*AG$5/12,Inputs!$C$8)))+$I$261*(AG$5&gt;Inputs!$C$12)*$D$261*(1+Inputs!$C$11*(AG$5-Inputs!$C$12)/12)</f>
        <v>3697.33333333333</v>
      </c>
      <c r="AH265" s="42" t="n">
        <f aca="false">$D$261*(1+IF($C$261&lt;=0,0,MAX($C$261*AH$5/12,Inputs!$C$8)))+$I$261*(AH$5&gt;Inputs!$C$12)*$D$261*(1+Inputs!$C$11*(AH$5-Inputs!$C$12)/12)</f>
        <v>3738.66666666667</v>
      </c>
      <c r="AI265" s="42" t="n">
        <f aca="false">$D$261*(1+IF($C$261&lt;=0,0,MAX($C$261*AI$5/12,Inputs!$C$8)))+$I$261*(AI$5&gt;Inputs!$C$12)*$D$261*(1+Inputs!$C$11*(AI$5-Inputs!$C$12)/12)</f>
        <v>3780</v>
      </c>
      <c r="AJ265" s="42" t="n">
        <f aca="false">$D$261*(1+IF($C$261&lt;=0,0,MAX($C$261*AJ$5/12,Inputs!$C$8)))+$I$261*(AJ$5&gt;Inputs!$C$12)*$D$261*(1+Inputs!$C$11*(AJ$5-Inputs!$C$12)/12)</f>
        <v>3821.33333333333</v>
      </c>
      <c r="AK265" s="42" t="n">
        <f aca="false">$D$261*(1+IF($C$261&lt;=0,0,MAX($C$261*AK$5/12,Inputs!$C$8)))+$I$261*(AK$5&gt;Inputs!$C$12)*$D$261*(1+Inputs!$C$11*(AK$5-Inputs!$C$12)/12)</f>
        <v>3862.66666666667</v>
      </c>
      <c r="AL265" s="42" t="n">
        <f aca="false">$D$261*(1+IF($C$261&lt;=0,0,MAX($C$261*AL$5/12,Inputs!$C$8)))+$I$261*(AL$5&gt;Inputs!$C$12)*$D$261*(1+Inputs!$C$11*(AL$5-Inputs!$C$12)/12)</f>
        <v>3904</v>
      </c>
    </row>
    <row r="266" customFormat="false" ht="15" hidden="false" customHeight="false" outlineLevel="0" collapsed="false">
      <c r="B266" s="31" t="s">
        <v>187</v>
      </c>
      <c r="N266" s="42" t="n">
        <f aca="false">-($D$261+$J$261)*(N$5=0)+IF(AND(N$5-$K$261&gt;=1,N$5-$K$261&lt;=Inputs!$C$13),INDEX($N$264:$AL$264,1,N$5-$K$261+1)*INDEX($N$265:$AL$265,1,N$5-$K$261+1),0)-$I$261*((N$5=Inputs!$C$12)*$C$263*$D$261+(N$5=Inputs!$C$13)*$D$263*($D$261+Inputs!$C$14))+$I$261*((N$5=Inputs!$C$15+$K$261)*$E$263*$I$263+(N$5=Inputs!$C$16+$K$261)*$F$263*$J$263+(N$5=Inputs!$C$17)*$G$263*$H$261*$H$263)</f>
        <v>-1610</v>
      </c>
      <c r="O266" s="42" t="n">
        <f aca="false">-($D$261+$J$261)*(O$5=0)+IF(AND(O$5-$K$261&gt;=1,O$5-$K$261&lt;=Inputs!$C$13),INDEX($N$264:$AL$264,1,O$5-$K$261+1)*INDEX($N$265:$AL$265,1,O$5-$K$261+1),0)-$I$261*((O$5=Inputs!$C$12)*$C$263*$D$261+(O$5=Inputs!$C$13)*$D$263*($D$261+Inputs!$C$14))+$I$261*((O$5=Inputs!$C$15+$K$261)*$E$263*$I$263+(O$5=Inputs!$C$16+$K$261)*$F$263*$J$263+(O$5=Inputs!$C$17)*$G$263*$H$261*$H$263)</f>
        <v>0</v>
      </c>
      <c r="P266" s="42" t="n">
        <f aca="false">-($D$261+$J$261)*(P$5=0)+IF(AND(P$5-$K$261&gt;=1,P$5-$K$261&lt;=Inputs!$C$13),INDEX($N$264:$AL$264,1,P$5-$K$261+1)*INDEX($N$265:$AL$265,1,P$5-$K$261+1),0)-$I$261*((P$5=Inputs!$C$12)*$C$263*$D$261+(P$5=Inputs!$C$13)*$D$263*($D$261+Inputs!$C$14))+$I$261*((P$5=Inputs!$C$15+$K$261)*$E$263*$I$263+(P$5=Inputs!$C$16+$K$261)*$F$263*$J$263+(P$5=Inputs!$C$17)*$G$263*$H$261*$H$263)</f>
        <v>131.04</v>
      </c>
      <c r="Q266" s="42" t="n">
        <f aca="false">-($D$261+$J$261)*(Q$5=0)+IF(AND(Q$5-$K$261&gt;=1,Q$5-$K$261&lt;=Inputs!$C$13),INDEX($N$264:$AL$264,1,Q$5-$K$261+1)*INDEX($N$265:$AL$265,1,Q$5-$K$261+1),0)-$I$261*((Q$5=Inputs!$C$12)*$C$263*$D$261+(Q$5=Inputs!$C$13)*$D$263*($D$261+Inputs!$C$14))+$I$261*((Q$5=Inputs!$C$15+$K$261)*$E$263*$I$263+(Q$5=Inputs!$C$16+$K$261)*$F$263*$J$263+(Q$5=Inputs!$C$17)*$G$263*$H$261*$H$263)</f>
        <v>109.2</v>
      </c>
      <c r="R266" s="42" t="n">
        <f aca="false">-($D$261+$J$261)*(R$5=0)+IF(AND(R$5-$K$261&gt;=1,R$5-$K$261&lt;=Inputs!$C$13),INDEX($N$264:$AL$264,1,R$5-$K$261+1)*INDEX($N$265:$AL$265,1,R$5-$K$261+1),0)-$I$261*((R$5=Inputs!$C$12)*$C$263*$D$261+(R$5=Inputs!$C$13)*$D$263*($D$261+Inputs!$C$14))+$I$261*((R$5=Inputs!$C$15+$K$261)*$E$263*$I$263+(R$5=Inputs!$C$16+$K$261)*$F$263*$J$263+(R$5=Inputs!$C$17)*$G$263*$H$261*$H$263)</f>
        <v>98.28</v>
      </c>
      <c r="S266" s="42" t="n">
        <f aca="false">-($D$261+$J$261)*(S$5=0)+IF(AND(S$5-$K$261&gt;=1,S$5-$K$261&lt;=Inputs!$C$13),INDEX($N$264:$AL$264,1,S$5-$K$261+1)*INDEX($N$265:$AL$265,1,S$5-$K$261+1),0)-$I$261*((S$5=Inputs!$C$12)*$C$263*$D$261+(S$5=Inputs!$C$13)*$D$263*($D$261+Inputs!$C$14))+$I$261*((S$5=Inputs!$C$15+$K$261)*$E$263*$I$263+(S$5=Inputs!$C$16+$K$261)*$F$263*$J$263+(S$5=Inputs!$C$17)*$G$263*$H$261*$H$263)</f>
        <v>76.44</v>
      </c>
      <c r="T266" s="42" t="n">
        <f aca="false">-($D$261+$J$261)*(T$5=0)+IF(AND(T$5-$K$261&gt;=1,T$5-$K$261&lt;=Inputs!$C$13),INDEX($N$264:$AL$264,1,T$5-$K$261+1)*INDEX($N$265:$AL$265,1,T$5-$K$261+1),0)-$I$261*((T$5=Inputs!$C$12)*$C$263*$D$261+(T$5=Inputs!$C$13)*$D$263*($D$261+Inputs!$C$14))+$I$261*((T$5=Inputs!$C$15+$K$261)*$E$263*$I$263+(T$5=Inputs!$C$16+$K$261)*$F$263*$J$263+(T$5=Inputs!$C$17)*$G$263*$H$261*$H$263)</f>
        <v>76.7433333333333</v>
      </c>
      <c r="U266" s="42" t="n">
        <f aca="false">-($D$261+$J$261)*(U$5=0)+IF(AND(U$5-$K$261&gt;=1,U$5-$K$261&lt;=Inputs!$C$13),INDEX($N$264:$AL$264,1,U$5-$K$261+1)*INDEX($N$265:$AL$265,1,U$5-$K$261+1),0)-$I$261*((U$5=Inputs!$C$12)*$C$263*$D$261+(U$5=Inputs!$C$13)*$D$263*($D$261+Inputs!$C$14))+$I$261*((U$5=Inputs!$C$15+$K$261)*$E$263*$I$263+(U$5=Inputs!$C$16+$K$261)*$F$263*$J$263+(U$5=Inputs!$C$17)*$G$263*$H$261*$H$263)</f>
        <v>77.532</v>
      </c>
      <c r="V266" s="42" t="n">
        <f aca="false">-($D$261+$J$261)*(V$5=0)+IF(AND(V$5-$K$261&gt;=1,V$5-$K$261&lt;=Inputs!$C$13),INDEX($N$264:$AL$264,1,V$5-$K$261+1)*INDEX($N$265:$AL$265,1,V$5-$K$261+1),0)-$I$261*((V$5=Inputs!$C$12)*$C$263*$D$261+(V$5=Inputs!$C$13)*$D$263*($D$261+Inputs!$C$14))+$I$261*((V$5=Inputs!$C$15+$K$261)*$E$263*$I$263+(V$5=Inputs!$C$16+$K$261)*$F$263*$J$263+(V$5=Inputs!$C$17)*$G$263*$H$261*$H$263)</f>
        <v>48.4842222222222</v>
      </c>
      <c r="W266" s="42" t="n">
        <f aca="false">-($D$261+$J$261)*(W$5=0)+IF(AND(W$5-$K$261&gt;=1,W$5-$K$261&lt;=Inputs!$C$13),INDEX($N$264:$AL$264,1,W$5-$K$261+1)*INDEX($N$265:$AL$265,1,W$5-$K$261+1),0)-$I$261*((W$5=Inputs!$C$12)*$C$263*$D$261+(W$5=Inputs!$C$13)*$D$263*($D$261+Inputs!$C$14))+$I$261*((W$5=Inputs!$C$15+$K$261)*$E$263*$I$263+(W$5=Inputs!$C$16+$K$261)*$F$263*$J$263+(W$5=Inputs!$C$17)*$G$263*$H$261*$H$263)</f>
        <v>48.9724444444445</v>
      </c>
      <c r="X266" s="42" t="n">
        <f aca="false">-($D$261+$J$261)*(X$5=0)+IF(AND(X$5-$K$261&gt;=1,X$5-$K$261&lt;=Inputs!$C$13),INDEX($N$264:$AL$264,1,X$5-$K$261+1)*INDEX($N$265:$AL$265,1,X$5-$K$261+1),0)-$I$261*((X$5=Inputs!$C$12)*$C$263*$D$261+(X$5=Inputs!$C$13)*$D$263*($D$261+Inputs!$C$14))+$I$261*((X$5=Inputs!$C$15+$K$261)*$E$263*$I$263+(X$5=Inputs!$C$16+$K$261)*$F$263*$J$263+(X$5=Inputs!$C$17)*$G$263*$H$261*$H$263)</f>
        <v>49.4606666666667</v>
      </c>
      <c r="Y266" s="42" t="n">
        <f aca="false">-($D$261+$J$261)*(Y$5=0)+IF(AND(Y$5-$K$261&gt;=1,Y$5-$K$261&lt;=Inputs!$C$13),INDEX($N$264:$AL$264,1,Y$5-$K$261+1)*INDEX($N$265:$AL$265,1,Y$5-$K$261+1),0)-$I$261*((Y$5=Inputs!$C$12)*$C$263*$D$261+(Y$5=Inputs!$C$13)*$D$263*($D$261+Inputs!$C$14))+$I$261*((Y$5=Inputs!$C$15+$K$261)*$E$263*$I$263+(Y$5=Inputs!$C$16+$K$261)*$F$263*$J$263+(Y$5=Inputs!$C$17)*$G$263*$H$261*$H$263)</f>
        <v>42.2644444444444</v>
      </c>
      <c r="Z266" s="42" t="n">
        <f aca="false">-($D$261+$J$261)*(Z$5=0)+IF(AND(Z$5-$K$261&gt;=1,Z$5-$K$261&lt;=Inputs!$C$13),INDEX($N$264:$AL$264,1,Z$5-$K$261+1)*INDEX($N$265:$AL$265,1,Z$5-$K$261+1),0)-$I$261*((Z$5=Inputs!$C$12)*$C$263*$D$261+(Z$5=Inputs!$C$13)*$D$263*($D$261+Inputs!$C$14))+$I$261*((Z$5=Inputs!$C$15+$K$261)*$E$263*$I$263+(Z$5=Inputs!$C$16+$K$261)*$F$263*$J$263+(Z$5=Inputs!$C$17)*$G$263*$H$261*$H$263)</f>
        <v>-766.922444444444</v>
      </c>
      <c r="AA266" s="42" t="n">
        <f aca="false">-($D$261+$J$261)*(AA$5=0)+IF(AND(AA$5-$K$261&gt;=1,AA$5-$K$261&lt;=Inputs!$C$13),INDEX($N$264:$AL$264,1,AA$5-$K$261+1)*INDEX($N$265:$AL$265,1,AA$5-$K$261+1),0)-$I$261*((AA$5=Inputs!$C$12)*$C$263*$D$261+(AA$5=Inputs!$C$13)*$D$263*($D$261+Inputs!$C$14))+$I$261*((AA$5=Inputs!$C$15+$K$261)*$E$263*$I$263+(AA$5=Inputs!$C$16+$K$261)*$F$263*$J$263+(AA$5=Inputs!$C$17)*$G$263*$H$261*$H$263)</f>
        <v>43.0906666666666</v>
      </c>
      <c r="AB266" s="42" t="n">
        <f aca="false">-($D$261+$J$261)*(AB$5=0)+IF(AND(AB$5-$K$261&gt;=1,AB$5-$K$261&lt;=Inputs!$C$13),INDEX($N$264:$AL$264,1,AB$5-$K$261+1)*INDEX($N$265:$AL$265,1,AB$5-$K$261+1),0)-$I$261*((AB$5=Inputs!$C$12)*$C$263*$D$261+(AB$5=Inputs!$C$13)*$D$263*($D$261+Inputs!$C$14))+$I$261*((AB$5=Inputs!$C$15+$K$261)*$E$263*$I$263+(AB$5=Inputs!$C$16+$K$261)*$F$263*$J$263+(AB$5=Inputs!$C$17)*$G$263*$H$261*$H$263)</f>
        <v>52.3148888888889</v>
      </c>
      <c r="AC266" s="42" t="n">
        <f aca="false">-($D$261+$J$261)*(AC$5=0)+IF(AND(AC$5-$K$261&gt;=1,AC$5-$K$261&lt;=Inputs!$C$13),INDEX($N$264:$AL$264,1,AC$5-$K$261+1)*INDEX($N$265:$AL$265,1,AC$5-$K$261+1),0)-$I$261*((AC$5=Inputs!$C$12)*$C$263*$D$261+(AC$5=Inputs!$C$13)*$D$263*($D$261+Inputs!$C$14))+$I$261*((AC$5=Inputs!$C$15+$K$261)*$E$263*$I$263+(AC$5=Inputs!$C$16+$K$261)*$F$263*$J$263+(AC$5=Inputs!$C$17)*$G$263*$H$261*$H$263)</f>
        <v>52.9417777777777</v>
      </c>
      <c r="AD266" s="42" t="n">
        <f aca="false">-($D$261+$J$261)*(AD$5=0)+IF(AND(AD$5-$K$261&gt;=1,AD$5-$K$261&lt;=Inputs!$C$13),INDEX($N$264:$AL$264,1,AD$5-$K$261+1)*INDEX($N$265:$AL$265,1,AD$5-$K$261+1),0)-$I$261*((AD$5=Inputs!$C$12)*$C$263*$D$261+(AD$5=Inputs!$C$13)*$D$263*($D$261+Inputs!$C$14))+$I$261*((AD$5=Inputs!$C$15+$K$261)*$E$263*$I$263+(AD$5=Inputs!$C$16+$K$261)*$F$263*$J$263+(AD$5=Inputs!$C$17)*$G$263*$H$261*$H$263)</f>
        <v>53.5686666666669</v>
      </c>
      <c r="AE266" s="42" t="n">
        <f aca="false">-($D$261+$J$261)*(AE$5=0)+IF(AND(AE$5-$K$261&gt;=1,AE$5-$K$261&lt;=Inputs!$C$13),INDEX($N$264:$AL$264,1,AE$5-$K$261+1)*INDEX($N$265:$AL$265,1,AE$5-$K$261+1),0)-$I$261*((AE$5=Inputs!$C$12)*$C$263*$D$261+(AE$5=Inputs!$C$13)*$D$263*($D$261+Inputs!$C$14))+$I$261*((AE$5=Inputs!$C$15+$K$261)*$E$263*$I$263+(AE$5=Inputs!$C$16+$K$261)*$F$263*$J$263+(AE$5=Inputs!$C$17)*$G$263*$H$261*$H$263)</f>
        <v>54.1955555555555</v>
      </c>
      <c r="AF266" s="42" t="n">
        <f aca="false">-($D$261+$J$261)*(AF$5=0)+IF(AND(AF$5-$K$261&gt;=1,AF$5-$K$261&lt;=Inputs!$C$13),INDEX($N$264:$AL$264,1,AF$5-$K$261+1)*INDEX($N$265:$AL$265,1,AF$5-$K$261+1),0)-$I$261*((AF$5=Inputs!$C$12)*$C$263*$D$261+(AF$5=Inputs!$C$13)*$D$263*($D$261+Inputs!$C$14))+$I$261*((AF$5=Inputs!$C$15+$K$261)*$E$263*$I$263+(AF$5=Inputs!$C$16+$K$261)*$F$263*$J$263+(AF$5=Inputs!$C$17)*$G$263*$H$261*$H$263)</f>
        <v>54.8224444444444</v>
      </c>
      <c r="AG266" s="42" t="n">
        <f aca="false">-($D$261+$J$261)*(AG$5=0)+IF(AND(AG$5-$K$261&gt;=1,AG$5-$K$261&lt;=Inputs!$C$13),INDEX($N$264:$AL$264,1,AG$5-$K$261+1)*INDEX($N$265:$AL$265,1,AG$5-$K$261+1),0)-$I$261*((AG$5=Inputs!$C$12)*$C$263*$D$261+(AG$5=Inputs!$C$13)*$D$263*($D$261+Inputs!$C$14))+$I$261*((AG$5=Inputs!$C$15+$K$261)*$E$263*$I$263+(AG$5=Inputs!$C$16+$K$261)*$F$263*$J$263+(AG$5=Inputs!$C$17)*$G$263*$H$261*$H$263)</f>
        <v>55.4493333333333</v>
      </c>
      <c r="AH266" s="42" t="n">
        <f aca="false">-($D$261+$J$261)*(AH$5=0)+IF(AND(AH$5-$K$261&gt;=1,AH$5-$K$261&lt;=Inputs!$C$13),INDEX($N$264:$AL$264,1,AH$5-$K$261+1)*INDEX($N$265:$AL$265,1,AH$5-$K$261+1),0)-$I$261*((AH$5=Inputs!$C$12)*$C$263*$D$261+(AH$5=Inputs!$C$13)*$D$263*($D$261+Inputs!$C$14))+$I$261*((AH$5=Inputs!$C$15+$K$261)*$E$263*$I$263+(AH$5=Inputs!$C$16+$K$261)*$F$263*$J$263+(AH$5=Inputs!$C$17)*$G$263*$H$261*$H$263)</f>
        <v>40.0544444444446</v>
      </c>
      <c r="AI266" s="42" t="n">
        <f aca="false">-($D$261+$J$261)*(AI$5=0)+IF(AND(AI$5-$K$261&gt;=1,AI$5-$K$261&lt;=Inputs!$C$13),INDEX($N$264:$AL$264,1,AI$5-$K$261+1)*INDEX($N$265:$AL$265,1,AI$5-$K$261+1),0)-$I$261*((AI$5=Inputs!$C$12)*$C$263*$D$261+(AI$5=Inputs!$C$13)*$D$263*($D$261+Inputs!$C$14))+$I$261*((AI$5=Inputs!$C$15+$K$261)*$E$263*$I$263+(AI$5=Inputs!$C$16+$K$261)*$F$263*$J$263+(AI$5=Inputs!$C$17)*$G$263*$H$261*$H$263)</f>
        <v>40.5022222222221</v>
      </c>
      <c r="AJ266" s="42" t="n">
        <f aca="false">-($D$261+$J$261)*(AJ$5=0)+IF(AND(AJ$5-$K$261&gt;=1,AJ$5-$K$261&lt;=Inputs!$C$13),INDEX($N$264:$AL$264,1,AJ$5-$K$261+1)*INDEX($N$265:$AL$265,1,AJ$5-$K$261+1),0)-$I$261*((AJ$5=Inputs!$C$12)*$C$263*$D$261+(AJ$5=Inputs!$C$13)*$D$263*($D$261+Inputs!$C$14))+$I$261*((AJ$5=Inputs!$C$15+$K$261)*$E$263*$I$263+(AJ$5=Inputs!$C$16+$K$261)*$F$263*$J$263+(AJ$5=Inputs!$C$17)*$G$263*$H$261*$H$263)</f>
        <v>40.9499999999999</v>
      </c>
      <c r="AK266" s="42" t="n">
        <f aca="false">-($D$261+$J$261)*(AK$5=0)+IF(AND(AK$5-$K$261&gt;=1,AK$5-$K$261&lt;=Inputs!$C$13),INDEX($N$264:$AL$264,1,AK$5-$K$261+1)*INDEX($N$265:$AL$265,1,AK$5-$K$261+1),0)-$I$261*((AK$5=Inputs!$C$12)*$C$263*$D$261+(AK$5=Inputs!$C$13)*$D$263*($D$261+Inputs!$C$14))+$I$261*((AK$5=Inputs!$C$15+$K$261)*$E$263*$I$263+(AK$5=Inputs!$C$16+$K$261)*$F$263*$J$263+(AK$5=Inputs!$C$17)*$G$263*$H$261*$H$263)</f>
        <v>41.3977777777779</v>
      </c>
      <c r="AL266" s="42" t="n">
        <f aca="false">-($D$261+$J$261)*(AL$5=0)+IF(AND(AL$5-$K$261&gt;=1,AL$5-$K$261&lt;=Inputs!$C$13),INDEX($N$264:$AL$264,1,AL$5-$K$261+1)*INDEX($N$265:$AL$265,1,AL$5-$K$261+1),0)-$I$261*((AL$5=Inputs!$C$12)*$C$263*$D$261+(AL$5=Inputs!$C$13)*$D$263*($D$261+Inputs!$C$14))+$I$261*((AL$5=Inputs!$C$15+$K$261)*$E$263*$I$263+(AL$5=Inputs!$C$16+$K$261)*$F$263*$J$263+(AL$5=Inputs!$C$17)*$G$263*$H$261*$H$263)</f>
        <v>-1148.15444444444</v>
      </c>
      <c r="AM266" s="42" t="n">
        <f aca="false">-($D$261+$J$261)*(AM$5=0)+IF(AND(AM$5-$K$261&gt;=1,AM$5-$K$261&lt;=Inputs!$C$13),INDEX($N$264:$AL$264,1,AM$5-$K$261+1)*INDEX($N$265:$AL$265,1,AM$5-$K$261+1),0)-$I$261*((AM$5=Inputs!$C$12)*$C$263*$D$261+(AM$5=Inputs!$C$13)*$D$263*($D$261+Inputs!$C$14))+$I$261*((AM$5=Inputs!$C$15+$K$261)*$E$263*$I$263+(AM$5=Inputs!$C$16+$K$261)*$F$263*$J$263+(AM$5=Inputs!$C$17)*$G$263*$H$261*$H$263)</f>
        <v>42.2933333333332</v>
      </c>
      <c r="AN266" s="42" t="n">
        <f aca="false">-($D$261+$J$261)*(AN$5=0)+IF(AND(AN$5-$K$261&gt;=1,AN$5-$K$261&lt;=Inputs!$C$13),INDEX($N$264:$AL$264,1,AN$5-$K$261+1)*INDEX($N$265:$AL$265,1,AN$5-$K$261+1),0)-$I$261*((AN$5=Inputs!$C$12)*$C$263*$D$261+(AN$5=Inputs!$C$13)*$D$263*($D$261+Inputs!$C$14))+$I$261*((AN$5=Inputs!$C$15+$K$261)*$E$263*$I$263+(AN$5=Inputs!$C$16+$K$261)*$F$263*$J$263+(AN$5=Inputs!$C$17)*$G$263*$H$261*$H$263)</f>
        <v>0</v>
      </c>
      <c r="AO266" s="42" t="n">
        <f aca="false">-($D$261+$J$261)*(AO$5=0)+IF(AND(AO$5-$K$261&gt;=1,AO$5-$K$261&lt;=Inputs!$C$13),INDEX($N$264:$AL$264,1,AO$5-$K$261+1)*INDEX($N$265:$AL$265,1,AO$5-$K$261+1),0)-$I$261*((AO$5=Inputs!$C$12)*$C$263*$D$261+(AO$5=Inputs!$C$13)*$D$263*($D$261+Inputs!$C$14))+$I$261*((AO$5=Inputs!$C$15+$K$261)*$E$263*$I$263+(AO$5=Inputs!$C$16+$K$261)*$F$263*$J$263+(AO$5=Inputs!$C$17)*$G$263*$H$261*$H$263)</f>
        <v>0</v>
      </c>
      <c r="AP266" s="42" t="n">
        <f aca="false">-($D$261+$J$261)*(AP$5=0)+IF(AND(AP$5-$K$261&gt;=1,AP$5-$K$261&lt;=Inputs!$C$13),INDEX($N$264:$AL$264,1,AP$5-$K$261+1)*INDEX($N$265:$AL$265,1,AP$5-$K$261+1),0)-$I$261*((AP$5=Inputs!$C$12)*$C$263*$D$261+(AP$5=Inputs!$C$13)*$D$263*($D$261+Inputs!$C$14))+$I$261*((AP$5=Inputs!$C$15+$K$261)*$E$263*$I$263+(AP$5=Inputs!$C$16+$K$261)*$F$263*$J$263+(AP$5=Inputs!$C$17)*$G$263*$H$261*$H$263)</f>
        <v>1050</v>
      </c>
      <c r="AQ266" s="42" t="n">
        <f aca="false">-($D$261+$J$261)*(AQ$5=0)+IF(AND(AQ$5-$K$261&gt;=1,AQ$5-$K$261&lt;=Inputs!$C$13),INDEX($N$264:$AL$264,1,AQ$5-$K$261+1)*INDEX($N$265:$AL$265,1,AQ$5-$K$261+1),0)-$I$261*((AQ$5=Inputs!$C$12)*$C$263*$D$261+(AQ$5=Inputs!$C$13)*$D$263*($D$261+Inputs!$C$14))+$I$261*((AQ$5=Inputs!$C$15+$K$261)*$E$263*$I$263+(AQ$5=Inputs!$C$16+$K$261)*$F$263*$J$263+(AQ$5=Inputs!$C$17)*$G$263*$H$261*$H$263)</f>
        <v>0</v>
      </c>
      <c r="AR266" s="42" t="n">
        <f aca="false">-($D$261+$J$261)*(AR$5=0)+IF(AND(AR$5-$K$261&gt;=1,AR$5-$K$261&lt;=Inputs!$C$13),INDEX($N$264:$AL$264,1,AR$5-$K$261+1)*INDEX($N$265:$AL$265,1,AR$5-$K$261+1),0)-$I$261*((AR$5=Inputs!$C$12)*$C$263*$D$261+(AR$5=Inputs!$C$13)*$D$263*($D$261+Inputs!$C$14))+$I$261*((AR$5=Inputs!$C$15+$K$261)*$E$263*$I$263+(AR$5=Inputs!$C$16+$K$261)*$F$263*$J$263+(AR$5=Inputs!$C$17)*$G$263*$H$261*$H$263)</f>
        <v>0</v>
      </c>
      <c r="AS266" s="42" t="n">
        <f aca="false">-($D$261+$J$261)*(AS$5=0)+IF(AND(AS$5-$K$261&gt;=1,AS$5-$K$261&lt;=Inputs!$C$13),INDEX($N$264:$AL$264,1,AS$5-$K$261+1)*INDEX($N$265:$AL$265,1,AS$5-$K$261+1),0)-$I$261*((AS$5=Inputs!$C$12)*$C$263*$D$261+(AS$5=Inputs!$C$13)*$D$263*($D$261+Inputs!$C$14))+$I$261*((AS$5=Inputs!$C$15+$K$261)*$E$263*$I$263+(AS$5=Inputs!$C$16+$K$261)*$F$263*$J$263+(AS$5=Inputs!$C$17)*$G$263*$H$261*$H$263)</f>
        <v>202.02</v>
      </c>
      <c r="AT266" s="42" t="n">
        <f aca="false">-($D$261+$J$261)*(AT$5=0)+IF(AND(AT$5-$K$261&gt;=1,AT$5-$K$261&lt;=Inputs!$C$13),INDEX($N$264:$AL$264,1,AT$5-$K$261+1)*INDEX($N$265:$AL$265,1,AT$5-$K$261+1),0)-$I$261*((AT$5=Inputs!$C$12)*$C$263*$D$261+(AT$5=Inputs!$C$13)*$D$263*($D$261+Inputs!$C$14))+$I$261*((AT$5=Inputs!$C$15+$K$261)*$E$263*$I$263+(AT$5=Inputs!$C$16+$K$261)*$F$263*$J$263+(AT$5=Inputs!$C$17)*$G$263*$H$261*$H$263)</f>
        <v>0</v>
      </c>
      <c r="AU266" s="42" t="n">
        <f aca="false">-($D$261+$J$261)*(AU$5=0)+IF(AND(AU$5-$K$261&gt;=1,AU$5-$K$261&lt;=Inputs!$C$13),INDEX($N$264:$AL$264,1,AU$5-$K$261+1)*INDEX($N$265:$AL$265,1,AU$5-$K$261+1),0)-$I$261*((AU$5=Inputs!$C$12)*$C$263*$D$261+(AU$5=Inputs!$C$13)*$D$263*($D$261+Inputs!$C$14))+$I$261*((AU$5=Inputs!$C$15+$K$261)*$E$263*$I$263+(AU$5=Inputs!$C$16+$K$261)*$F$263*$J$263+(AU$5=Inputs!$C$17)*$G$263*$H$261*$H$263)</f>
        <v>0</v>
      </c>
      <c r="AV266" s="42" t="n">
        <f aca="false">-($D$261+$J$261)*(AV$5=0)+IF(AND(AV$5-$K$261&gt;=1,AV$5-$K$261&lt;=Inputs!$C$13),INDEX($N$264:$AL$264,1,AV$5-$K$261+1)*INDEX($N$265:$AL$265,1,AV$5-$K$261+1),0)-$I$261*((AV$5=Inputs!$C$12)*$C$263*$D$261+(AV$5=Inputs!$C$13)*$D$263*($D$261+Inputs!$C$14))+$I$261*((AV$5=Inputs!$C$15+$K$261)*$E$263*$I$263+(AV$5=Inputs!$C$16+$K$261)*$F$263*$J$263+(AV$5=Inputs!$C$17)*$G$263*$H$261*$H$263)</f>
        <v>0</v>
      </c>
      <c r="AW266" s="42" t="n">
        <f aca="false">-($D$261+$J$261)*(AW$5=0)+IF(AND(AW$5-$K$261&gt;=1,AW$5-$K$261&lt;=Inputs!$C$13),INDEX($N$264:$AL$264,1,AW$5-$K$261+1)*INDEX($N$265:$AL$265,1,AW$5-$K$261+1),0)-$I$261*((AW$5=Inputs!$C$12)*$C$263*$D$261+(AW$5=Inputs!$C$13)*$D$263*($D$261+Inputs!$C$14))+$I$261*((AW$5=Inputs!$C$15+$K$261)*$E$263*$I$263+(AW$5=Inputs!$C$16+$K$261)*$F$263*$J$263+(AW$5=Inputs!$C$17)*$G$263*$H$261*$H$263)</f>
        <v>0</v>
      </c>
      <c r="AX266" s="42" t="n">
        <f aca="false">-($D$261+$J$261)*(AX$5=0)+IF(AND(AX$5-$K$261&gt;=1,AX$5-$K$261&lt;=Inputs!$C$13),INDEX($N$264:$AL$264,1,AX$5-$K$261+1)*INDEX($N$265:$AL$265,1,AX$5-$K$261+1),0)-$I$261*((AX$5=Inputs!$C$12)*$C$263*$D$261+(AX$5=Inputs!$C$13)*$D$263*($D$261+Inputs!$C$14))+$I$261*((AX$5=Inputs!$C$15+$K$261)*$E$263*$I$263+(AX$5=Inputs!$C$16+$K$261)*$F$263*$J$263+(AX$5=Inputs!$C$17)*$G$263*$H$261*$H$263)</f>
        <v>485.1</v>
      </c>
      <c r="AY266" s="42" t="n">
        <f aca="false">-($D$261+$J$261)*(AY$5=0)+IF(AND(AY$5-$K$261&gt;=1,AY$5-$K$261&lt;=Inputs!$C$13),INDEX($N$264:$AL$264,1,AY$5-$K$261+1)*INDEX($N$265:$AL$265,1,AY$5-$K$261+1),0)-$I$261*((AY$5=Inputs!$C$12)*$C$263*$D$261+(AY$5=Inputs!$C$13)*$D$263*($D$261+Inputs!$C$14))+$I$261*((AY$5=Inputs!$C$15+$K$261)*$E$263*$I$263+(AY$5=Inputs!$C$16+$K$261)*$F$263*$J$263+(AY$5=Inputs!$C$17)*$G$263*$H$261*$H$263)</f>
        <v>0</v>
      </c>
    </row>
    <row r="268" customFormat="false" ht="15" hidden="false" customHeight="false" outlineLevel="0" collapsed="false">
      <c r="B268" s="7" t="s">
        <v>270</v>
      </c>
      <c r="C268" s="8"/>
      <c r="D268" s="8"/>
      <c r="E268" s="8"/>
      <c r="F268" s="8"/>
      <c r="G268" s="8"/>
      <c r="H268" s="8"/>
      <c r="I268" s="8"/>
      <c r="J268" s="8"/>
      <c r="K268" s="8"/>
      <c r="L268" s="8"/>
    </row>
    <row r="269" customFormat="false" ht="30" hidden="false" customHeight="true" outlineLevel="0" collapsed="false">
      <c r="B269" s="37"/>
      <c r="C269" s="38" t="s">
        <v>169</v>
      </c>
      <c r="D269" s="38" t="s">
        <v>170</v>
      </c>
      <c r="E269" s="38" t="s">
        <v>171</v>
      </c>
      <c r="F269" s="38" t="s">
        <v>43</v>
      </c>
      <c r="G269" s="38" t="s">
        <v>44</v>
      </c>
      <c r="H269" s="38" t="s">
        <v>45</v>
      </c>
      <c r="I269" s="38" t="s">
        <v>172</v>
      </c>
      <c r="J269" s="38" t="s">
        <v>90</v>
      </c>
      <c r="K269" s="38" t="s">
        <v>89</v>
      </c>
      <c r="L269" s="38" t="s">
        <v>173</v>
      </c>
    </row>
    <row r="270" customFormat="false" ht="15" hidden="false" customHeight="false" outlineLevel="0" collapsed="false">
      <c r="B270" s="39" t="s">
        <v>174</v>
      </c>
      <c r="C270" s="26" t="n">
        <f aca="false">Inputs!$F$43*Inputs!$E$60</f>
        <v>0.13</v>
      </c>
      <c r="D270" s="30" t="n">
        <f aca="false">Inputs!$E$43</f>
        <v>1600</v>
      </c>
      <c r="E270" s="26" t="n">
        <f aca="false">IF(Inputs!$G$43=1,Inputs!$F$27,MIN(1,MAX(0,INDEX(Inputs!$F$23:$F$27,MATCH(Inputs!$C$43,Inputs!$B$23:$B$27,0))+INDEX(Inputs!$C$48:$C$51,MATCH(Inputs!$D$60,Inputs!$B$48:$B$51,0)))))</f>
        <v>0.35</v>
      </c>
      <c r="F270" s="25" t="n">
        <f aca="false">IF(Inputs!$G$43=1,Inputs!$G$27,INDEX(Inputs!$G$23:$G$27,MATCH(Inputs!$C$43,Inputs!$B$23:$B$27,0)))</f>
        <v>0.1</v>
      </c>
      <c r="G270" s="25" t="n">
        <f aca="false">IF(Inputs!$G$43=1,Inputs!$H$27,INDEX(Inputs!$H$23:$H$27,MATCH(Inputs!$C$43,Inputs!$B$23:$B$27,0)))*INDEX(Inputs!$D$48:$D$51,MATCH(Inputs!$D$60,Inputs!$B$48:$B$51,0))</f>
        <v>0.0125</v>
      </c>
      <c r="H270" s="25" t="n">
        <f aca="false">MAX(0,IF(Inputs!$G$43=1,Inputs!$I$27,INDEX(Inputs!$I$23:$I$27,MATCH(Inputs!$C$43,Inputs!$B$23:$B$27,0)))+INDEX(Inputs!$E$48:$E$51,MATCH(Inputs!$D$60,Inputs!$B$48:$B$51,0)))</f>
        <v>0</v>
      </c>
      <c r="I270" s="22" t="n">
        <f aca="false">IF(Inputs!$G$43=1,0,INDEX(Inputs!$J$23:$J$27,MATCH(Inputs!$C$43,Inputs!$B$23:$B$27,0)))</f>
        <v>0</v>
      </c>
      <c r="J270" s="23" t="n">
        <f aca="false">Inputs!$G$60</f>
        <v>10</v>
      </c>
      <c r="K270" s="22" t="n">
        <f aca="false">Inputs!$F$60</f>
        <v>1</v>
      </c>
      <c r="L270" s="22" t="n">
        <f aca="false">Inputs!$C$60</f>
        <v>1</v>
      </c>
    </row>
    <row r="271" customFormat="false" ht="30" hidden="false" customHeight="true" outlineLevel="0" collapsed="false">
      <c r="B271" s="37"/>
      <c r="C271" s="38" t="s">
        <v>175</v>
      </c>
      <c r="D271" s="38" t="s">
        <v>176</v>
      </c>
      <c r="E271" s="38" t="s">
        <v>177</v>
      </c>
      <c r="F271" s="38" t="s">
        <v>178</v>
      </c>
      <c r="G271" s="38" t="s">
        <v>112</v>
      </c>
      <c r="H271" s="38" t="s">
        <v>179</v>
      </c>
      <c r="I271" s="38" t="s">
        <v>180</v>
      </c>
      <c r="J271" s="38" t="s">
        <v>181</v>
      </c>
      <c r="K271" s="38" t="s">
        <v>182</v>
      </c>
      <c r="L271" s="38" t="s">
        <v>183</v>
      </c>
    </row>
    <row r="272" customFormat="false" ht="15" hidden="false" customHeight="false" outlineLevel="0" collapsed="false">
      <c r="B272" s="39" t="s">
        <v>184</v>
      </c>
      <c r="C272" s="40" t="n">
        <f aca="false">1-$E$270*CHOOSE($L$270,INDEX(Timing!$C$7:$AA$7,1,Inputs!$C$12+1),INDEX(Timing!$C$8:$AA$8,1,Inputs!$C$12+1))</f>
        <v>0.734</v>
      </c>
      <c r="D272" s="40" t="n">
        <f aca="false">1-$E$270*CHOOSE($L$270,INDEX(Timing!$C$7:$AA$7,1,Inputs!$C$13+1),INDEX(Timing!$C$8:$AA$8,1,Inputs!$C$13+1))</f>
        <v>0.65</v>
      </c>
      <c r="E272" s="40" t="n">
        <f aca="false">$I$270*$D$272*$F$270</f>
        <v>0</v>
      </c>
      <c r="F272" s="40" t="n">
        <f aca="false">$I$270*($D$272-$E$272)*$G$270</f>
        <v>0</v>
      </c>
      <c r="G272" s="40" t="n">
        <f aca="false">$I$270*($D$272-$E$272-$F$272)</f>
        <v>0</v>
      </c>
      <c r="H272" s="23" t="n">
        <f aca="false">$I$270*(3*$D$270+Inputs!$C$14)</f>
        <v>0</v>
      </c>
      <c r="I272" s="23" t="n">
        <f aca="false">$I$270*($D$270*(1+IF($C$270&lt;=0,0,MAX($C$270*Inputs!$C$15/12,Inputs!$C$8)))+$D$270*(1+Inputs!$C$11*(Inputs!$C$15-Inputs!$C$12)/12)+$D$270*(1+Inputs!$C$11*(Inputs!$C$15-Inputs!$C$13)/12)+Inputs!$C$14)</f>
        <v>0</v>
      </c>
      <c r="J272" s="23" t="n">
        <f aca="false">$I$270*($D$270*(1+IF($C$270&lt;=0,0,MAX($C$270*Inputs!$C$16/12,Inputs!$C$8)))+$D$270*(1+Inputs!$C$11*(Inputs!$C$16-Inputs!$C$12)/12)+$D$270*(1+Inputs!$C$11*(Inputs!$C$16-Inputs!$C$13)/12)+Inputs!$C$14)</f>
        <v>0</v>
      </c>
      <c r="K272" s="40" t="n">
        <f aca="false">IRR($N$275:$AY$275,-0.05)</f>
        <v>-0.0796907670056498</v>
      </c>
      <c r="L272" s="41" t="n">
        <f aca="false">(1+$K$272)^12-1</f>
        <v>-0.630847894979521</v>
      </c>
    </row>
    <row r="273" customFormat="false" ht="15" hidden="false" customHeight="false" outlineLevel="0" collapsed="false">
      <c r="B273" s="9" t="s">
        <v>185</v>
      </c>
      <c r="N273" s="40" t="n">
        <f aca="false">0</f>
        <v>0</v>
      </c>
      <c r="O273" s="40" t="n">
        <f aca="false">$E$270*(CHOOSE($L$270,Timing!D$7,Timing!D$8)-CHOOSE($L$270,Timing!C$7,Timing!C$8))</f>
        <v>0.042</v>
      </c>
      <c r="P273" s="40" t="n">
        <f aca="false">$E$270*(CHOOSE($L$270,Timing!E$7,Timing!E$8)-CHOOSE($L$270,Timing!D$7,Timing!D$8))</f>
        <v>0.035</v>
      </c>
      <c r="Q273" s="40" t="n">
        <f aca="false">$E$270*(CHOOSE($L$270,Timing!F$7,Timing!F$8)-CHOOSE($L$270,Timing!E$7,Timing!E$8))</f>
        <v>0.0315</v>
      </c>
      <c r="R273" s="40" t="n">
        <f aca="false">$E$270*(CHOOSE($L$270,Timing!G$7,Timing!G$8)-CHOOSE($L$270,Timing!F$7,Timing!F$8))</f>
        <v>0.0245</v>
      </c>
      <c r="S273" s="40" t="n">
        <f aca="false">$E$270*(CHOOSE($L$270,Timing!H$7,Timing!H$8)-CHOOSE($L$270,Timing!G$7,Timing!G$8))</f>
        <v>0.0245</v>
      </c>
      <c r="T273" s="40" t="n">
        <f aca="false">$E$270*(CHOOSE($L$270,Timing!I$7,Timing!I$8)-CHOOSE($L$270,Timing!H$7,Timing!H$8))</f>
        <v>0.0245</v>
      </c>
      <c r="U273" s="40" t="n">
        <f aca="false">$E$270*(CHOOSE($L$270,Timing!J$7,Timing!J$8)-CHOOSE($L$270,Timing!I$7,Timing!I$8))</f>
        <v>0.0151666666666667</v>
      </c>
      <c r="V273" s="40" t="n">
        <f aca="false">$E$270*(CHOOSE($L$270,Timing!K$7,Timing!K$8)-CHOOSE($L$270,Timing!J$7,Timing!J$8))</f>
        <v>0.0151666666666667</v>
      </c>
      <c r="W273" s="40" t="n">
        <f aca="false">$E$270*(CHOOSE($L$270,Timing!L$7,Timing!L$8)-CHOOSE($L$270,Timing!K$7,Timing!K$8))</f>
        <v>0.0151666666666667</v>
      </c>
      <c r="X273" s="40" t="n">
        <f aca="false">$E$270*(CHOOSE($L$270,Timing!M$7,Timing!M$8)-CHOOSE($L$270,Timing!L$7,Timing!L$8))</f>
        <v>0.0128333333333333</v>
      </c>
      <c r="Y273" s="40" t="n">
        <f aca="false">$E$270*(CHOOSE($L$270,Timing!N$7,Timing!N$8)-CHOOSE($L$270,Timing!M$7,Timing!M$8))</f>
        <v>0.0128333333333334</v>
      </c>
      <c r="Z273" s="40" t="n">
        <f aca="false">$E$270*(CHOOSE($L$270,Timing!O$7,Timing!O$8)-CHOOSE($L$270,Timing!N$7,Timing!N$8))</f>
        <v>0.0128333333333333</v>
      </c>
      <c r="AA273" s="40" t="n">
        <f aca="false">$E$270*(CHOOSE($L$270,Timing!P$7,Timing!P$8)-CHOOSE($L$270,Timing!O$7,Timing!O$8))</f>
        <v>0.00816666666666666</v>
      </c>
      <c r="AB273" s="40" t="n">
        <f aca="false">$E$270*(CHOOSE($L$270,Timing!Q$7,Timing!Q$8)-CHOOSE($L$270,Timing!P$7,Timing!P$8))</f>
        <v>0.00816666666666666</v>
      </c>
      <c r="AC273" s="40" t="n">
        <f aca="false">$E$270*(CHOOSE($L$270,Timing!R$7,Timing!R$8)-CHOOSE($L$270,Timing!Q$7,Timing!Q$8))</f>
        <v>0.0081666666666667</v>
      </c>
      <c r="AD273" s="40" t="n">
        <f aca="false">$E$270*(CHOOSE($L$270,Timing!S$7,Timing!S$8)-CHOOSE($L$270,Timing!R$7,Timing!R$8))</f>
        <v>0.00816666666666666</v>
      </c>
      <c r="AE273" s="40" t="n">
        <f aca="false">$E$270*(CHOOSE($L$270,Timing!T$7,Timing!T$8)-CHOOSE($L$270,Timing!S$7,Timing!S$8))</f>
        <v>0.00816666666666666</v>
      </c>
      <c r="AF273" s="40" t="n">
        <f aca="false">$E$270*(CHOOSE($L$270,Timing!U$7,Timing!U$8)-CHOOSE($L$270,Timing!T$7,Timing!T$8))</f>
        <v>0.00816666666666666</v>
      </c>
      <c r="AG273" s="40" t="n">
        <f aca="false">$E$270*(CHOOSE($L$270,Timing!V$7,Timing!V$8)-CHOOSE($L$270,Timing!U$7,Timing!U$8))</f>
        <v>0.00583333333333335</v>
      </c>
      <c r="AH273" s="40" t="n">
        <f aca="false">$E$270*(CHOOSE($L$270,Timing!W$7,Timing!W$8)-CHOOSE($L$270,Timing!V$7,Timing!V$8))</f>
        <v>0.00583333333333331</v>
      </c>
      <c r="AI273" s="40" t="n">
        <f aca="false">$E$270*(CHOOSE($L$270,Timing!X$7,Timing!X$8)-CHOOSE($L$270,Timing!W$7,Timing!W$8))</f>
        <v>0.00583333333333331</v>
      </c>
      <c r="AJ273" s="40" t="n">
        <f aca="false">$E$270*(CHOOSE($L$270,Timing!Y$7,Timing!Y$8)-CHOOSE($L$270,Timing!X$7,Timing!X$8))</f>
        <v>0.00583333333333335</v>
      </c>
      <c r="AK273" s="40" t="n">
        <f aca="false">$E$270*(CHOOSE($L$270,Timing!Z$7,Timing!Z$8)-CHOOSE($L$270,Timing!Y$7,Timing!Y$8))</f>
        <v>0.00583333333333335</v>
      </c>
      <c r="AL273" s="40" t="n">
        <f aca="false">$E$270*(CHOOSE($L$270,Timing!AA$7,Timing!AA$8)-CHOOSE($L$270,Timing!Z$7,Timing!Z$8))</f>
        <v>0.00583333333333331</v>
      </c>
    </row>
    <row r="274" customFormat="false" ht="15" hidden="false" customHeight="false" outlineLevel="0" collapsed="false">
      <c r="B274" s="9" t="s">
        <v>186</v>
      </c>
      <c r="N274" s="42" t="n">
        <f aca="false">0</f>
        <v>0</v>
      </c>
      <c r="O274" s="42" t="n">
        <f aca="false">$D$270*(1+IF($C$270&lt;=0,0,MAX($C$270*O$5/12,Inputs!$C$8)))+$I$270*(O$5&gt;Inputs!$C$12)*$D$270*(1+Inputs!$C$11*(O$5-Inputs!$C$12)/12)</f>
        <v>1680</v>
      </c>
      <c r="P274" s="42" t="n">
        <f aca="false">$D$270*(1+IF($C$270&lt;=0,0,MAX($C$270*P$5/12,Inputs!$C$8)))+$I$270*(P$5&gt;Inputs!$C$12)*$D$270*(1+Inputs!$C$11*(P$5-Inputs!$C$12)/12)</f>
        <v>1680</v>
      </c>
      <c r="Q274" s="42" t="n">
        <f aca="false">$D$270*(1+IF($C$270&lt;=0,0,MAX($C$270*Q$5/12,Inputs!$C$8)))+$I$270*(Q$5&gt;Inputs!$C$12)*$D$270*(1+Inputs!$C$11*(Q$5-Inputs!$C$12)/12)</f>
        <v>1680</v>
      </c>
      <c r="R274" s="42" t="n">
        <f aca="false">$D$270*(1+IF($C$270&lt;=0,0,MAX($C$270*R$5/12,Inputs!$C$8)))+$I$270*(R$5&gt;Inputs!$C$12)*$D$270*(1+Inputs!$C$11*(R$5-Inputs!$C$12)/12)</f>
        <v>1680</v>
      </c>
      <c r="S274" s="42" t="n">
        <f aca="false">$D$270*(1+IF($C$270&lt;=0,0,MAX($C$270*S$5/12,Inputs!$C$8)))+$I$270*(S$5&gt;Inputs!$C$12)*$D$270*(1+Inputs!$C$11*(S$5-Inputs!$C$12)/12)</f>
        <v>1686.66666666667</v>
      </c>
      <c r="T274" s="42" t="n">
        <f aca="false">$D$270*(1+IF($C$270&lt;=0,0,MAX($C$270*T$5/12,Inputs!$C$8)))+$I$270*(T$5&gt;Inputs!$C$12)*$D$270*(1+Inputs!$C$11*(T$5-Inputs!$C$12)/12)</f>
        <v>1704</v>
      </c>
      <c r="U274" s="42" t="n">
        <f aca="false">$D$270*(1+IF($C$270&lt;=0,0,MAX($C$270*U$5/12,Inputs!$C$8)))+$I$270*(U$5&gt;Inputs!$C$12)*$D$270*(1+Inputs!$C$11*(U$5-Inputs!$C$12)/12)</f>
        <v>1721.33333333333</v>
      </c>
      <c r="V274" s="42" t="n">
        <f aca="false">$D$270*(1+IF($C$270&lt;=0,0,MAX($C$270*V$5/12,Inputs!$C$8)))+$I$270*(V$5&gt;Inputs!$C$12)*$D$270*(1+Inputs!$C$11*(V$5-Inputs!$C$12)/12)</f>
        <v>1738.66666666667</v>
      </c>
      <c r="W274" s="42" t="n">
        <f aca="false">$D$270*(1+IF($C$270&lt;=0,0,MAX($C$270*W$5/12,Inputs!$C$8)))+$I$270*(W$5&gt;Inputs!$C$12)*$D$270*(1+Inputs!$C$11*(W$5-Inputs!$C$12)/12)</f>
        <v>1756</v>
      </c>
      <c r="X274" s="42" t="n">
        <f aca="false">$D$270*(1+IF($C$270&lt;=0,0,MAX($C$270*X$5/12,Inputs!$C$8)))+$I$270*(X$5&gt;Inputs!$C$12)*$D$270*(1+Inputs!$C$11*(X$5-Inputs!$C$12)/12)</f>
        <v>1773.33333333333</v>
      </c>
      <c r="Y274" s="42" t="n">
        <f aca="false">$D$270*(1+IF($C$270&lt;=0,0,MAX($C$270*Y$5/12,Inputs!$C$8)))+$I$270*(Y$5&gt;Inputs!$C$12)*$D$270*(1+Inputs!$C$11*(Y$5-Inputs!$C$12)/12)</f>
        <v>1790.66666666667</v>
      </c>
      <c r="Z274" s="42" t="n">
        <f aca="false">$D$270*(1+IF($C$270&lt;=0,0,MAX($C$270*Z$5/12,Inputs!$C$8)))+$I$270*(Z$5&gt;Inputs!$C$12)*$D$270*(1+Inputs!$C$11*(Z$5-Inputs!$C$12)/12)</f>
        <v>1808</v>
      </c>
      <c r="AA274" s="42" t="n">
        <f aca="false">$D$270*(1+IF($C$270&lt;=0,0,MAX($C$270*AA$5/12,Inputs!$C$8)))+$I$270*(AA$5&gt;Inputs!$C$12)*$D$270*(1+Inputs!$C$11*(AA$5-Inputs!$C$12)/12)</f>
        <v>1825.33333333333</v>
      </c>
      <c r="AB274" s="42" t="n">
        <f aca="false">$D$270*(1+IF($C$270&lt;=0,0,MAX($C$270*AB$5/12,Inputs!$C$8)))+$I$270*(AB$5&gt;Inputs!$C$12)*$D$270*(1+Inputs!$C$11*(AB$5-Inputs!$C$12)/12)</f>
        <v>1842.66666666667</v>
      </c>
      <c r="AC274" s="42" t="n">
        <f aca="false">$D$270*(1+IF($C$270&lt;=0,0,MAX($C$270*AC$5/12,Inputs!$C$8)))+$I$270*(AC$5&gt;Inputs!$C$12)*$D$270*(1+Inputs!$C$11*(AC$5-Inputs!$C$12)/12)</f>
        <v>1860</v>
      </c>
      <c r="AD274" s="42" t="n">
        <f aca="false">$D$270*(1+IF($C$270&lt;=0,0,MAX($C$270*AD$5/12,Inputs!$C$8)))+$I$270*(AD$5&gt;Inputs!$C$12)*$D$270*(1+Inputs!$C$11*(AD$5-Inputs!$C$12)/12)</f>
        <v>1877.33333333333</v>
      </c>
      <c r="AE274" s="42" t="n">
        <f aca="false">$D$270*(1+IF($C$270&lt;=0,0,MAX($C$270*AE$5/12,Inputs!$C$8)))+$I$270*(AE$5&gt;Inputs!$C$12)*$D$270*(1+Inputs!$C$11*(AE$5-Inputs!$C$12)/12)</f>
        <v>1894.66666666667</v>
      </c>
      <c r="AF274" s="42" t="n">
        <f aca="false">$D$270*(1+IF($C$270&lt;=0,0,MAX($C$270*AF$5/12,Inputs!$C$8)))+$I$270*(AF$5&gt;Inputs!$C$12)*$D$270*(1+Inputs!$C$11*(AF$5-Inputs!$C$12)/12)</f>
        <v>1912</v>
      </c>
      <c r="AG274" s="42" t="n">
        <f aca="false">$D$270*(1+IF($C$270&lt;=0,0,MAX($C$270*AG$5/12,Inputs!$C$8)))+$I$270*(AG$5&gt;Inputs!$C$12)*$D$270*(1+Inputs!$C$11*(AG$5-Inputs!$C$12)/12)</f>
        <v>1929.33333333333</v>
      </c>
      <c r="AH274" s="42" t="n">
        <f aca="false">$D$270*(1+IF($C$270&lt;=0,0,MAX($C$270*AH$5/12,Inputs!$C$8)))+$I$270*(AH$5&gt;Inputs!$C$12)*$D$270*(1+Inputs!$C$11*(AH$5-Inputs!$C$12)/12)</f>
        <v>1946.66666666667</v>
      </c>
      <c r="AI274" s="42" t="n">
        <f aca="false">$D$270*(1+IF($C$270&lt;=0,0,MAX($C$270*AI$5/12,Inputs!$C$8)))+$I$270*(AI$5&gt;Inputs!$C$12)*$D$270*(1+Inputs!$C$11*(AI$5-Inputs!$C$12)/12)</f>
        <v>1964</v>
      </c>
      <c r="AJ274" s="42" t="n">
        <f aca="false">$D$270*(1+IF($C$270&lt;=0,0,MAX($C$270*AJ$5/12,Inputs!$C$8)))+$I$270*(AJ$5&gt;Inputs!$C$12)*$D$270*(1+Inputs!$C$11*(AJ$5-Inputs!$C$12)/12)</f>
        <v>1981.33333333333</v>
      </c>
      <c r="AK274" s="42" t="n">
        <f aca="false">$D$270*(1+IF($C$270&lt;=0,0,MAX($C$270*AK$5/12,Inputs!$C$8)))+$I$270*(AK$5&gt;Inputs!$C$12)*$D$270*(1+Inputs!$C$11*(AK$5-Inputs!$C$12)/12)</f>
        <v>1998.66666666667</v>
      </c>
      <c r="AL274" s="42" t="n">
        <f aca="false">$D$270*(1+IF($C$270&lt;=0,0,MAX($C$270*AL$5/12,Inputs!$C$8)))+$I$270*(AL$5&gt;Inputs!$C$12)*$D$270*(1+Inputs!$C$11*(AL$5-Inputs!$C$12)/12)</f>
        <v>2016</v>
      </c>
    </row>
    <row r="275" customFormat="false" ht="15" hidden="false" customHeight="false" outlineLevel="0" collapsed="false">
      <c r="B275" s="31" t="s">
        <v>187</v>
      </c>
      <c r="N275" s="42" t="n">
        <f aca="false">-($D$270+$J$270)*(N$5=0)+IF(AND(N$5-$K$270&gt;=1,N$5-$K$270&lt;=Inputs!$C$13),INDEX($N$273:$AL$273,1,N$5-$K$270+1)*INDEX($N$274:$AL$274,1,N$5-$K$270+1),0)-$I$270*((N$5=Inputs!$C$12)*$C$272*$D$270+(N$5=Inputs!$C$13)*$D$272*($D$270+Inputs!$C$14))+$I$270*((N$5=Inputs!$C$15+$K$270)*$E$272*$I$272+(N$5=Inputs!$C$16+$K$270)*$F$272*$J$272+(N$5=Inputs!$C$17)*$G$272*$H$270*$H$272)</f>
        <v>-1610</v>
      </c>
      <c r="O275" s="42" t="n">
        <f aca="false">-($D$270+$J$270)*(O$5=0)+IF(AND(O$5-$K$270&gt;=1,O$5-$K$270&lt;=Inputs!$C$13),INDEX($N$273:$AL$273,1,O$5-$K$270+1)*INDEX($N$274:$AL$274,1,O$5-$K$270+1),0)-$I$270*((O$5=Inputs!$C$12)*$C$272*$D$270+(O$5=Inputs!$C$13)*$D$272*($D$270+Inputs!$C$14))+$I$270*((O$5=Inputs!$C$15+$K$270)*$E$272*$I$272+(O$5=Inputs!$C$16+$K$270)*$F$272*$J$272+(O$5=Inputs!$C$17)*$G$272*$H$270*$H$272)</f>
        <v>0</v>
      </c>
      <c r="P275" s="42" t="n">
        <f aca="false">-($D$270+$J$270)*(P$5=0)+IF(AND(P$5-$K$270&gt;=1,P$5-$K$270&lt;=Inputs!$C$13),INDEX($N$273:$AL$273,1,P$5-$K$270+1)*INDEX($N$274:$AL$274,1,P$5-$K$270+1),0)-$I$270*((P$5=Inputs!$C$12)*$C$272*$D$270+(P$5=Inputs!$C$13)*$D$272*($D$270+Inputs!$C$14))+$I$270*((P$5=Inputs!$C$15+$K$270)*$E$272*$I$272+(P$5=Inputs!$C$16+$K$270)*$F$272*$J$272+(P$5=Inputs!$C$17)*$G$272*$H$270*$H$272)</f>
        <v>70.56</v>
      </c>
      <c r="Q275" s="42" t="n">
        <f aca="false">-($D$270+$J$270)*(Q$5=0)+IF(AND(Q$5-$K$270&gt;=1,Q$5-$K$270&lt;=Inputs!$C$13),INDEX($N$273:$AL$273,1,Q$5-$K$270+1)*INDEX($N$274:$AL$274,1,Q$5-$K$270+1),0)-$I$270*((Q$5=Inputs!$C$12)*$C$272*$D$270+(Q$5=Inputs!$C$13)*$D$272*($D$270+Inputs!$C$14))+$I$270*((Q$5=Inputs!$C$15+$K$270)*$E$272*$I$272+(Q$5=Inputs!$C$16+$K$270)*$F$272*$J$272+(Q$5=Inputs!$C$17)*$G$272*$H$270*$H$272)</f>
        <v>58.8</v>
      </c>
      <c r="R275" s="42" t="n">
        <f aca="false">-($D$270+$J$270)*(R$5=0)+IF(AND(R$5-$K$270&gt;=1,R$5-$K$270&lt;=Inputs!$C$13),INDEX($N$273:$AL$273,1,R$5-$K$270+1)*INDEX($N$274:$AL$274,1,R$5-$K$270+1),0)-$I$270*((R$5=Inputs!$C$12)*$C$272*$D$270+(R$5=Inputs!$C$13)*$D$272*($D$270+Inputs!$C$14))+$I$270*((R$5=Inputs!$C$15+$K$270)*$E$272*$I$272+(R$5=Inputs!$C$16+$K$270)*$F$272*$J$272+(R$5=Inputs!$C$17)*$G$272*$H$270*$H$272)</f>
        <v>52.92</v>
      </c>
      <c r="S275" s="42" t="n">
        <f aca="false">-($D$270+$J$270)*(S$5=0)+IF(AND(S$5-$K$270&gt;=1,S$5-$K$270&lt;=Inputs!$C$13),INDEX($N$273:$AL$273,1,S$5-$K$270+1)*INDEX($N$274:$AL$274,1,S$5-$K$270+1),0)-$I$270*((S$5=Inputs!$C$12)*$C$272*$D$270+(S$5=Inputs!$C$13)*$D$272*($D$270+Inputs!$C$14))+$I$270*((S$5=Inputs!$C$15+$K$270)*$E$272*$I$272+(S$5=Inputs!$C$16+$K$270)*$F$272*$J$272+(S$5=Inputs!$C$17)*$G$272*$H$270*$H$272)</f>
        <v>41.16</v>
      </c>
      <c r="T275" s="42" t="n">
        <f aca="false">-($D$270+$J$270)*(T$5=0)+IF(AND(T$5-$K$270&gt;=1,T$5-$K$270&lt;=Inputs!$C$13),INDEX($N$273:$AL$273,1,T$5-$K$270+1)*INDEX($N$274:$AL$274,1,T$5-$K$270+1),0)-$I$270*((T$5=Inputs!$C$12)*$C$272*$D$270+(T$5=Inputs!$C$13)*$D$272*($D$270+Inputs!$C$14))+$I$270*((T$5=Inputs!$C$15+$K$270)*$E$272*$I$272+(T$5=Inputs!$C$16+$K$270)*$F$272*$J$272+(T$5=Inputs!$C$17)*$G$272*$H$270*$H$272)</f>
        <v>41.3233333333333</v>
      </c>
      <c r="U275" s="42" t="n">
        <f aca="false">-($D$270+$J$270)*(U$5=0)+IF(AND(U$5-$K$270&gt;=1,U$5-$K$270&lt;=Inputs!$C$13),INDEX($N$273:$AL$273,1,U$5-$K$270+1)*INDEX($N$274:$AL$274,1,U$5-$K$270+1),0)-$I$270*((U$5=Inputs!$C$12)*$C$272*$D$270+(U$5=Inputs!$C$13)*$D$272*($D$270+Inputs!$C$14))+$I$270*((U$5=Inputs!$C$15+$K$270)*$E$272*$I$272+(U$5=Inputs!$C$16+$K$270)*$F$272*$J$272+(U$5=Inputs!$C$17)*$G$272*$H$270*$H$272)</f>
        <v>41.748</v>
      </c>
      <c r="V275" s="42" t="n">
        <f aca="false">-($D$270+$J$270)*(V$5=0)+IF(AND(V$5-$K$270&gt;=1,V$5-$K$270&lt;=Inputs!$C$13),INDEX($N$273:$AL$273,1,V$5-$K$270+1)*INDEX($N$274:$AL$274,1,V$5-$K$270+1),0)-$I$270*((V$5=Inputs!$C$12)*$C$272*$D$270+(V$5=Inputs!$C$13)*$D$272*($D$270+Inputs!$C$14))+$I$270*((V$5=Inputs!$C$15+$K$270)*$E$272*$I$272+(V$5=Inputs!$C$16+$K$270)*$F$272*$J$272+(V$5=Inputs!$C$17)*$G$272*$H$270*$H$272)</f>
        <v>26.1068888888889</v>
      </c>
      <c r="W275" s="42" t="n">
        <f aca="false">-($D$270+$J$270)*(W$5=0)+IF(AND(W$5-$K$270&gt;=1,W$5-$K$270&lt;=Inputs!$C$13),INDEX($N$273:$AL$273,1,W$5-$K$270+1)*INDEX($N$274:$AL$274,1,W$5-$K$270+1),0)-$I$270*((W$5=Inputs!$C$12)*$C$272*$D$270+(W$5=Inputs!$C$13)*$D$272*($D$270+Inputs!$C$14))+$I$270*((W$5=Inputs!$C$15+$K$270)*$E$272*$I$272+(W$5=Inputs!$C$16+$K$270)*$F$272*$J$272+(W$5=Inputs!$C$17)*$G$272*$H$270*$H$272)</f>
        <v>26.3697777777778</v>
      </c>
      <c r="X275" s="42" t="n">
        <f aca="false">-($D$270+$J$270)*(X$5=0)+IF(AND(X$5-$K$270&gt;=1,X$5-$K$270&lt;=Inputs!$C$13),INDEX($N$273:$AL$273,1,X$5-$K$270+1)*INDEX($N$274:$AL$274,1,X$5-$K$270+1),0)-$I$270*((X$5=Inputs!$C$12)*$C$272*$D$270+(X$5=Inputs!$C$13)*$D$272*($D$270+Inputs!$C$14))+$I$270*((X$5=Inputs!$C$15+$K$270)*$E$272*$I$272+(X$5=Inputs!$C$16+$K$270)*$F$272*$J$272+(X$5=Inputs!$C$17)*$G$272*$H$270*$H$272)</f>
        <v>26.6326666666667</v>
      </c>
      <c r="Y275" s="42" t="n">
        <f aca="false">-($D$270+$J$270)*(Y$5=0)+IF(AND(Y$5-$K$270&gt;=1,Y$5-$K$270&lt;=Inputs!$C$13),INDEX($N$273:$AL$273,1,Y$5-$K$270+1)*INDEX($N$274:$AL$274,1,Y$5-$K$270+1),0)-$I$270*((Y$5=Inputs!$C$12)*$C$272*$D$270+(Y$5=Inputs!$C$13)*$D$272*($D$270+Inputs!$C$14))+$I$270*((Y$5=Inputs!$C$15+$K$270)*$E$272*$I$272+(Y$5=Inputs!$C$16+$K$270)*$F$272*$J$272+(Y$5=Inputs!$C$17)*$G$272*$H$270*$H$272)</f>
        <v>22.7577777777778</v>
      </c>
      <c r="Z275" s="42" t="n">
        <f aca="false">-($D$270+$J$270)*(Z$5=0)+IF(AND(Z$5-$K$270&gt;=1,Z$5-$K$270&lt;=Inputs!$C$13),INDEX($N$273:$AL$273,1,Z$5-$K$270+1)*INDEX($N$274:$AL$274,1,Z$5-$K$270+1),0)-$I$270*((Z$5=Inputs!$C$12)*$C$272*$D$270+(Z$5=Inputs!$C$13)*$D$272*($D$270+Inputs!$C$14))+$I$270*((Z$5=Inputs!$C$15+$K$270)*$E$272*$I$272+(Z$5=Inputs!$C$16+$K$270)*$F$272*$J$272+(Z$5=Inputs!$C$17)*$G$272*$H$270*$H$272)</f>
        <v>22.9802222222223</v>
      </c>
      <c r="AA275" s="42" t="n">
        <f aca="false">-($D$270+$J$270)*(AA$5=0)+IF(AND(AA$5-$K$270&gt;=1,AA$5-$K$270&lt;=Inputs!$C$13),INDEX($N$273:$AL$273,1,AA$5-$K$270+1)*INDEX($N$274:$AL$274,1,AA$5-$K$270+1),0)-$I$270*((AA$5=Inputs!$C$12)*$C$272*$D$270+(AA$5=Inputs!$C$13)*$D$272*($D$270+Inputs!$C$14))+$I$270*((AA$5=Inputs!$C$15+$K$270)*$E$272*$I$272+(AA$5=Inputs!$C$16+$K$270)*$F$272*$J$272+(AA$5=Inputs!$C$17)*$G$272*$H$270*$H$272)</f>
        <v>23.2026666666666</v>
      </c>
      <c r="AB275" s="42" t="n">
        <f aca="false">-($D$270+$J$270)*(AB$5=0)+IF(AND(AB$5-$K$270&gt;=1,AB$5-$K$270&lt;=Inputs!$C$13),INDEX($N$273:$AL$273,1,AB$5-$K$270+1)*INDEX($N$274:$AL$274,1,AB$5-$K$270+1),0)-$I$270*((AB$5=Inputs!$C$12)*$C$272*$D$270+(AB$5=Inputs!$C$13)*$D$272*($D$270+Inputs!$C$14))+$I$270*((AB$5=Inputs!$C$15+$K$270)*$E$272*$I$272+(AB$5=Inputs!$C$16+$K$270)*$F$272*$J$272+(AB$5=Inputs!$C$17)*$G$272*$H$270*$H$272)</f>
        <v>14.9068888888889</v>
      </c>
      <c r="AC275" s="42" t="n">
        <f aca="false">-($D$270+$J$270)*(AC$5=0)+IF(AND(AC$5-$K$270&gt;=1,AC$5-$K$270&lt;=Inputs!$C$13),INDEX($N$273:$AL$273,1,AC$5-$K$270+1)*INDEX($N$274:$AL$274,1,AC$5-$K$270+1),0)-$I$270*((AC$5=Inputs!$C$12)*$C$272*$D$270+(AC$5=Inputs!$C$13)*$D$272*($D$270+Inputs!$C$14))+$I$270*((AC$5=Inputs!$C$15+$K$270)*$E$272*$I$272+(AC$5=Inputs!$C$16+$K$270)*$F$272*$J$272+(AC$5=Inputs!$C$17)*$G$272*$H$270*$H$272)</f>
        <v>15.0484444444444</v>
      </c>
      <c r="AD275" s="42" t="n">
        <f aca="false">-($D$270+$J$270)*(AD$5=0)+IF(AND(AD$5-$K$270&gt;=1,AD$5-$K$270&lt;=Inputs!$C$13),INDEX($N$273:$AL$273,1,AD$5-$K$270+1)*INDEX($N$274:$AL$274,1,AD$5-$K$270+1),0)-$I$270*((AD$5=Inputs!$C$12)*$C$272*$D$270+(AD$5=Inputs!$C$13)*$D$272*($D$270+Inputs!$C$14))+$I$270*((AD$5=Inputs!$C$15+$K$270)*$E$272*$I$272+(AD$5=Inputs!$C$16+$K$270)*$F$272*$J$272+(AD$5=Inputs!$C$17)*$G$272*$H$270*$H$272)</f>
        <v>15.1900000000001</v>
      </c>
      <c r="AE275" s="42" t="n">
        <f aca="false">-($D$270+$J$270)*(AE$5=0)+IF(AND(AE$5-$K$270&gt;=1,AE$5-$K$270&lt;=Inputs!$C$13),INDEX($N$273:$AL$273,1,AE$5-$K$270+1)*INDEX($N$274:$AL$274,1,AE$5-$K$270+1),0)-$I$270*((AE$5=Inputs!$C$12)*$C$272*$D$270+(AE$5=Inputs!$C$13)*$D$272*($D$270+Inputs!$C$14))+$I$270*((AE$5=Inputs!$C$15+$K$270)*$E$272*$I$272+(AE$5=Inputs!$C$16+$K$270)*$F$272*$J$272+(AE$5=Inputs!$C$17)*$G$272*$H$270*$H$272)</f>
        <v>15.3315555555555</v>
      </c>
      <c r="AF275" s="42" t="n">
        <f aca="false">-($D$270+$J$270)*(AF$5=0)+IF(AND(AF$5-$K$270&gt;=1,AF$5-$K$270&lt;=Inputs!$C$13),INDEX($N$273:$AL$273,1,AF$5-$K$270+1)*INDEX($N$274:$AL$274,1,AF$5-$K$270+1),0)-$I$270*((AF$5=Inputs!$C$12)*$C$272*$D$270+(AF$5=Inputs!$C$13)*$D$272*($D$270+Inputs!$C$14))+$I$270*((AF$5=Inputs!$C$15+$K$270)*$E$272*$I$272+(AF$5=Inputs!$C$16+$K$270)*$F$272*$J$272+(AF$5=Inputs!$C$17)*$G$272*$H$270*$H$272)</f>
        <v>15.4731111111111</v>
      </c>
      <c r="AG275" s="42" t="n">
        <f aca="false">-($D$270+$J$270)*(AG$5=0)+IF(AND(AG$5-$K$270&gt;=1,AG$5-$K$270&lt;=Inputs!$C$13),INDEX($N$273:$AL$273,1,AG$5-$K$270+1)*INDEX($N$274:$AL$274,1,AG$5-$K$270+1),0)-$I$270*((AG$5=Inputs!$C$12)*$C$272*$D$270+(AG$5=Inputs!$C$13)*$D$272*($D$270+Inputs!$C$14))+$I$270*((AG$5=Inputs!$C$15+$K$270)*$E$272*$I$272+(AG$5=Inputs!$C$16+$K$270)*$F$272*$J$272+(AG$5=Inputs!$C$17)*$G$272*$H$270*$H$272)</f>
        <v>15.6146666666667</v>
      </c>
      <c r="AH275" s="42" t="n">
        <f aca="false">-($D$270+$J$270)*(AH$5=0)+IF(AND(AH$5-$K$270&gt;=1,AH$5-$K$270&lt;=Inputs!$C$13),INDEX($N$273:$AL$273,1,AH$5-$K$270+1)*INDEX($N$274:$AL$274,1,AH$5-$K$270+1),0)-$I$270*((AH$5=Inputs!$C$12)*$C$272*$D$270+(AH$5=Inputs!$C$13)*$D$272*($D$270+Inputs!$C$14))+$I$270*((AH$5=Inputs!$C$15+$K$270)*$E$272*$I$272+(AH$5=Inputs!$C$16+$K$270)*$F$272*$J$272+(AH$5=Inputs!$C$17)*$G$272*$H$270*$H$272)</f>
        <v>11.2544444444445</v>
      </c>
      <c r="AI275" s="42" t="n">
        <f aca="false">-($D$270+$J$270)*(AI$5=0)+IF(AND(AI$5-$K$270&gt;=1,AI$5-$K$270&lt;=Inputs!$C$13),INDEX($N$273:$AL$273,1,AI$5-$K$270+1)*INDEX($N$274:$AL$274,1,AI$5-$K$270+1),0)-$I$270*((AI$5=Inputs!$C$12)*$C$272*$D$270+(AI$5=Inputs!$C$13)*$D$272*($D$270+Inputs!$C$14))+$I$270*((AI$5=Inputs!$C$15+$K$270)*$E$272*$I$272+(AI$5=Inputs!$C$16+$K$270)*$F$272*$J$272+(AI$5=Inputs!$C$17)*$G$272*$H$270*$H$272)</f>
        <v>11.3555555555555</v>
      </c>
      <c r="AJ275" s="42" t="n">
        <f aca="false">-($D$270+$J$270)*(AJ$5=0)+IF(AND(AJ$5-$K$270&gt;=1,AJ$5-$K$270&lt;=Inputs!$C$13),INDEX($N$273:$AL$273,1,AJ$5-$K$270+1)*INDEX($N$274:$AL$274,1,AJ$5-$K$270+1),0)-$I$270*((AJ$5=Inputs!$C$12)*$C$272*$D$270+(AJ$5=Inputs!$C$13)*$D$272*($D$270+Inputs!$C$14))+$I$270*((AJ$5=Inputs!$C$15+$K$270)*$E$272*$I$272+(AJ$5=Inputs!$C$16+$K$270)*$F$272*$J$272+(AJ$5=Inputs!$C$17)*$G$272*$H$270*$H$272)</f>
        <v>11.4566666666666</v>
      </c>
      <c r="AK275" s="42" t="n">
        <f aca="false">-($D$270+$J$270)*(AK$5=0)+IF(AND(AK$5-$K$270&gt;=1,AK$5-$K$270&lt;=Inputs!$C$13),INDEX($N$273:$AL$273,1,AK$5-$K$270+1)*INDEX($N$274:$AL$274,1,AK$5-$K$270+1),0)-$I$270*((AK$5=Inputs!$C$12)*$C$272*$D$270+(AK$5=Inputs!$C$13)*$D$272*($D$270+Inputs!$C$14))+$I$270*((AK$5=Inputs!$C$15+$K$270)*$E$272*$I$272+(AK$5=Inputs!$C$16+$K$270)*$F$272*$J$272+(AK$5=Inputs!$C$17)*$G$272*$H$270*$H$272)</f>
        <v>11.5577777777778</v>
      </c>
      <c r="AL275" s="42" t="n">
        <f aca="false">-($D$270+$J$270)*(AL$5=0)+IF(AND(AL$5-$K$270&gt;=1,AL$5-$K$270&lt;=Inputs!$C$13),INDEX($N$273:$AL$273,1,AL$5-$K$270+1)*INDEX($N$274:$AL$274,1,AL$5-$K$270+1),0)-$I$270*((AL$5=Inputs!$C$12)*$C$272*$D$270+(AL$5=Inputs!$C$13)*$D$272*($D$270+Inputs!$C$14))+$I$270*((AL$5=Inputs!$C$15+$K$270)*$E$272*$I$272+(AL$5=Inputs!$C$16+$K$270)*$F$272*$J$272+(AL$5=Inputs!$C$17)*$G$272*$H$270*$H$272)</f>
        <v>11.6588888888889</v>
      </c>
      <c r="AM275" s="42" t="n">
        <f aca="false">-($D$270+$J$270)*(AM$5=0)+IF(AND(AM$5-$K$270&gt;=1,AM$5-$K$270&lt;=Inputs!$C$13),INDEX($N$273:$AL$273,1,AM$5-$K$270+1)*INDEX($N$274:$AL$274,1,AM$5-$K$270+1),0)-$I$270*((AM$5=Inputs!$C$12)*$C$272*$D$270+(AM$5=Inputs!$C$13)*$D$272*($D$270+Inputs!$C$14))+$I$270*((AM$5=Inputs!$C$15+$K$270)*$E$272*$I$272+(AM$5=Inputs!$C$16+$K$270)*$F$272*$J$272+(AM$5=Inputs!$C$17)*$G$272*$H$270*$H$272)</f>
        <v>11.76</v>
      </c>
      <c r="AN275" s="42" t="n">
        <f aca="false">-($D$270+$J$270)*(AN$5=0)+IF(AND(AN$5-$K$270&gt;=1,AN$5-$K$270&lt;=Inputs!$C$13),INDEX($N$273:$AL$273,1,AN$5-$K$270+1)*INDEX($N$274:$AL$274,1,AN$5-$K$270+1),0)-$I$270*((AN$5=Inputs!$C$12)*$C$272*$D$270+(AN$5=Inputs!$C$13)*$D$272*($D$270+Inputs!$C$14))+$I$270*((AN$5=Inputs!$C$15+$K$270)*$E$272*$I$272+(AN$5=Inputs!$C$16+$K$270)*$F$272*$J$272+(AN$5=Inputs!$C$17)*$G$272*$H$270*$H$272)</f>
        <v>0</v>
      </c>
      <c r="AO275" s="42" t="n">
        <f aca="false">-($D$270+$J$270)*(AO$5=0)+IF(AND(AO$5-$K$270&gt;=1,AO$5-$K$270&lt;=Inputs!$C$13),INDEX($N$273:$AL$273,1,AO$5-$K$270+1)*INDEX($N$274:$AL$274,1,AO$5-$K$270+1),0)-$I$270*((AO$5=Inputs!$C$12)*$C$272*$D$270+(AO$5=Inputs!$C$13)*$D$272*($D$270+Inputs!$C$14))+$I$270*((AO$5=Inputs!$C$15+$K$270)*$E$272*$I$272+(AO$5=Inputs!$C$16+$K$270)*$F$272*$J$272+(AO$5=Inputs!$C$17)*$G$272*$H$270*$H$272)</f>
        <v>0</v>
      </c>
      <c r="AP275" s="42" t="n">
        <f aca="false">-($D$270+$J$270)*(AP$5=0)+IF(AND(AP$5-$K$270&gt;=1,AP$5-$K$270&lt;=Inputs!$C$13),INDEX($N$273:$AL$273,1,AP$5-$K$270+1)*INDEX($N$274:$AL$274,1,AP$5-$K$270+1),0)-$I$270*((AP$5=Inputs!$C$12)*$C$272*$D$270+(AP$5=Inputs!$C$13)*$D$272*($D$270+Inputs!$C$14))+$I$270*((AP$5=Inputs!$C$15+$K$270)*$E$272*$I$272+(AP$5=Inputs!$C$16+$K$270)*$F$272*$J$272+(AP$5=Inputs!$C$17)*$G$272*$H$270*$H$272)</f>
        <v>0</v>
      </c>
      <c r="AQ275" s="42" t="n">
        <f aca="false">-($D$270+$J$270)*(AQ$5=0)+IF(AND(AQ$5-$K$270&gt;=1,AQ$5-$K$270&lt;=Inputs!$C$13),INDEX($N$273:$AL$273,1,AQ$5-$K$270+1)*INDEX($N$274:$AL$274,1,AQ$5-$K$270+1),0)-$I$270*((AQ$5=Inputs!$C$12)*$C$272*$D$270+(AQ$5=Inputs!$C$13)*$D$272*($D$270+Inputs!$C$14))+$I$270*((AQ$5=Inputs!$C$15+$K$270)*$E$272*$I$272+(AQ$5=Inputs!$C$16+$K$270)*$F$272*$J$272+(AQ$5=Inputs!$C$17)*$G$272*$H$270*$H$272)</f>
        <v>0</v>
      </c>
      <c r="AR275" s="42" t="n">
        <f aca="false">-($D$270+$J$270)*(AR$5=0)+IF(AND(AR$5-$K$270&gt;=1,AR$5-$K$270&lt;=Inputs!$C$13),INDEX($N$273:$AL$273,1,AR$5-$K$270+1)*INDEX($N$274:$AL$274,1,AR$5-$K$270+1),0)-$I$270*((AR$5=Inputs!$C$12)*$C$272*$D$270+(AR$5=Inputs!$C$13)*$D$272*($D$270+Inputs!$C$14))+$I$270*((AR$5=Inputs!$C$15+$K$270)*$E$272*$I$272+(AR$5=Inputs!$C$16+$K$270)*$F$272*$J$272+(AR$5=Inputs!$C$17)*$G$272*$H$270*$H$272)</f>
        <v>0</v>
      </c>
      <c r="AS275" s="42" t="n">
        <f aca="false">-($D$270+$J$270)*(AS$5=0)+IF(AND(AS$5-$K$270&gt;=1,AS$5-$K$270&lt;=Inputs!$C$13),INDEX($N$273:$AL$273,1,AS$5-$K$270+1)*INDEX($N$274:$AL$274,1,AS$5-$K$270+1),0)-$I$270*((AS$5=Inputs!$C$12)*$C$272*$D$270+(AS$5=Inputs!$C$13)*$D$272*($D$270+Inputs!$C$14))+$I$270*((AS$5=Inputs!$C$15+$K$270)*$E$272*$I$272+(AS$5=Inputs!$C$16+$K$270)*$F$272*$J$272+(AS$5=Inputs!$C$17)*$G$272*$H$270*$H$272)</f>
        <v>0</v>
      </c>
      <c r="AT275" s="42" t="n">
        <f aca="false">-($D$270+$J$270)*(AT$5=0)+IF(AND(AT$5-$K$270&gt;=1,AT$5-$K$270&lt;=Inputs!$C$13),INDEX($N$273:$AL$273,1,AT$5-$K$270+1)*INDEX($N$274:$AL$274,1,AT$5-$K$270+1),0)-$I$270*((AT$5=Inputs!$C$12)*$C$272*$D$270+(AT$5=Inputs!$C$13)*$D$272*($D$270+Inputs!$C$14))+$I$270*((AT$5=Inputs!$C$15+$K$270)*$E$272*$I$272+(AT$5=Inputs!$C$16+$K$270)*$F$272*$J$272+(AT$5=Inputs!$C$17)*$G$272*$H$270*$H$272)</f>
        <v>0</v>
      </c>
      <c r="AU275" s="42" t="n">
        <f aca="false">-($D$270+$J$270)*(AU$5=0)+IF(AND(AU$5-$K$270&gt;=1,AU$5-$K$270&lt;=Inputs!$C$13),INDEX($N$273:$AL$273,1,AU$5-$K$270+1)*INDEX($N$274:$AL$274,1,AU$5-$K$270+1),0)-$I$270*((AU$5=Inputs!$C$12)*$C$272*$D$270+(AU$5=Inputs!$C$13)*$D$272*($D$270+Inputs!$C$14))+$I$270*((AU$5=Inputs!$C$15+$K$270)*$E$272*$I$272+(AU$5=Inputs!$C$16+$K$270)*$F$272*$J$272+(AU$5=Inputs!$C$17)*$G$272*$H$270*$H$272)</f>
        <v>0</v>
      </c>
      <c r="AV275" s="42" t="n">
        <f aca="false">-($D$270+$J$270)*(AV$5=0)+IF(AND(AV$5-$K$270&gt;=1,AV$5-$K$270&lt;=Inputs!$C$13),INDEX($N$273:$AL$273,1,AV$5-$K$270+1)*INDEX($N$274:$AL$274,1,AV$5-$K$270+1),0)-$I$270*((AV$5=Inputs!$C$12)*$C$272*$D$270+(AV$5=Inputs!$C$13)*$D$272*($D$270+Inputs!$C$14))+$I$270*((AV$5=Inputs!$C$15+$K$270)*$E$272*$I$272+(AV$5=Inputs!$C$16+$K$270)*$F$272*$J$272+(AV$5=Inputs!$C$17)*$G$272*$H$270*$H$272)</f>
        <v>0</v>
      </c>
      <c r="AW275" s="42" t="n">
        <f aca="false">-($D$270+$J$270)*(AW$5=0)+IF(AND(AW$5-$K$270&gt;=1,AW$5-$K$270&lt;=Inputs!$C$13),INDEX($N$273:$AL$273,1,AW$5-$K$270+1)*INDEX($N$274:$AL$274,1,AW$5-$K$270+1),0)-$I$270*((AW$5=Inputs!$C$12)*$C$272*$D$270+(AW$5=Inputs!$C$13)*$D$272*($D$270+Inputs!$C$14))+$I$270*((AW$5=Inputs!$C$15+$K$270)*$E$272*$I$272+(AW$5=Inputs!$C$16+$K$270)*$F$272*$J$272+(AW$5=Inputs!$C$17)*$G$272*$H$270*$H$272)</f>
        <v>0</v>
      </c>
      <c r="AX275" s="42" t="n">
        <f aca="false">-($D$270+$J$270)*(AX$5=0)+IF(AND(AX$5-$K$270&gt;=1,AX$5-$K$270&lt;=Inputs!$C$13),INDEX($N$273:$AL$273,1,AX$5-$K$270+1)*INDEX($N$274:$AL$274,1,AX$5-$K$270+1),0)-$I$270*((AX$5=Inputs!$C$12)*$C$272*$D$270+(AX$5=Inputs!$C$13)*$D$272*($D$270+Inputs!$C$14))+$I$270*((AX$5=Inputs!$C$15+$K$270)*$E$272*$I$272+(AX$5=Inputs!$C$16+$K$270)*$F$272*$J$272+(AX$5=Inputs!$C$17)*$G$272*$H$270*$H$272)</f>
        <v>0</v>
      </c>
      <c r="AY275" s="42" t="n">
        <f aca="false">-($D$270+$J$270)*(AY$5=0)+IF(AND(AY$5-$K$270&gt;=1,AY$5-$K$270&lt;=Inputs!$C$13),INDEX($N$273:$AL$273,1,AY$5-$K$270+1)*INDEX($N$274:$AL$274,1,AY$5-$K$270+1),0)-$I$270*((AY$5=Inputs!$C$12)*$C$272*$D$270+(AY$5=Inputs!$C$13)*$D$272*($D$270+Inputs!$C$14))+$I$270*((AY$5=Inputs!$C$15+$K$270)*$E$272*$I$272+(AY$5=Inputs!$C$16+$K$270)*$F$272*$J$272+(AY$5=Inputs!$C$17)*$G$272*$H$270*$H$272)</f>
        <v>0</v>
      </c>
    </row>
    <row r="277" customFormat="false" ht="15" hidden="false" customHeight="false" outlineLevel="0" collapsed="false">
      <c r="B277" s="7" t="s">
        <v>271</v>
      </c>
      <c r="C277" s="8"/>
      <c r="D277" s="8"/>
      <c r="E277" s="8"/>
      <c r="F277" s="8"/>
      <c r="G277" s="8"/>
      <c r="H277" s="8"/>
      <c r="I277" s="8"/>
      <c r="J277" s="8"/>
      <c r="K277" s="8"/>
      <c r="L277" s="8"/>
    </row>
    <row r="278" customFormat="false" ht="30" hidden="false" customHeight="true" outlineLevel="0" collapsed="false">
      <c r="B278" s="37"/>
      <c r="C278" s="38" t="s">
        <v>169</v>
      </c>
      <c r="D278" s="38" t="s">
        <v>170</v>
      </c>
      <c r="E278" s="38" t="s">
        <v>171</v>
      </c>
      <c r="F278" s="38" t="s">
        <v>43</v>
      </c>
      <c r="G278" s="38" t="s">
        <v>44</v>
      </c>
      <c r="H278" s="38" t="s">
        <v>45</v>
      </c>
      <c r="I278" s="38" t="s">
        <v>172</v>
      </c>
      <c r="J278" s="38" t="s">
        <v>90</v>
      </c>
      <c r="K278" s="38" t="s">
        <v>89</v>
      </c>
      <c r="L278" s="38" t="s">
        <v>173</v>
      </c>
    </row>
    <row r="279" customFormat="false" ht="15" hidden="false" customHeight="false" outlineLevel="0" collapsed="false">
      <c r="B279" s="39" t="s">
        <v>174</v>
      </c>
      <c r="C279" s="26" t="n">
        <f aca="false">Inputs!$F$39*Inputs!$E$61</f>
        <v>0.005</v>
      </c>
      <c r="D279" s="30" t="n">
        <f aca="false">Inputs!$E$39</f>
        <v>4200</v>
      </c>
      <c r="E279" s="26" t="n">
        <f aca="false">IF(Inputs!$G$39=1,Inputs!$F$27,MIN(1,MAX(0,INDEX(Inputs!$F$23:$F$27,MATCH(Inputs!$C$39,Inputs!$B$23:$B$27,0))+INDEX(Inputs!$C$48:$C$51,MATCH(Inputs!$D$61,Inputs!$B$48:$B$51,0)))))</f>
        <v>0.885</v>
      </c>
      <c r="F279" s="25" t="n">
        <f aca="false">IF(Inputs!$G$39=1,Inputs!$G$27,INDEX(Inputs!$G$23:$G$27,MATCH(Inputs!$C$39,Inputs!$B$23:$B$27,0)))</f>
        <v>0.8</v>
      </c>
      <c r="G279" s="25" t="n">
        <f aca="false">IF(Inputs!$G$39=1,Inputs!$H$27,INDEX(Inputs!$H$23:$H$27,MATCH(Inputs!$C$39,Inputs!$B$23:$B$27,0)))*INDEX(Inputs!$D$48:$D$51,MATCH(Inputs!$D$61,Inputs!$B$48:$B$51,0))</f>
        <v>0.475</v>
      </c>
      <c r="H279" s="25" t="n">
        <f aca="false">MAX(0,IF(Inputs!$G$39=1,Inputs!$I$27,INDEX(Inputs!$I$23:$I$27,MATCH(Inputs!$C$39,Inputs!$B$23:$B$27,0)))+INDEX(Inputs!$E$48:$E$51,MATCH(Inputs!$D$61,Inputs!$B$48:$B$51,0)))</f>
        <v>0.7</v>
      </c>
      <c r="I279" s="22" t="n">
        <f aca="false">IF(Inputs!$G$39=1,0,INDEX(Inputs!$J$23:$J$27,MATCH(Inputs!$C$39,Inputs!$B$23:$B$27,0)))</f>
        <v>1</v>
      </c>
      <c r="J279" s="23" t="n">
        <f aca="false">Inputs!$G$61</f>
        <v>10</v>
      </c>
      <c r="K279" s="22" t="n">
        <f aca="false">Inputs!$F$61</f>
        <v>1</v>
      </c>
      <c r="L279" s="22" t="n">
        <f aca="false">Inputs!$C$61</f>
        <v>2</v>
      </c>
    </row>
    <row r="280" customFormat="false" ht="30" hidden="false" customHeight="true" outlineLevel="0" collapsed="false">
      <c r="B280" s="37"/>
      <c r="C280" s="38" t="s">
        <v>175</v>
      </c>
      <c r="D280" s="38" t="s">
        <v>176</v>
      </c>
      <c r="E280" s="38" t="s">
        <v>177</v>
      </c>
      <c r="F280" s="38" t="s">
        <v>178</v>
      </c>
      <c r="G280" s="38" t="s">
        <v>112</v>
      </c>
      <c r="H280" s="38" t="s">
        <v>179</v>
      </c>
      <c r="I280" s="38" t="s">
        <v>180</v>
      </c>
      <c r="J280" s="38" t="s">
        <v>181</v>
      </c>
      <c r="K280" s="38" t="s">
        <v>182</v>
      </c>
      <c r="L280" s="38" t="s">
        <v>183</v>
      </c>
    </row>
    <row r="281" customFormat="false" ht="15" hidden="false" customHeight="false" outlineLevel="0" collapsed="false">
      <c r="B281" s="39" t="s">
        <v>184</v>
      </c>
      <c r="C281" s="40" t="n">
        <f aca="false">1-$E$279*CHOOSE($L$279,INDEX(Timing!$C$7:$AA$7,1,Inputs!$C$12+1),INDEX(Timing!$C$8:$AA$8,1,Inputs!$C$12+1))</f>
        <v>0.4513</v>
      </c>
      <c r="D281" s="40" t="n">
        <f aca="false">1-$E$279*CHOOSE($L$279,INDEX(Timing!$C$7:$AA$7,1,Inputs!$C$13+1),INDEX(Timing!$C$8:$AA$8,1,Inputs!$C$13+1))</f>
        <v>0.115</v>
      </c>
      <c r="E281" s="40" t="n">
        <f aca="false">$I$279*$D$281*$F$279</f>
        <v>0.092</v>
      </c>
      <c r="F281" s="40" t="n">
        <f aca="false">$I$279*($D$281-$E$281)*$G$279</f>
        <v>0.010925</v>
      </c>
      <c r="G281" s="40" t="n">
        <f aca="false">$I$279*($D$281-$E$281-$F$281)</f>
        <v>0.012075</v>
      </c>
      <c r="H281" s="23" t="n">
        <f aca="false">$I$279*(3*$D$279+Inputs!$C$14)</f>
        <v>14400</v>
      </c>
      <c r="I281" s="23" t="n">
        <f aca="false">$I$279*($D$279*(1+IF($C$279&lt;=0,0,MAX($C$279*Inputs!$C$15/12,Inputs!$C$8)))+$D$279*(1+Inputs!$C$11*(Inputs!$C$15-Inputs!$C$12)/12)+$D$279*(1+Inputs!$C$11*(Inputs!$C$15-Inputs!$C$13)/12)+Inputs!$C$14)</f>
        <v>15744</v>
      </c>
      <c r="J281" s="23" t="n">
        <f aca="false">$I$279*($D$279*(1+IF($C$279&lt;=0,0,MAX($C$279*Inputs!$C$16/12,Inputs!$C$8)))+$D$279*(1+Inputs!$C$11*(Inputs!$C$16-Inputs!$C$12)/12)+$D$279*(1+Inputs!$C$11*(Inputs!$C$16-Inputs!$C$13)/12)+Inputs!$C$14)</f>
        <v>16122</v>
      </c>
      <c r="K281" s="40" t="n">
        <f aca="false">IRR($N$284:$AY$284,0.005)</f>
        <v>0.0049055106958758</v>
      </c>
      <c r="L281" s="41" t="n">
        <f aca="false">(1+$K$281)^12-1</f>
        <v>0.0604806137831622</v>
      </c>
    </row>
    <row r="282" customFormat="false" ht="15" hidden="false" customHeight="false" outlineLevel="0" collapsed="false">
      <c r="B282" s="9" t="s">
        <v>185</v>
      </c>
      <c r="N282" s="40" t="n">
        <f aca="false">0</f>
        <v>0</v>
      </c>
      <c r="O282" s="40" t="n">
        <f aca="false">$E$279*(CHOOSE($L$279,Timing!D$7,Timing!D$8)-CHOOSE($L$279,Timing!C$7,Timing!C$8))</f>
        <v>0.0531</v>
      </c>
      <c r="P282" s="40" t="n">
        <f aca="false">$E$279*(CHOOSE($L$279,Timing!E$7,Timing!E$8)-CHOOSE($L$279,Timing!D$7,Timing!D$8))</f>
        <v>0.0531</v>
      </c>
      <c r="Q282" s="40" t="n">
        <f aca="false">$E$279*(CHOOSE($L$279,Timing!F$7,Timing!F$8)-CHOOSE($L$279,Timing!E$7,Timing!E$8))</f>
        <v>0.0531</v>
      </c>
      <c r="R282" s="40" t="n">
        <f aca="false">$E$279*(CHOOSE($L$279,Timing!G$7,Timing!G$8)-CHOOSE($L$279,Timing!F$7,Timing!F$8))</f>
        <v>0.0531</v>
      </c>
      <c r="S282" s="40" t="n">
        <f aca="false">$E$279*(CHOOSE($L$279,Timing!H$7,Timing!H$8)-CHOOSE($L$279,Timing!G$7,Timing!G$8))</f>
        <v>0.0531</v>
      </c>
      <c r="T282" s="40" t="n">
        <f aca="false">$E$279*(CHOOSE($L$279,Timing!I$7,Timing!I$8)-CHOOSE($L$279,Timing!H$7,Timing!H$8))</f>
        <v>0.0531</v>
      </c>
      <c r="U282" s="40" t="n">
        <f aca="false">$E$279*(CHOOSE($L$279,Timing!J$7,Timing!J$8)-CHOOSE($L$279,Timing!I$7,Timing!I$8))</f>
        <v>0.0413</v>
      </c>
      <c r="V282" s="40" t="n">
        <f aca="false">$E$279*(CHOOSE($L$279,Timing!K$7,Timing!K$8)-CHOOSE($L$279,Timing!J$7,Timing!J$8))</f>
        <v>0.0413</v>
      </c>
      <c r="W282" s="40" t="n">
        <f aca="false">$E$279*(CHOOSE($L$279,Timing!L$7,Timing!L$8)-CHOOSE($L$279,Timing!K$7,Timing!K$8))</f>
        <v>0.0413</v>
      </c>
      <c r="X282" s="40" t="n">
        <f aca="false">$E$279*(CHOOSE($L$279,Timing!M$7,Timing!M$8)-CHOOSE($L$279,Timing!L$7,Timing!L$8))</f>
        <v>0.0354</v>
      </c>
      <c r="Y282" s="40" t="n">
        <f aca="false">$E$279*(CHOOSE($L$279,Timing!N$7,Timing!N$8)-CHOOSE($L$279,Timing!M$7,Timing!M$8))</f>
        <v>0.0353999999999999</v>
      </c>
      <c r="Z282" s="40" t="n">
        <f aca="false">$E$279*(CHOOSE($L$279,Timing!O$7,Timing!O$8)-CHOOSE($L$279,Timing!N$7,Timing!N$8))</f>
        <v>0.0354</v>
      </c>
      <c r="AA282" s="40" t="n">
        <f aca="false">$E$279*(CHOOSE($L$279,Timing!P$7,Timing!P$8)-CHOOSE($L$279,Timing!O$7,Timing!O$8))</f>
        <v>0.0295</v>
      </c>
      <c r="AB282" s="40" t="n">
        <f aca="false">$E$279*(CHOOSE($L$279,Timing!Q$7,Timing!Q$8)-CHOOSE($L$279,Timing!P$7,Timing!P$8))</f>
        <v>0.0295</v>
      </c>
      <c r="AC282" s="40" t="n">
        <f aca="false">$E$279*(CHOOSE($L$279,Timing!R$7,Timing!R$8)-CHOOSE($L$279,Timing!Q$7,Timing!Q$8))</f>
        <v>0.0295</v>
      </c>
      <c r="AD282" s="40" t="n">
        <f aca="false">$E$279*(CHOOSE($L$279,Timing!S$7,Timing!S$8)-CHOOSE($L$279,Timing!R$7,Timing!R$8))</f>
        <v>0.0295</v>
      </c>
      <c r="AE282" s="40" t="n">
        <f aca="false">$E$279*(CHOOSE($L$279,Timing!T$7,Timing!T$8)-CHOOSE($L$279,Timing!S$7,Timing!S$8))</f>
        <v>0.0295</v>
      </c>
      <c r="AF282" s="40" t="n">
        <f aca="false">$E$279*(CHOOSE($L$279,Timing!U$7,Timing!U$8)-CHOOSE($L$279,Timing!T$7,Timing!T$8))</f>
        <v>0.0295</v>
      </c>
      <c r="AG282" s="40" t="n">
        <f aca="false">$E$279*(CHOOSE($L$279,Timing!V$7,Timing!V$8)-CHOOSE($L$279,Timing!U$7,Timing!U$8))</f>
        <v>0.02655</v>
      </c>
      <c r="AH282" s="40" t="n">
        <f aca="false">$E$279*(CHOOSE($L$279,Timing!W$7,Timing!W$8)-CHOOSE($L$279,Timing!V$7,Timing!V$8))</f>
        <v>0.02655</v>
      </c>
      <c r="AI282" s="40" t="n">
        <f aca="false">$E$279*(CHOOSE($L$279,Timing!X$7,Timing!X$8)-CHOOSE($L$279,Timing!W$7,Timing!W$8))</f>
        <v>0.0265499999999999</v>
      </c>
      <c r="AJ282" s="40" t="n">
        <f aca="false">$E$279*(CHOOSE($L$279,Timing!Y$7,Timing!Y$8)-CHOOSE($L$279,Timing!X$7,Timing!X$8))</f>
        <v>0.02655</v>
      </c>
      <c r="AK282" s="40" t="n">
        <f aca="false">$E$279*(CHOOSE($L$279,Timing!Z$7,Timing!Z$8)-CHOOSE($L$279,Timing!Y$7,Timing!Y$8))</f>
        <v>0.02655</v>
      </c>
      <c r="AL282" s="40" t="n">
        <f aca="false">$E$279*(CHOOSE($L$279,Timing!AA$7,Timing!AA$8)-CHOOSE($L$279,Timing!Z$7,Timing!Z$8))</f>
        <v>0.02655</v>
      </c>
    </row>
    <row r="283" customFormat="false" ht="15" hidden="false" customHeight="false" outlineLevel="0" collapsed="false">
      <c r="B283" s="9" t="s">
        <v>186</v>
      </c>
      <c r="N283" s="42" t="n">
        <f aca="false">0</f>
        <v>0</v>
      </c>
      <c r="O283" s="42" t="n">
        <f aca="false">$D$279*(1+IF($C$279&lt;=0,0,MAX($C$279*O$5/12,Inputs!$C$8)))+$I$279*(O$5&gt;Inputs!$C$12)*$D$279*(1+Inputs!$C$11*(O$5-Inputs!$C$12)/12)</f>
        <v>4410</v>
      </c>
      <c r="P283" s="42" t="n">
        <f aca="false">$D$279*(1+IF($C$279&lt;=0,0,MAX($C$279*P$5/12,Inputs!$C$8)))+$I$279*(P$5&gt;Inputs!$C$12)*$D$279*(1+Inputs!$C$11*(P$5-Inputs!$C$12)/12)</f>
        <v>4410</v>
      </c>
      <c r="Q283" s="42" t="n">
        <f aca="false">$D$279*(1+IF($C$279&lt;=0,0,MAX($C$279*Q$5/12,Inputs!$C$8)))+$I$279*(Q$5&gt;Inputs!$C$12)*$D$279*(1+Inputs!$C$11*(Q$5-Inputs!$C$12)/12)</f>
        <v>4410</v>
      </c>
      <c r="R283" s="42" t="n">
        <f aca="false">$D$279*(1+IF($C$279&lt;=0,0,MAX($C$279*R$5/12,Inputs!$C$8)))+$I$279*(R$5&gt;Inputs!$C$12)*$D$279*(1+Inputs!$C$11*(R$5-Inputs!$C$12)/12)</f>
        <v>4410</v>
      </c>
      <c r="S283" s="42" t="n">
        <f aca="false">$D$279*(1+IF($C$279&lt;=0,0,MAX($C$279*S$5/12,Inputs!$C$8)))+$I$279*(S$5&gt;Inputs!$C$12)*$D$279*(1+Inputs!$C$11*(S$5-Inputs!$C$12)/12)</f>
        <v>4410</v>
      </c>
      <c r="T283" s="42" t="n">
        <f aca="false">$D$279*(1+IF($C$279&lt;=0,0,MAX($C$279*T$5/12,Inputs!$C$8)))+$I$279*(T$5&gt;Inputs!$C$12)*$D$279*(1+Inputs!$C$11*(T$5-Inputs!$C$12)/12)</f>
        <v>4410</v>
      </c>
      <c r="U283" s="42" t="n">
        <f aca="false">$D$279*(1+IF($C$279&lt;=0,0,MAX($C$279*U$5/12,Inputs!$C$8)))+$I$279*(U$5&gt;Inputs!$C$12)*$D$279*(1+Inputs!$C$11*(U$5-Inputs!$C$12)/12)</f>
        <v>4410</v>
      </c>
      <c r="V283" s="42" t="n">
        <f aca="false">$D$279*(1+IF($C$279&lt;=0,0,MAX($C$279*V$5/12,Inputs!$C$8)))+$I$279*(V$5&gt;Inputs!$C$12)*$D$279*(1+Inputs!$C$11*(V$5-Inputs!$C$12)/12)</f>
        <v>4410</v>
      </c>
      <c r="W283" s="42" t="n">
        <f aca="false">$D$279*(1+IF($C$279&lt;=0,0,MAX($C$279*W$5/12,Inputs!$C$8)))+$I$279*(W$5&gt;Inputs!$C$12)*$D$279*(1+Inputs!$C$11*(W$5-Inputs!$C$12)/12)</f>
        <v>4410</v>
      </c>
      <c r="X283" s="42" t="n">
        <f aca="false">$D$279*(1+IF($C$279&lt;=0,0,MAX($C$279*X$5/12,Inputs!$C$8)))+$I$279*(X$5&gt;Inputs!$C$12)*$D$279*(1+Inputs!$C$11*(X$5-Inputs!$C$12)/12)</f>
        <v>4410</v>
      </c>
      <c r="Y283" s="42" t="n">
        <f aca="false">$D$279*(1+IF($C$279&lt;=0,0,MAX($C$279*Y$5/12,Inputs!$C$8)))+$I$279*(Y$5&gt;Inputs!$C$12)*$D$279*(1+Inputs!$C$11*(Y$5-Inputs!$C$12)/12)</f>
        <v>4410</v>
      </c>
      <c r="Z283" s="42" t="n">
        <f aca="false">$D$279*(1+IF($C$279&lt;=0,0,MAX($C$279*Z$5/12,Inputs!$C$8)))+$I$279*(Z$5&gt;Inputs!$C$12)*$D$279*(1+Inputs!$C$11*(Z$5-Inputs!$C$12)/12)</f>
        <v>4410</v>
      </c>
      <c r="AA283" s="42" t="n">
        <f aca="false">$D$279*(1+IF($C$279&lt;=0,0,MAX($C$279*AA$5/12,Inputs!$C$8)))+$I$279*(AA$5&gt;Inputs!$C$12)*$D$279*(1+Inputs!$C$11*(AA$5-Inputs!$C$12)/12)</f>
        <v>8673</v>
      </c>
      <c r="AB283" s="42" t="n">
        <f aca="false">$D$279*(1+IF($C$279&lt;=0,0,MAX($C$279*AB$5/12,Inputs!$C$8)))+$I$279*(AB$5&gt;Inputs!$C$12)*$D$279*(1+Inputs!$C$11*(AB$5-Inputs!$C$12)/12)</f>
        <v>8736</v>
      </c>
      <c r="AC283" s="42" t="n">
        <f aca="false">$D$279*(1+IF($C$279&lt;=0,0,MAX($C$279*AC$5/12,Inputs!$C$8)))+$I$279*(AC$5&gt;Inputs!$C$12)*$D$279*(1+Inputs!$C$11*(AC$5-Inputs!$C$12)/12)</f>
        <v>8799</v>
      </c>
      <c r="AD283" s="42" t="n">
        <f aca="false">$D$279*(1+IF($C$279&lt;=0,0,MAX($C$279*AD$5/12,Inputs!$C$8)))+$I$279*(AD$5&gt;Inputs!$C$12)*$D$279*(1+Inputs!$C$11*(AD$5-Inputs!$C$12)/12)</f>
        <v>8862</v>
      </c>
      <c r="AE283" s="42" t="n">
        <f aca="false">$D$279*(1+IF($C$279&lt;=0,0,MAX($C$279*AE$5/12,Inputs!$C$8)))+$I$279*(AE$5&gt;Inputs!$C$12)*$D$279*(1+Inputs!$C$11*(AE$5-Inputs!$C$12)/12)</f>
        <v>8925</v>
      </c>
      <c r="AF283" s="42" t="n">
        <f aca="false">$D$279*(1+IF($C$279&lt;=0,0,MAX($C$279*AF$5/12,Inputs!$C$8)))+$I$279*(AF$5&gt;Inputs!$C$12)*$D$279*(1+Inputs!$C$11*(AF$5-Inputs!$C$12)/12)</f>
        <v>8988</v>
      </c>
      <c r="AG283" s="42" t="n">
        <f aca="false">$D$279*(1+IF($C$279&lt;=0,0,MAX($C$279*AG$5/12,Inputs!$C$8)))+$I$279*(AG$5&gt;Inputs!$C$12)*$D$279*(1+Inputs!$C$11*(AG$5-Inputs!$C$12)/12)</f>
        <v>9051</v>
      </c>
      <c r="AH283" s="42" t="n">
        <f aca="false">$D$279*(1+IF($C$279&lt;=0,0,MAX($C$279*AH$5/12,Inputs!$C$8)))+$I$279*(AH$5&gt;Inputs!$C$12)*$D$279*(1+Inputs!$C$11*(AH$5-Inputs!$C$12)/12)</f>
        <v>9114</v>
      </c>
      <c r="AI283" s="42" t="n">
        <f aca="false">$D$279*(1+IF($C$279&lt;=0,0,MAX($C$279*AI$5/12,Inputs!$C$8)))+$I$279*(AI$5&gt;Inputs!$C$12)*$D$279*(1+Inputs!$C$11*(AI$5-Inputs!$C$12)/12)</f>
        <v>9177</v>
      </c>
      <c r="AJ283" s="42" t="n">
        <f aca="false">$D$279*(1+IF($C$279&lt;=0,0,MAX($C$279*AJ$5/12,Inputs!$C$8)))+$I$279*(AJ$5&gt;Inputs!$C$12)*$D$279*(1+Inputs!$C$11*(AJ$5-Inputs!$C$12)/12)</f>
        <v>9240</v>
      </c>
      <c r="AK283" s="42" t="n">
        <f aca="false">$D$279*(1+IF($C$279&lt;=0,0,MAX($C$279*AK$5/12,Inputs!$C$8)))+$I$279*(AK$5&gt;Inputs!$C$12)*$D$279*(1+Inputs!$C$11*(AK$5-Inputs!$C$12)/12)</f>
        <v>9303</v>
      </c>
      <c r="AL283" s="42" t="n">
        <f aca="false">$D$279*(1+IF($C$279&lt;=0,0,MAX($C$279*AL$5/12,Inputs!$C$8)))+$I$279*(AL$5&gt;Inputs!$C$12)*$D$279*(1+Inputs!$C$11*(AL$5-Inputs!$C$12)/12)</f>
        <v>9366</v>
      </c>
    </row>
    <row r="284" customFormat="false" ht="15" hidden="false" customHeight="false" outlineLevel="0" collapsed="false">
      <c r="B284" s="31" t="s">
        <v>187</v>
      </c>
      <c r="N284" s="42" t="n">
        <f aca="false">-($D$279+$J$279)*(N$5=0)+IF(AND(N$5-$K$279&gt;=1,N$5-$K$279&lt;=Inputs!$C$13),INDEX($N$282:$AL$282,1,N$5-$K$279+1)*INDEX($N$283:$AL$283,1,N$5-$K$279+1),0)-$I$279*((N$5=Inputs!$C$12)*$C$281*$D$279+(N$5=Inputs!$C$13)*$D$281*($D$279+Inputs!$C$14))+$I$279*((N$5=Inputs!$C$15+$K$279)*$E$281*$I$281+(N$5=Inputs!$C$16+$K$279)*$F$281*$J$281+(N$5=Inputs!$C$17)*$G$281*$H$279*$H$281)</f>
        <v>-4210</v>
      </c>
      <c r="O284" s="42" t="n">
        <f aca="false">-($D$279+$J$279)*(O$5=0)+IF(AND(O$5-$K$279&gt;=1,O$5-$K$279&lt;=Inputs!$C$13),INDEX($N$282:$AL$282,1,O$5-$K$279+1)*INDEX($N$283:$AL$283,1,O$5-$K$279+1),0)-$I$279*((O$5=Inputs!$C$12)*$C$281*$D$279+(O$5=Inputs!$C$13)*$D$281*($D$279+Inputs!$C$14))+$I$279*((O$5=Inputs!$C$15+$K$279)*$E$281*$I$281+(O$5=Inputs!$C$16+$K$279)*$F$281*$J$281+(O$5=Inputs!$C$17)*$G$281*$H$279*$H$281)</f>
        <v>0</v>
      </c>
      <c r="P284" s="42" t="n">
        <f aca="false">-($D$279+$J$279)*(P$5=0)+IF(AND(P$5-$K$279&gt;=1,P$5-$K$279&lt;=Inputs!$C$13),INDEX($N$282:$AL$282,1,P$5-$K$279+1)*INDEX($N$283:$AL$283,1,P$5-$K$279+1),0)-$I$279*((P$5=Inputs!$C$12)*$C$281*$D$279+(P$5=Inputs!$C$13)*$D$281*($D$279+Inputs!$C$14))+$I$279*((P$5=Inputs!$C$15+$K$279)*$E$281*$I$281+(P$5=Inputs!$C$16+$K$279)*$F$281*$J$281+(P$5=Inputs!$C$17)*$G$281*$H$279*$H$281)</f>
        <v>234.171</v>
      </c>
      <c r="Q284" s="42" t="n">
        <f aca="false">-($D$279+$J$279)*(Q$5=0)+IF(AND(Q$5-$K$279&gt;=1,Q$5-$K$279&lt;=Inputs!$C$13),INDEX($N$282:$AL$282,1,Q$5-$K$279+1)*INDEX($N$283:$AL$283,1,Q$5-$K$279+1),0)-$I$279*((Q$5=Inputs!$C$12)*$C$281*$D$279+(Q$5=Inputs!$C$13)*$D$281*($D$279+Inputs!$C$14))+$I$279*((Q$5=Inputs!$C$15+$K$279)*$E$281*$I$281+(Q$5=Inputs!$C$16+$K$279)*$F$281*$J$281+(Q$5=Inputs!$C$17)*$G$281*$H$279*$H$281)</f>
        <v>234.171</v>
      </c>
      <c r="R284" s="42" t="n">
        <f aca="false">-($D$279+$J$279)*(R$5=0)+IF(AND(R$5-$K$279&gt;=1,R$5-$K$279&lt;=Inputs!$C$13),INDEX($N$282:$AL$282,1,R$5-$K$279+1)*INDEX($N$283:$AL$283,1,R$5-$K$279+1),0)-$I$279*((R$5=Inputs!$C$12)*$C$281*$D$279+(R$5=Inputs!$C$13)*$D$281*($D$279+Inputs!$C$14))+$I$279*((R$5=Inputs!$C$15+$K$279)*$E$281*$I$281+(R$5=Inputs!$C$16+$K$279)*$F$281*$J$281+(R$5=Inputs!$C$17)*$G$281*$H$279*$H$281)</f>
        <v>234.171</v>
      </c>
      <c r="S284" s="42" t="n">
        <f aca="false">-($D$279+$J$279)*(S$5=0)+IF(AND(S$5-$K$279&gt;=1,S$5-$K$279&lt;=Inputs!$C$13),INDEX($N$282:$AL$282,1,S$5-$K$279+1)*INDEX($N$283:$AL$283,1,S$5-$K$279+1),0)-$I$279*((S$5=Inputs!$C$12)*$C$281*$D$279+(S$5=Inputs!$C$13)*$D$281*($D$279+Inputs!$C$14))+$I$279*((S$5=Inputs!$C$15+$K$279)*$E$281*$I$281+(S$5=Inputs!$C$16+$K$279)*$F$281*$J$281+(S$5=Inputs!$C$17)*$G$281*$H$279*$H$281)</f>
        <v>234.171</v>
      </c>
      <c r="T284" s="42" t="n">
        <f aca="false">-($D$279+$J$279)*(T$5=0)+IF(AND(T$5-$K$279&gt;=1,T$5-$K$279&lt;=Inputs!$C$13),INDEX($N$282:$AL$282,1,T$5-$K$279+1)*INDEX($N$283:$AL$283,1,T$5-$K$279+1),0)-$I$279*((T$5=Inputs!$C$12)*$C$281*$D$279+(T$5=Inputs!$C$13)*$D$281*($D$279+Inputs!$C$14))+$I$279*((T$5=Inputs!$C$15+$K$279)*$E$281*$I$281+(T$5=Inputs!$C$16+$K$279)*$F$281*$J$281+(T$5=Inputs!$C$17)*$G$281*$H$279*$H$281)</f>
        <v>234.171</v>
      </c>
      <c r="U284" s="42" t="n">
        <f aca="false">-($D$279+$J$279)*(U$5=0)+IF(AND(U$5-$K$279&gt;=1,U$5-$K$279&lt;=Inputs!$C$13),INDEX($N$282:$AL$282,1,U$5-$K$279+1)*INDEX($N$283:$AL$283,1,U$5-$K$279+1),0)-$I$279*((U$5=Inputs!$C$12)*$C$281*$D$279+(U$5=Inputs!$C$13)*$D$281*($D$279+Inputs!$C$14))+$I$279*((U$5=Inputs!$C$15+$K$279)*$E$281*$I$281+(U$5=Inputs!$C$16+$K$279)*$F$281*$J$281+(U$5=Inputs!$C$17)*$G$281*$H$279*$H$281)</f>
        <v>234.171</v>
      </c>
      <c r="V284" s="42" t="n">
        <f aca="false">-($D$279+$J$279)*(V$5=0)+IF(AND(V$5-$K$279&gt;=1,V$5-$K$279&lt;=Inputs!$C$13),INDEX($N$282:$AL$282,1,V$5-$K$279+1)*INDEX($N$283:$AL$283,1,V$5-$K$279+1),0)-$I$279*((V$5=Inputs!$C$12)*$C$281*$D$279+(V$5=Inputs!$C$13)*$D$281*($D$279+Inputs!$C$14))+$I$279*((V$5=Inputs!$C$15+$K$279)*$E$281*$I$281+(V$5=Inputs!$C$16+$K$279)*$F$281*$J$281+(V$5=Inputs!$C$17)*$G$281*$H$279*$H$281)</f>
        <v>182.133</v>
      </c>
      <c r="W284" s="42" t="n">
        <f aca="false">-($D$279+$J$279)*(W$5=0)+IF(AND(W$5-$K$279&gt;=1,W$5-$K$279&lt;=Inputs!$C$13),INDEX($N$282:$AL$282,1,W$5-$K$279+1)*INDEX($N$283:$AL$283,1,W$5-$K$279+1),0)-$I$279*((W$5=Inputs!$C$12)*$C$281*$D$279+(W$5=Inputs!$C$13)*$D$281*($D$279+Inputs!$C$14))+$I$279*((W$5=Inputs!$C$15+$K$279)*$E$281*$I$281+(W$5=Inputs!$C$16+$K$279)*$F$281*$J$281+(W$5=Inputs!$C$17)*$G$281*$H$279*$H$281)</f>
        <v>182.133</v>
      </c>
      <c r="X284" s="42" t="n">
        <f aca="false">-($D$279+$J$279)*(X$5=0)+IF(AND(X$5-$K$279&gt;=1,X$5-$K$279&lt;=Inputs!$C$13),INDEX($N$282:$AL$282,1,X$5-$K$279+1)*INDEX($N$283:$AL$283,1,X$5-$K$279+1),0)-$I$279*((X$5=Inputs!$C$12)*$C$281*$D$279+(X$5=Inputs!$C$13)*$D$281*($D$279+Inputs!$C$14))+$I$279*((X$5=Inputs!$C$15+$K$279)*$E$281*$I$281+(X$5=Inputs!$C$16+$K$279)*$F$281*$J$281+(X$5=Inputs!$C$17)*$G$281*$H$279*$H$281)</f>
        <v>182.133</v>
      </c>
      <c r="Y284" s="42" t="n">
        <f aca="false">-($D$279+$J$279)*(Y$5=0)+IF(AND(Y$5-$K$279&gt;=1,Y$5-$K$279&lt;=Inputs!$C$13),INDEX($N$282:$AL$282,1,Y$5-$K$279+1)*INDEX($N$283:$AL$283,1,Y$5-$K$279+1),0)-$I$279*((Y$5=Inputs!$C$12)*$C$281*$D$279+(Y$5=Inputs!$C$13)*$D$281*($D$279+Inputs!$C$14))+$I$279*((Y$5=Inputs!$C$15+$K$279)*$E$281*$I$281+(Y$5=Inputs!$C$16+$K$279)*$F$281*$J$281+(Y$5=Inputs!$C$17)*$G$281*$H$279*$H$281)</f>
        <v>156.114</v>
      </c>
      <c r="Z284" s="42" t="n">
        <f aca="false">-($D$279+$J$279)*(Z$5=0)+IF(AND(Z$5-$K$279&gt;=1,Z$5-$K$279&lt;=Inputs!$C$13),INDEX($N$282:$AL$282,1,Z$5-$K$279+1)*INDEX($N$283:$AL$283,1,Z$5-$K$279+1),0)-$I$279*((Z$5=Inputs!$C$12)*$C$281*$D$279+(Z$5=Inputs!$C$13)*$D$281*($D$279+Inputs!$C$14))+$I$279*((Z$5=Inputs!$C$15+$K$279)*$E$281*$I$281+(Z$5=Inputs!$C$16+$K$279)*$F$281*$J$281+(Z$5=Inputs!$C$17)*$G$281*$H$279*$H$281)</f>
        <v>-1739.346</v>
      </c>
      <c r="AA284" s="42" t="n">
        <f aca="false">-($D$279+$J$279)*(AA$5=0)+IF(AND(AA$5-$K$279&gt;=1,AA$5-$K$279&lt;=Inputs!$C$13),INDEX($N$282:$AL$282,1,AA$5-$K$279+1)*INDEX($N$283:$AL$283,1,AA$5-$K$279+1),0)-$I$279*((AA$5=Inputs!$C$12)*$C$281*$D$279+(AA$5=Inputs!$C$13)*$D$281*($D$279+Inputs!$C$14))+$I$279*((AA$5=Inputs!$C$15+$K$279)*$E$281*$I$281+(AA$5=Inputs!$C$16+$K$279)*$F$281*$J$281+(AA$5=Inputs!$C$17)*$G$281*$H$279*$H$281)</f>
        <v>156.114</v>
      </c>
      <c r="AB284" s="42" t="n">
        <f aca="false">-($D$279+$J$279)*(AB$5=0)+IF(AND(AB$5-$K$279&gt;=1,AB$5-$K$279&lt;=Inputs!$C$13),INDEX($N$282:$AL$282,1,AB$5-$K$279+1)*INDEX($N$283:$AL$283,1,AB$5-$K$279+1),0)-$I$279*((AB$5=Inputs!$C$12)*$C$281*$D$279+(AB$5=Inputs!$C$13)*$D$281*($D$279+Inputs!$C$14))+$I$279*((AB$5=Inputs!$C$15+$K$279)*$E$281*$I$281+(AB$5=Inputs!$C$16+$K$279)*$F$281*$J$281+(AB$5=Inputs!$C$17)*$G$281*$H$279*$H$281)</f>
        <v>255.8535</v>
      </c>
      <c r="AC284" s="42" t="n">
        <f aca="false">-($D$279+$J$279)*(AC$5=0)+IF(AND(AC$5-$K$279&gt;=1,AC$5-$K$279&lt;=Inputs!$C$13),INDEX($N$282:$AL$282,1,AC$5-$K$279+1)*INDEX($N$283:$AL$283,1,AC$5-$K$279+1),0)-$I$279*((AC$5=Inputs!$C$12)*$C$281*$D$279+(AC$5=Inputs!$C$13)*$D$281*($D$279+Inputs!$C$14))+$I$279*((AC$5=Inputs!$C$15+$K$279)*$E$281*$I$281+(AC$5=Inputs!$C$16+$K$279)*$F$281*$J$281+(AC$5=Inputs!$C$17)*$G$281*$H$279*$H$281)</f>
        <v>257.712</v>
      </c>
      <c r="AD284" s="42" t="n">
        <f aca="false">-($D$279+$J$279)*(AD$5=0)+IF(AND(AD$5-$K$279&gt;=1,AD$5-$K$279&lt;=Inputs!$C$13),INDEX($N$282:$AL$282,1,AD$5-$K$279+1)*INDEX($N$283:$AL$283,1,AD$5-$K$279+1),0)-$I$279*((AD$5=Inputs!$C$12)*$C$281*$D$279+(AD$5=Inputs!$C$13)*$D$281*($D$279+Inputs!$C$14))+$I$279*((AD$5=Inputs!$C$15+$K$279)*$E$281*$I$281+(AD$5=Inputs!$C$16+$K$279)*$F$281*$J$281+(AD$5=Inputs!$C$17)*$G$281*$H$279*$H$281)</f>
        <v>259.5705</v>
      </c>
      <c r="AE284" s="42" t="n">
        <f aca="false">-($D$279+$J$279)*(AE$5=0)+IF(AND(AE$5-$K$279&gt;=1,AE$5-$K$279&lt;=Inputs!$C$13),INDEX($N$282:$AL$282,1,AE$5-$K$279+1)*INDEX($N$283:$AL$283,1,AE$5-$K$279+1),0)-$I$279*((AE$5=Inputs!$C$12)*$C$281*$D$279+(AE$5=Inputs!$C$13)*$D$281*($D$279+Inputs!$C$14))+$I$279*((AE$5=Inputs!$C$15+$K$279)*$E$281*$I$281+(AE$5=Inputs!$C$16+$K$279)*$F$281*$J$281+(AE$5=Inputs!$C$17)*$G$281*$H$279*$H$281)</f>
        <v>261.429</v>
      </c>
      <c r="AF284" s="42" t="n">
        <f aca="false">-($D$279+$J$279)*(AF$5=0)+IF(AND(AF$5-$K$279&gt;=1,AF$5-$K$279&lt;=Inputs!$C$13),INDEX($N$282:$AL$282,1,AF$5-$K$279+1)*INDEX($N$283:$AL$283,1,AF$5-$K$279+1),0)-$I$279*((AF$5=Inputs!$C$12)*$C$281*$D$279+(AF$5=Inputs!$C$13)*$D$281*($D$279+Inputs!$C$14))+$I$279*((AF$5=Inputs!$C$15+$K$279)*$E$281*$I$281+(AF$5=Inputs!$C$16+$K$279)*$F$281*$J$281+(AF$5=Inputs!$C$17)*$G$281*$H$279*$H$281)</f>
        <v>263.2875</v>
      </c>
      <c r="AG284" s="42" t="n">
        <f aca="false">-($D$279+$J$279)*(AG$5=0)+IF(AND(AG$5-$K$279&gt;=1,AG$5-$K$279&lt;=Inputs!$C$13),INDEX($N$282:$AL$282,1,AG$5-$K$279+1)*INDEX($N$283:$AL$283,1,AG$5-$K$279+1),0)-$I$279*((AG$5=Inputs!$C$12)*$C$281*$D$279+(AG$5=Inputs!$C$13)*$D$281*($D$279+Inputs!$C$14))+$I$279*((AG$5=Inputs!$C$15+$K$279)*$E$281*$I$281+(AG$5=Inputs!$C$16+$K$279)*$F$281*$J$281+(AG$5=Inputs!$C$17)*$G$281*$H$279*$H$281)</f>
        <v>265.146</v>
      </c>
      <c r="AH284" s="42" t="n">
        <f aca="false">-($D$279+$J$279)*(AH$5=0)+IF(AND(AH$5-$K$279&gt;=1,AH$5-$K$279&lt;=Inputs!$C$13),INDEX($N$282:$AL$282,1,AH$5-$K$279+1)*INDEX($N$283:$AL$283,1,AH$5-$K$279+1),0)-$I$279*((AH$5=Inputs!$C$12)*$C$281*$D$279+(AH$5=Inputs!$C$13)*$D$281*($D$279+Inputs!$C$14))+$I$279*((AH$5=Inputs!$C$15+$K$279)*$E$281*$I$281+(AH$5=Inputs!$C$16+$K$279)*$F$281*$J$281+(AH$5=Inputs!$C$17)*$G$281*$H$279*$H$281)</f>
        <v>240.30405</v>
      </c>
      <c r="AI284" s="42" t="n">
        <f aca="false">-($D$279+$J$279)*(AI$5=0)+IF(AND(AI$5-$K$279&gt;=1,AI$5-$K$279&lt;=Inputs!$C$13),INDEX($N$282:$AL$282,1,AI$5-$K$279+1)*INDEX($N$283:$AL$283,1,AI$5-$K$279+1),0)-$I$279*((AI$5=Inputs!$C$12)*$C$281*$D$279+(AI$5=Inputs!$C$13)*$D$281*($D$279+Inputs!$C$14))+$I$279*((AI$5=Inputs!$C$15+$K$279)*$E$281*$I$281+(AI$5=Inputs!$C$16+$K$279)*$F$281*$J$281+(AI$5=Inputs!$C$17)*$G$281*$H$279*$H$281)</f>
        <v>241.9767</v>
      </c>
      <c r="AJ284" s="42" t="n">
        <f aca="false">-($D$279+$J$279)*(AJ$5=0)+IF(AND(AJ$5-$K$279&gt;=1,AJ$5-$K$279&lt;=Inputs!$C$13),INDEX($N$282:$AL$282,1,AJ$5-$K$279+1)*INDEX($N$283:$AL$283,1,AJ$5-$K$279+1),0)-$I$279*((AJ$5=Inputs!$C$12)*$C$281*$D$279+(AJ$5=Inputs!$C$13)*$D$281*($D$279+Inputs!$C$14))+$I$279*((AJ$5=Inputs!$C$15+$K$279)*$E$281*$I$281+(AJ$5=Inputs!$C$16+$K$279)*$F$281*$J$281+(AJ$5=Inputs!$C$17)*$G$281*$H$279*$H$281)</f>
        <v>243.649349999999</v>
      </c>
      <c r="AK284" s="42" t="n">
        <f aca="false">-($D$279+$J$279)*(AK$5=0)+IF(AND(AK$5-$K$279&gt;=1,AK$5-$K$279&lt;=Inputs!$C$13),INDEX($N$282:$AL$282,1,AK$5-$K$279+1)*INDEX($N$283:$AL$283,1,AK$5-$K$279+1),0)-$I$279*((AK$5=Inputs!$C$12)*$C$281*$D$279+(AK$5=Inputs!$C$13)*$D$281*($D$279+Inputs!$C$14))+$I$279*((AK$5=Inputs!$C$15+$K$279)*$E$281*$I$281+(AK$5=Inputs!$C$16+$K$279)*$F$281*$J$281+(AK$5=Inputs!$C$17)*$G$281*$H$279*$H$281)</f>
        <v>245.322</v>
      </c>
      <c r="AL284" s="42" t="n">
        <f aca="false">-($D$279+$J$279)*(AL$5=0)+IF(AND(AL$5-$K$279&gt;=1,AL$5-$K$279&lt;=Inputs!$C$13),INDEX($N$282:$AL$282,1,AL$5-$K$279+1)*INDEX($N$283:$AL$283,1,AL$5-$K$279+1),0)-$I$279*((AL$5=Inputs!$C$12)*$C$281*$D$279+(AL$5=Inputs!$C$13)*$D$281*($D$279+Inputs!$C$14))+$I$279*((AL$5=Inputs!$C$15+$K$279)*$E$281*$I$281+(AL$5=Inputs!$C$16+$K$279)*$F$281*$J$281+(AL$5=Inputs!$C$17)*$G$281*$H$279*$H$281)</f>
        <v>-443.00535</v>
      </c>
      <c r="AM284" s="42" t="n">
        <f aca="false">-($D$279+$J$279)*(AM$5=0)+IF(AND(AM$5-$K$279&gt;=1,AM$5-$K$279&lt;=Inputs!$C$13),INDEX($N$282:$AL$282,1,AM$5-$K$279+1)*INDEX($N$283:$AL$283,1,AM$5-$K$279+1),0)-$I$279*((AM$5=Inputs!$C$12)*$C$281*$D$279+(AM$5=Inputs!$C$13)*$D$281*($D$279+Inputs!$C$14))+$I$279*((AM$5=Inputs!$C$15+$K$279)*$E$281*$I$281+(AM$5=Inputs!$C$16+$K$279)*$F$281*$J$281+(AM$5=Inputs!$C$17)*$G$281*$H$279*$H$281)</f>
        <v>248.6673</v>
      </c>
      <c r="AN284" s="42" t="n">
        <f aca="false">-($D$279+$J$279)*(AN$5=0)+IF(AND(AN$5-$K$279&gt;=1,AN$5-$K$279&lt;=Inputs!$C$13),INDEX($N$282:$AL$282,1,AN$5-$K$279+1)*INDEX($N$283:$AL$283,1,AN$5-$K$279+1),0)-$I$279*((AN$5=Inputs!$C$12)*$C$281*$D$279+(AN$5=Inputs!$C$13)*$D$281*($D$279+Inputs!$C$14))+$I$279*((AN$5=Inputs!$C$15+$K$279)*$E$281*$I$281+(AN$5=Inputs!$C$16+$K$279)*$F$281*$J$281+(AN$5=Inputs!$C$17)*$G$281*$H$279*$H$281)</f>
        <v>0</v>
      </c>
      <c r="AO284" s="42" t="n">
        <f aca="false">-($D$279+$J$279)*(AO$5=0)+IF(AND(AO$5-$K$279&gt;=1,AO$5-$K$279&lt;=Inputs!$C$13),INDEX($N$282:$AL$282,1,AO$5-$K$279+1)*INDEX($N$283:$AL$283,1,AO$5-$K$279+1),0)-$I$279*((AO$5=Inputs!$C$12)*$C$281*$D$279+(AO$5=Inputs!$C$13)*$D$281*($D$279+Inputs!$C$14))+$I$279*((AO$5=Inputs!$C$15+$K$279)*$E$281*$I$281+(AO$5=Inputs!$C$16+$K$279)*$F$281*$J$281+(AO$5=Inputs!$C$17)*$G$281*$H$279*$H$281)</f>
        <v>0</v>
      </c>
      <c r="AP284" s="42" t="n">
        <f aca="false">-($D$279+$J$279)*(AP$5=0)+IF(AND(AP$5-$K$279&gt;=1,AP$5-$K$279&lt;=Inputs!$C$13),INDEX($N$282:$AL$282,1,AP$5-$K$279+1)*INDEX($N$283:$AL$283,1,AP$5-$K$279+1),0)-$I$279*((AP$5=Inputs!$C$12)*$C$281*$D$279+(AP$5=Inputs!$C$13)*$D$281*($D$279+Inputs!$C$14))+$I$279*((AP$5=Inputs!$C$15+$K$279)*$E$281*$I$281+(AP$5=Inputs!$C$16+$K$279)*$F$281*$J$281+(AP$5=Inputs!$C$17)*$G$281*$H$279*$H$281)</f>
        <v>1448.448</v>
      </c>
      <c r="AQ284" s="42" t="n">
        <f aca="false">-($D$279+$J$279)*(AQ$5=0)+IF(AND(AQ$5-$K$279&gt;=1,AQ$5-$K$279&lt;=Inputs!$C$13),INDEX($N$282:$AL$282,1,AQ$5-$K$279+1)*INDEX($N$283:$AL$283,1,AQ$5-$K$279+1),0)-$I$279*((AQ$5=Inputs!$C$12)*$C$281*$D$279+(AQ$5=Inputs!$C$13)*$D$281*($D$279+Inputs!$C$14))+$I$279*((AQ$5=Inputs!$C$15+$K$279)*$E$281*$I$281+(AQ$5=Inputs!$C$16+$K$279)*$F$281*$J$281+(AQ$5=Inputs!$C$17)*$G$281*$H$279*$H$281)</f>
        <v>0</v>
      </c>
      <c r="AR284" s="42" t="n">
        <f aca="false">-($D$279+$J$279)*(AR$5=0)+IF(AND(AR$5-$K$279&gt;=1,AR$5-$K$279&lt;=Inputs!$C$13),INDEX($N$282:$AL$282,1,AR$5-$K$279+1)*INDEX($N$283:$AL$283,1,AR$5-$K$279+1),0)-$I$279*((AR$5=Inputs!$C$12)*$C$281*$D$279+(AR$5=Inputs!$C$13)*$D$281*($D$279+Inputs!$C$14))+$I$279*((AR$5=Inputs!$C$15+$K$279)*$E$281*$I$281+(AR$5=Inputs!$C$16+$K$279)*$F$281*$J$281+(AR$5=Inputs!$C$17)*$G$281*$H$279*$H$281)</f>
        <v>0</v>
      </c>
      <c r="AS284" s="42" t="n">
        <f aca="false">-($D$279+$J$279)*(AS$5=0)+IF(AND(AS$5-$K$279&gt;=1,AS$5-$K$279&lt;=Inputs!$C$13),INDEX($N$282:$AL$282,1,AS$5-$K$279+1)*INDEX($N$283:$AL$283,1,AS$5-$K$279+1),0)-$I$279*((AS$5=Inputs!$C$12)*$C$281*$D$279+(AS$5=Inputs!$C$13)*$D$281*($D$279+Inputs!$C$14))+$I$279*((AS$5=Inputs!$C$15+$K$279)*$E$281*$I$281+(AS$5=Inputs!$C$16+$K$279)*$F$281*$J$281+(AS$5=Inputs!$C$17)*$G$281*$H$279*$H$281)</f>
        <v>176.13285</v>
      </c>
      <c r="AT284" s="42" t="n">
        <f aca="false">-($D$279+$J$279)*(AT$5=0)+IF(AND(AT$5-$K$279&gt;=1,AT$5-$K$279&lt;=Inputs!$C$13),INDEX($N$282:$AL$282,1,AT$5-$K$279+1)*INDEX($N$283:$AL$283,1,AT$5-$K$279+1),0)-$I$279*((AT$5=Inputs!$C$12)*$C$281*$D$279+(AT$5=Inputs!$C$13)*$D$281*($D$279+Inputs!$C$14))+$I$279*((AT$5=Inputs!$C$15+$K$279)*$E$281*$I$281+(AT$5=Inputs!$C$16+$K$279)*$F$281*$J$281+(AT$5=Inputs!$C$17)*$G$281*$H$279*$H$281)</f>
        <v>0</v>
      </c>
      <c r="AU284" s="42" t="n">
        <f aca="false">-($D$279+$J$279)*(AU$5=0)+IF(AND(AU$5-$K$279&gt;=1,AU$5-$K$279&lt;=Inputs!$C$13),INDEX($N$282:$AL$282,1,AU$5-$K$279+1)*INDEX($N$283:$AL$283,1,AU$5-$K$279+1),0)-$I$279*((AU$5=Inputs!$C$12)*$C$281*$D$279+(AU$5=Inputs!$C$13)*$D$281*($D$279+Inputs!$C$14))+$I$279*((AU$5=Inputs!$C$15+$K$279)*$E$281*$I$281+(AU$5=Inputs!$C$16+$K$279)*$F$281*$J$281+(AU$5=Inputs!$C$17)*$G$281*$H$279*$H$281)</f>
        <v>0</v>
      </c>
      <c r="AV284" s="42" t="n">
        <f aca="false">-($D$279+$J$279)*(AV$5=0)+IF(AND(AV$5-$K$279&gt;=1,AV$5-$K$279&lt;=Inputs!$C$13),INDEX($N$282:$AL$282,1,AV$5-$K$279+1)*INDEX($N$283:$AL$283,1,AV$5-$K$279+1),0)-$I$279*((AV$5=Inputs!$C$12)*$C$281*$D$279+(AV$5=Inputs!$C$13)*$D$281*($D$279+Inputs!$C$14))+$I$279*((AV$5=Inputs!$C$15+$K$279)*$E$281*$I$281+(AV$5=Inputs!$C$16+$K$279)*$F$281*$J$281+(AV$5=Inputs!$C$17)*$G$281*$H$279*$H$281)</f>
        <v>0</v>
      </c>
      <c r="AW284" s="42" t="n">
        <f aca="false">-($D$279+$J$279)*(AW$5=0)+IF(AND(AW$5-$K$279&gt;=1,AW$5-$K$279&lt;=Inputs!$C$13),INDEX($N$282:$AL$282,1,AW$5-$K$279+1)*INDEX($N$283:$AL$283,1,AW$5-$K$279+1),0)-$I$279*((AW$5=Inputs!$C$12)*$C$281*$D$279+(AW$5=Inputs!$C$13)*$D$281*($D$279+Inputs!$C$14))+$I$279*((AW$5=Inputs!$C$15+$K$279)*$E$281*$I$281+(AW$5=Inputs!$C$16+$K$279)*$F$281*$J$281+(AW$5=Inputs!$C$17)*$G$281*$H$279*$H$281)</f>
        <v>0</v>
      </c>
      <c r="AX284" s="42" t="n">
        <f aca="false">-($D$279+$J$279)*(AX$5=0)+IF(AND(AX$5-$K$279&gt;=1,AX$5-$K$279&lt;=Inputs!$C$13),INDEX($N$282:$AL$282,1,AX$5-$K$279+1)*INDEX($N$283:$AL$283,1,AX$5-$K$279+1),0)-$I$279*((AX$5=Inputs!$C$12)*$C$281*$D$279+(AX$5=Inputs!$C$13)*$D$281*($D$279+Inputs!$C$14))+$I$279*((AX$5=Inputs!$C$15+$K$279)*$E$281*$I$281+(AX$5=Inputs!$C$16+$K$279)*$F$281*$J$281+(AX$5=Inputs!$C$17)*$G$281*$H$279*$H$281)</f>
        <v>121.716</v>
      </c>
      <c r="AY284" s="42" t="n">
        <f aca="false">-($D$279+$J$279)*(AY$5=0)+IF(AND(AY$5-$K$279&gt;=1,AY$5-$K$279&lt;=Inputs!$C$13),INDEX($N$282:$AL$282,1,AY$5-$K$279+1)*INDEX($N$283:$AL$283,1,AY$5-$K$279+1),0)-$I$279*((AY$5=Inputs!$C$12)*$C$281*$D$279+(AY$5=Inputs!$C$13)*$D$281*($D$279+Inputs!$C$14))+$I$279*((AY$5=Inputs!$C$15+$K$279)*$E$281*$I$281+(AY$5=Inputs!$C$16+$K$279)*$F$281*$J$281+(AY$5=Inputs!$C$17)*$G$281*$H$279*$H$281)</f>
        <v>0</v>
      </c>
    </row>
    <row r="286" customFormat="false" ht="15" hidden="false" customHeight="false" outlineLevel="0" collapsed="false">
      <c r="B286" s="7" t="s">
        <v>272</v>
      </c>
      <c r="C286" s="8"/>
      <c r="D286" s="8"/>
      <c r="E286" s="8"/>
      <c r="F286" s="8"/>
      <c r="G286" s="8"/>
      <c r="H286" s="8"/>
      <c r="I286" s="8"/>
      <c r="J286" s="8"/>
      <c r="K286" s="8"/>
      <c r="L286" s="8"/>
    </row>
    <row r="287" customFormat="false" ht="30" hidden="false" customHeight="true" outlineLevel="0" collapsed="false">
      <c r="B287" s="37"/>
      <c r="C287" s="38" t="s">
        <v>169</v>
      </c>
      <c r="D287" s="38" t="s">
        <v>170</v>
      </c>
      <c r="E287" s="38" t="s">
        <v>171</v>
      </c>
      <c r="F287" s="38" t="s">
        <v>43</v>
      </c>
      <c r="G287" s="38" t="s">
        <v>44</v>
      </c>
      <c r="H287" s="38" t="s">
        <v>45</v>
      </c>
      <c r="I287" s="38" t="s">
        <v>172</v>
      </c>
      <c r="J287" s="38" t="s">
        <v>90</v>
      </c>
      <c r="K287" s="38" t="s">
        <v>89</v>
      </c>
      <c r="L287" s="38" t="s">
        <v>173</v>
      </c>
    </row>
    <row r="288" customFormat="false" ht="15" hidden="false" customHeight="false" outlineLevel="0" collapsed="false">
      <c r="B288" s="39" t="s">
        <v>174</v>
      </c>
      <c r="C288" s="26" t="n">
        <f aca="false">Inputs!$F$40*Inputs!$E$61</f>
        <v>0.07</v>
      </c>
      <c r="D288" s="30" t="n">
        <f aca="false">Inputs!$E$40</f>
        <v>3600</v>
      </c>
      <c r="E288" s="26" t="n">
        <f aca="false">IF(Inputs!$G$40=1,Inputs!$F$27,MIN(1,MAX(0,INDEX(Inputs!$F$23:$F$27,MATCH(Inputs!$C$40,Inputs!$B$23:$B$27,0))+INDEX(Inputs!$C$48:$C$51,MATCH(Inputs!$D$61,Inputs!$B$48:$B$51,0)))))</f>
        <v>0.83</v>
      </c>
      <c r="F288" s="25" t="n">
        <f aca="false">IF(Inputs!$G$40=1,Inputs!$G$27,INDEX(Inputs!$G$23:$G$27,MATCH(Inputs!$C$40,Inputs!$B$23:$B$27,0)))</f>
        <v>0.6</v>
      </c>
      <c r="G288" s="25" t="n">
        <f aca="false">IF(Inputs!$G$40=1,Inputs!$H$27,INDEX(Inputs!$H$23:$H$27,MATCH(Inputs!$C$40,Inputs!$B$23:$B$27,0)))*INDEX(Inputs!$D$48:$D$51,MATCH(Inputs!$D$61,Inputs!$B$48:$B$51,0))</f>
        <v>0.425</v>
      </c>
      <c r="H288" s="25" t="n">
        <f aca="false">MAX(0,IF(Inputs!$G$40=1,Inputs!$I$27,INDEX(Inputs!$I$23:$I$27,MATCH(Inputs!$C$40,Inputs!$B$23:$B$27,0)))+INDEX(Inputs!$E$48:$E$51,MATCH(Inputs!$D$61,Inputs!$B$48:$B$51,0)))</f>
        <v>0.7</v>
      </c>
      <c r="I288" s="22" t="n">
        <f aca="false">IF(Inputs!$G$40=1,0,INDEX(Inputs!$J$23:$J$27,MATCH(Inputs!$C$40,Inputs!$B$23:$B$27,0)))</f>
        <v>1</v>
      </c>
      <c r="J288" s="23" t="n">
        <f aca="false">Inputs!$G$61</f>
        <v>10</v>
      </c>
      <c r="K288" s="22" t="n">
        <f aca="false">Inputs!$F$61</f>
        <v>1</v>
      </c>
      <c r="L288" s="22" t="n">
        <f aca="false">Inputs!$C$61</f>
        <v>2</v>
      </c>
    </row>
    <row r="289" customFormat="false" ht="30" hidden="false" customHeight="true" outlineLevel="0" collapsed="false">
      <c r="B289" s="37"/>
      <c r="C289" s="38" t="s">
        <v>175</v>
      </c>
      <c r="D289" s="38" t="s">
        <v>176</v>
      </c>
      <c r="E289" s="38" t="s">
        <v>177</v>
      </c>
      <c r="F289" s="38" t="s">
        <v>178</v>
      </c>
      <c r="G289" s="38" t="s">
        <v>112</v>
      </c>
      <c r="H289" s="38" t="s">
        <v>179</v>
      </c>
      <c r="I289" s="38" t="s">
        <v>180</v>
      </c>
      <c r="J289" s="38" t="s">
        <v>181</v>
      </c>
      <c r="K289" s="38" t="s">
        <v>182</v>
      </c>
      <c r="L289" s="38" t="s">
        <v>183</v>
      </c>
    </row>
    <row r="290" customFormat="false" ht="15" hidden="false" customHeight="false" outlineLevel="0" collapsed="false">
      <c r="B290" s="39" t="s">
        <v>184</v>
      </c>
      <c r="C290" s="40" t="n">
        <f aca="false">1-$E$288*CHOOSE($L$288,INDEX(Timing!$C$7:$AA$7,1,Inputs!$C$12+1),INDEX(Timing!$C$8:$AA$8,1,Inputs!$C$12+1))</f>
        <v>0.4854</v>
      </c>
      <c r="D290" s="40" t="n">
        <f aca="false">1-$E$288*CHOOSE($L$288,INDEX(Timing!$C$7:$AA$7,1,Inputs!$C$13+1),INDEX(Timing!$C$8:$AA$8,1,Inputs!$C$13+1))</f>
        <v>0.17</v>
      </c>
      <c r="E290" s="40" t="n">
        <f aca="false">$I$288*$D$290*$F$288</f>
        <v>0.102</v>
      </c>
      <c r="F290" s="40" t="n">
        <f aca="false">$I$288*($D$290-$E$290)*$G$288</f>
        <v>0.0289</v>
      </c>
      <c r="G290" s="40" t="n">
        <f aca="false">$I$288*($D$290-$E$290-$F$290)</f>
        <v>0.0391</v>
      </c>
      <c r="H290" s="23" t="n">
        <f aca="false">$I$288*(3*$D$288+Inputs!$C$14)</f>
        <v>12600</v>
      </c>
      <c r="I290" s="23" t="n">
        <f aca="false">$I$288*($D$288*(1+IF($C$288&lt;=0,0,MAX($C$288*Inputs!$C$15/12,Inputs!$C$8)))+$D$288*(1+Inputs!$C$11*(Inputs!$C$15-Inputs!$C$12)/12)+$D$288*(1+Inputs!$C$11*(Inputs!$C$15-Inputs!$C$13)/12)+Inputs!$C$14)</f>
        <v>14139</v>
      </c>
      <c r="J290" s="23" t="n">
        <f aca="false">$I$288*($D$288*(1+IF($C$288&lt;=0,0,MAX($C$288*Inputs!$C$16/12,Inputs!$C$8)))+$D$288*(1+Inputs!$C$11*(Inputs!$C$16-Inputs!$C$12)/12)+$D$288*(1+Inputs!$C$11*(Inputs!$C$16-Inputs!$C$13)/12)+Inputs!$C$14)</f>
        <v>14526</v>
      </c>
      <c r="K290" s="40" t="n">
        <f aca="false">IRR($N$293:$AY$293,0.005)</f>
        <v>0.00480228808956878</v>
      </c>
      <c r="L290" s="41" t="n">
        <f aca="false">(1+$K$290)^12-1</f>
        <v>0.0591741775063241</v>
      </c>
    </row>
    <row r="291" customFormat="false" ht="15" hidden="false" customHeight="false" outlineLevel="0" collapsed="false">
      <c r="B291" s="9" t="s">
        <v>185</v>
      </c>
      <c r="N291" s="40" t="n">
        <f aca="false">0</f>
        <v>0</v>
      </c>
      <c r="O291" s="40" t="n">
        <f aca="false">$E$288*(CHOOSE($L$288,Timing!D$7,Timing!D$8)-CHOOSE($L$288,Timing!C$7,Timing!C$8))</f>
        <v>0.0498</v>
      </c>
      <c r="P291" s="40" t="n">
        <f aca="false">$E$288*(CHOOSE($L$288,Timing!E$7,Timing!E$8)-CHOOSE($L$288,Timing!D$7,Timing!D$8))</f>
        <v>0.0498</v>
      </c>
      <c r="Q291" s="40" t="n">
        <f aca="false">$E$288*(CHOOSE($L$288,Timing!F$7,Timing!F$8)-CHOOSE($L$288,Timing!E$7,Timing!E$8))</f>
        <v>0.0498</v>
      </c>
      <c r="R291" s="40" t="n">
        <f aca="false">$E$288*(CHOOSE($L$288,Timing!G$7,Timing!G$8)-CHOOSE($L$288,Timing!F$7,Timing!F$8))</f>
        <v>0.0498</v>
      </c>
      <c r="S291" s="40" t="n">
        <f aca="false">$E$288*(CHOOSE($L$288,Timing!H$7,Timing!H$8)-CHOOSE($L$288,Timing!G$7,Timing!G$8))</f>
        <v>0.0498</v>
      </c>
      <c r="T291" s="40" t="n">
        <f aca="false">$E$288*(CHOOSE($L$288,Timing!I$7,Timing!I$8)-CHOOSE($L$288,Timing!H$7,Timing!H$8))</f>
        <v>0.0498</v>
      </c>
      <c r="U291" s="40" t="n">
        <f aca="false">$E$288*(CHOOSE($L$288,Timing!J$7,Timing!J$8)-CHOOSE($L$288,Timing!I$7,Timing!I$8))</f>
        <v>0.0387333333333334</v>
      </c>
      <c r="V291" s="40" t="n">
        <f aca="false">$E$288*(CHOOSE($L$288,Timing!K$7,Timing!K$8)-CHOOSE($L$288,Timing!J$7,Timing!J$8))</f>
        <v>0.0387333333333333</v>
      </c>
      <c r="W291" s="40" t="n">
        <f aca="false">$E$288*(CHOOSE($L$288,Timing!L$7,Timing!L$8)-CHOOSE($L$288,Timing!K$7,Timing!K$8))</f>
        <v>0.0387333333333334</v>
      </c>
      <c r="X291" s="40" t="n">
        <f aca="false">$E$288*(CHOOSE($L$288,Timing!M$7,Timing!M$8)-CHOOSE($L$288,Timing!L$7,Timing!L$8))</f>
        <v>0.0332</v>
      </c>
      <c r="Y291" s="40" t="n">
        <f aca="false">$E$288*(CHOOSE($L$288,Timing!N$7,Timing!N$8)-CHOOSE($L$288,Timing!M$7,Timing!M$8))</f>
        <v>0.0331999999999999</v>
      </c>
      <c r="Z291" s="40" t="n">
        <f aca="false">$E$288*(CHOOSE($L$288,Timing!O$7,Timing!O$8)-CHOOSE($L$288,Timing!N$7,Timing!N$8))</f>
        <v>0.0332</v>
      </c>
      <c r="AA291" s="40" t="n">
        <f aca="false">$E$288*(CHOOSE($L$288,Timing!P$7,Timing!P$8)-CHOOSE($L$288,Timing!O$7,Timing!O$8))</f>
        <v>0.0276666666666667</v>
      </c>
      <c r="AB291" s="40" t="n">
        <f aca="false">$E$288*(CHOOSE($L$288,Timing!Q$7,Timing!Q$8)-CHOOSE($L$288,Timing!P$7,Timing!P$8))</f>
        <v>0.0276666666666667</v>
      </c>
      <c r="AC291" s="40" t="n">
        <f aca="false">$E$288*(CHOOSE($L$288,Timing!R$7,Timing!R$8)-CHOOSE($L$288,Timing!Q$7,Timing!Q$8))</f>
        <v>0.0276666666666667</v>
      </c>
      <c r="AD291" s="40" t="n">
        <f aca="false">$E$288*(CHOOSE($L$288,Timing!S$7,Timing!S$8)-CHOOSE($L$288,Timing!R$7,Timing!R$8))</f>
        <v>0.0276666666666667</v>
      </c>
      <c r="AE291" s="40" t="n">
        <f aca="false">$E$288*(CHOOSE($L$288,Timing!T$7,Timing!T$8)-CHOOSE($L$288,Timing!S$7,Timing!S$8))</f>
        <v>0.0276666666666667</v>
      </c>
      <c r="AF291" s="40" t="n">
        <f aca="false">$E$288*(CHOOSE($L$288,Timing!U$7,Timing!U$8)-CHOOSE($L$288,Timing!T$7,Timing!T$8))</f>
        <v>0.0276666666666667</v>
      </c>
      <c r="AG291" s="40" t="n">
        <f aca="false">$E$288*(CHOOSE($L$288,Timing!V$7,Timing!V$8)-CHOOSE($L$288,Timing!U$7,Timing!U$8))</f>
        <v>0.0249</v>
      </c>
      <c r="AH291" s="40" t="n">
        <f aca="false">$E$288*(CHOOSE($L$288,Timing!W$7,Timing!W$8)-CHOOSE($L$288,Timing!V$7,Timing!V$8))</f>
        <v>0.0249</v>
      </c>
      <c r="AI291" s="40" t="n">
        <f aca="false">$E$288*(CHOOSE($L$288,Timing!X$7,Timing!X$8)-CHOOSE($L$288,Timing!W$7,Timing!W$8))</f>
        <v>0.0248999999999999</v>
      </c>
      <c r="AJ291" s="40" t="n">
        <f aca="false">$E$288*(CHOOSE($L$288,Timing!Y$7,Timing!Y$8)-CHOOSE($L$288,Timing!X$7,Timing!X$8))</f>
        <v>0.0249</v>
      </c>
      <c r="AK291" s="40" t="n">
        <f aca="false">$E$288*(CHOOSE($L$288,Timing!Z$7,Timing!Z$8)-CHOOSE($L$288,Timing!Y$7,Timing!Y$8))</f>
        <v>0.0249</v>
      </c>
      <c r="AL291" s="40" t="n">
        <f aca="false">$E$288*(CHOOSE($L$288,Timing!AA$7,Timing!AA$8)-CHOOSE($L$288,Timing!Z$7,Timing!Z$8))</f>
        <v>0.0249</v>
      </c>
    </row>
    <row r="292" customFormat="false" ht="15" hidden="false" customHeight="false" outlineLevel="0" collapsed="false">
      <c r="B292" s="9" t="s">
        <v>186</v>
      </c>
      <c r="N292" s="42" t="n">
        <f aca="false">0</f>
        <v>0</v>
      </c>
      <c r="O292" s="42" t="n">
        <f aca="false">$D$288*(1+IF($C$288&lt;=0,0,MAX($C$288*O$5/12,Inputs!$C$8)))+$I$288*(O$5&gt;Inputs!$C$12)*$D$288*(1+Inputs!$C$11*(O$5-Inputs!$C$12)/12)</f>
        <v>3780</v>
      </c>
      <c r="P292" s="42" t="n">
        <f aca="false">$D$288*(1+IF($C$288&lt;=0,0,MAX($C$288*P$5/12,Inputs!$C$8)))+$I$288*(P$5&gt;Inputs!$C$12)*$D$288*(1+Inputs!$C$11*(P$5-Inputs!$C$12)/12)</f>
        <v>3780</v>
      </c>
      <c r="Q292" s="42" t="n">
        <f aca="false">$D$288*(1+IF($C$288&lt;=0,0,MAX($C$288*Q$5/12,Inputs!$C$8)))+$I$288*(Q$5&gt;Inputs!$C$12)*$D$288*(1+Inputs!$C$11*(Q$5-Inputs!$C$12)/12)</f>
        <v>3780</v>
      </c>
      <c r="R292" s="42" t="n">
        <f aca="false">$D$288*(1+IF($C$288&lt;=0,0,MAX($C$288*R$5/12,Inputs!$C$8)))+$I$288*(R$5&gt;Inputs!$C$12)*$D$288*(1+Inputs!$C$11*(R$5-Inputs!$C$12)/12)</f>
        <v>3780</v>
      </c>
      <c r="S292" s="42" t="n">
        <f aca="false">$D$288*(1+IF($C$288&lt;=0,0,MAX($C$288*S$5/12,Inputs!$C$8)))+$I$288*(S$5&gt;Inputs!$C$12)*$D$288*(1+Inputs!$C$11*(S$5-Inputs!$C$12)/12)</f>
        <v>3780</v>
      </c>
      <c r="T292" s="42" t="n">
        <f aca="false">$D$288*(1+IF($C$288&lt;=0,0,MAX($C$288*T$5/12,Inputs!$C$8)))+$I$288*(T$5&gt;Inputs!$C$12)*$D$288*(1+Inputs!$C$11*(T$5-Inputs!$C$12)/12)</f>
        <v>3780</v>
      </c>
      <c r="U292" s="42" t="n">
        <f aca="false">$D$288*(1+IF($C$288&lt;=0,0,MAX($C$288*U$5/12,Inputs!$C$8)))+$I$288*(U$5&gt;Inputs!$C$12)*$D$288*(1+Inputs!$C$11*(U$5-Inputs!$C$12)/12)</f>
        <v>3780</v>
      </c>
      <c r="V292" s="42" t="n">
        <f aca="false">$D$288*(1+IF($C$288&lt;=0,0,MAX($C$288*V$5/12,Inputs!$C$8)))+$I$288*(V$5&gt;Inputs!$C$12)*$D$288*(1+Inputs!$C$11*(V$5-Inputs!$C$12)/12)</f>
        <v>3780</v>
      </c>
      <c r="W292" s="42" t="n">
        <f aca="false">$D$288*(1+IF($C$288&lt;=0,0,MAX($C$288*W$5/12,Inputs!$C$8)))+$I$288*(W$5&gt;Inputs!$C$12)*$D$288*(1+Inputs!$C$11*(W$5-Inputs!$C$12)/12)</f>
        <v>3789</v>
      </c>
      <c r="X292" s="42" t="n">
        <f aca="false">$D$288*(1+IF($C$288&lt;=0,0,MAX($C$288*X$5/12,Inputs!$C$8)))+$I$288*(X$5&gt;Inputs!$C$12)*$D$288*(1+Inputs!$C$11*(X$5-Inputs!$C$12)/12)</f>
        <v>3810</v>
      </c>
      <c r="Y292" s="42" t="n">
        <f aca="false">$D$288*(1+IF($C$288&lt;=0,0,MAX($C$288*Y$5/12,Inputs!$C$8)))+$I$288*(Y$5&gt;Inputs!$C$12)*$D$288*(1+Inputs!$C$11*(Y$5-Inputs!$C$12)/12)</f>
        <v>3831</v>
      </c>
      <c r="Z292" s="42" t="n">
        <f aca="false">$D$288*(1+IF($C$288&lt;=0,0,MAX($C$288*Z$5/12,Inputs!$C$8)))+$I$288*(Z$5&gt;Inputs!$C$12)*$D$288*(1+Inputs!$C$11*(Z$5-Inputs!$C$12)/12)</f>
        <v>3852</v>
      </c>
      <c r="AA292" s="42" t="n">
        <f aca="false">$D$288*(1+IF($C$288&lt;=0,0,MAX($C$288*AA$5/12,Inputs!$C$8)))+$I$288*(AA$5&gt;Inputs!$C$12)*$D$288*(1+Inputs!$C$11*(AA$5-Inputs!$C$12)/12)</f>
        <v>7527</v>
      </c>
      <c r="AB292" s="42" t="n">
        <f aca="false">$D$288*(1+IF($C$288&lt;=0,0,MAX($C$288*AB$5/12,Inputs!$C$8)))+$I$288*(AB$5&gt;Inputs!$C$12)*$D$288*(1+Inputs!$C$11*(AB$5-Inputs!$C$12)/12)</f>
        <v>7602</v>
      </c>
      <c r="AC292" s="42" t="n">
        <f aca="false">$D$288*(1+IF($C$288&lt;=0,0,MAX($C$288*AC$5/12,Inputs!$C$8)))+$I$288*(AC$5&gt;Inputs!$C$12)*$D$288*(1+Inputs!$C$11*(AC$5-Inputs!$C$12)/12)</f>
        <v>7677</v>
      </c>
      <c r="AD292" s="42" t="n">
        <f aca="false">$D$288*(1+IF($C$288&lt;=0,0,MAX($C$288*AD$5/12,Inputs!$C$8)))+$I$288*(AD$5&gt;Inputs!$C$12)*$D$288*(1+Inputs!$C$11*(AD$5-Inputs!$C$12)/12)</f>
        <v>7752</v>
      </c>
      <c r="AE292" s="42" t="n">
        <f aca="false">$D$288*(1+IF($C$288&lt;=0,0,MAX($C$288*AE$5/12,Inputs!$C$8)))+$I$288*(AE$5&gt;Inputs!$C$12)*$D$288*(1+Inputs!$C$11*(AE$5-Inputs!$C$12)/12)</f>
        <v>7827</v>
      </c>
      <c r="AF292" s="42" t="n">
        <f aca="false">$D$288*(1+IF($C$288&lt;=0,0,MAX($C$288*AF$5/12,Inputs!$C$8)))+$I$288*(AF$5&gt;Inputs!$C$12)*$D$288*(1+Inputs!$C$11*(AF$5-Inputs!$C$12)/12)</f>
        <v>7902</v>
      </c>
      <c r="AG292" s="42" t="n">
        <f aca="false">$D$288*(1+IF($C$288&lt;=0,0,MAX($C$288*AG$5/12,Inputs!$C$8)))+$I$288*(AG$5&gt;Inputs!$C$12)*$D$288*(1+Inputs!$C$11*(AG$5-Inputs!$C$12)/12)</f>
        <v>7977</v>
      </c>
      <c r="AH292" s="42" t="n">
        <f aca="false">$D$288*(1+IF($C$288&lt;=0,0,MAX($C$288*AH$5/12,Inputs!$C$8)))+$I$288*(AH$5&gt;Inputs!$C$12)*$D$288*(1+Inputs!$C$11*(AH$5-Inputs!$C$12)/12)</f>
        <v>8052</v>
      </c>
      <c r="AI292" s="42" t="n">
        <f aca="false">$D$288*(1+IF($C$288&lt;=0,0,MAX($C$288*AI$5/12,Inputs!$C$8)))+$I$288*(AI$5&gt;Inputs!$C$12)*$D$288*(1+Inputs!$C$11*(AI$5-Inputs!$C$12)/12)</f>
        <v>8127</v>
      </c>
      <c r="AJ292" s="42" t="n">
        <f aca="false">$D$288*(1+IF($C$288&lt;=0,0,MAX($C$288*AJ$5/12,Inputs!$C$8)))+$I$288*(AJ$5&gt;Inputs!$C$12)*$D$288*(1+Inputs!$C$11*(AJ$5-Inputs!$C$12)/12)</f>
        <v>8202</v>
      </c>
      <c r="AK292" s="42" t="n">
        <f aca="false">$D$288*(1+IF($C$288&lt;=0,0,MAX($C$288*AK$5/12,Inputs!$C$8)))+$I$288*(AK$5&gt;Inputs!$C$12)*$D$288*(1+Inputs!$C$11*(AK$5-Inputs!$C$12)/12)</f>
        <v>8277</v>
      </c>
      <c r="AL292" s="42" t="n">
        <f aca="false">$D$288*(1+IF($C$288&lt;=0,0,MAX($C$288*AL$5/12,Inputs!$C$8)))+$I$288*(AL$5&gt;Inputs!$C$12)*$D$288*(1+Inputs!$C$11*(AL$5-Inputs!$C$12)/12)</f>
        <v>8352</v>
      </c>
    </row>
    <row r="293" customFormat="false" ht="15" hidden="false" customHeight="false" outlineLevel="0" collapsed="false">
      <c r="B293" s="31" t="s">
        <v>187</v>
      </c>
      <c r="N293" s="42" t="n">
        <f aca="false">-($D$288+$J$288)*(N$5=0)+IF(AND(N$5-$K$288&gt;=1,N$5-$K$288&lt;=Inputs!$C$13),INDEX($N$291:$AL$291,1,N$5-$K$288+1)*INDEX($N$292:$AL$292,1,N$5-$K$288+1),0)-$I$288*((N$5=Inputs!$C$12)*$C$290*$D$288+(N$5=Inputs!$C$13)*$D$290*($D$288+Inputs!$C$14))+$I$288*((N$5=Inputs!$C$15+$K$288)*$E$290*$I$290+(N$5=Inputs!$C$16+$K$288)*$F$290*$J$290+(N$5=Inputs!$C$17)*$G$290*$H$288*$H$290)</f>
        <v>-3610</v>
      </c>
      <c r="O293" s="42" t="n">
        <f aca="false">-($D$288+$J$288)*(O$5=0)+IF(AND(O$5-$K$288&gt;=1,O$5-$K$288&lt;=Inputs!$C$13),INDEX($N$291:$AL$291,1,O$5-$K$288+1)*INDEX($N$292:$AL$292,1,O$5-$K$288+1),0)-$I$288*((O$5=Inputs!$C$12)*$C$290*$D$288+(O$5=Inputs!$C$13)*$D$290*($D$288+Inputs!$C$14))+$I$288*((O$5=Inputs!$C$15+$K$288)*$E$290*$I$290+(O$5=Inputs!$C$16+$K$288)*$F$290*$J$290+(O$5=Inputs!$C$17)*$G$290*$H$288*$H$290)</f>
        <v>0</v>
      </c>
      <c r="P293" s="42" t="n">
        <f aca="false">-($D$288+$J$288)*(P$5=0)+IF(AND(P$5-$K$288&gt;=1,P$5-$K$288&lt;=Inputs!$C$13),INDEX($N$291:$AL$291,1,P$5-$K$288+1)*INDEX($N$292:$AL$292,1,P$5-$K$288+1),0)-$I$288*((P$5=Inputs!$C$12)*$C$290*$D$288+(P$5=Inputs!$C$13)*$D$290*($D$288+Inputs!$C$14))+$I$288*((P$5=Inputs!$C$15+$K$288)*$E$290*$I$290+(P$5=Inputs!$C$16+$K$288)*$F$290*$J$290+(P$5=Inputs!$C$17)*$G$290*$H$288*$H$290)</f>
        <v>188.244</v>
      </c>
      <c r="Q293" s="42" t="n">
        <f aca="false">-($D$288+$J$288)*(Q$5=0)+IF(AND(Q$5-$K$288&gt;=1,Q$5-$K$288&lt;=Inputs!$C$13),INDEX($N$291:$AL$291,1,Q$5-$K$288+1)*INDEX($N$292:$AL$292,1,Q$5-$K$288+1),0)-$I$288*((Q$5=Inputs!$C$12)*$C$290*$D$288+(Q$5=Inputs!$C$13)*$D$290*($D$288+Inputs!$C$14))+$I$288*((Q$5=Inputs!$C$15+$K$288)*$E$290*$I$290+(Q$5=Inputs!$C$16+$K$288)*$F$290*$J$290+(Q$5=Inputs!$C$17)*$G$290*$H$288*$H$290)</f>
        <v>188.244</v>
      </c>
      <c r="R293" s="42" t="n">
        <f aca="false">-($D$288+$J$288)*(R$5=0)+IF(AND(R$5-$K$288&gt;=1,R$5-$K$288&lt;=Inputs!$C$13),INDEX($N$291:$AL$291,1,R$5-$K$288+1)*INDEX($N$292:$AL$292,1,R$5-$K$288+1),0)-$I$288*((R$5=Inputs!$C$12)*$C$290*$D$288+(R$5=Inputs!$C$13)*$D$290*($D$288+Inputs!$C$14))+$I$288*((R$5=Inputs!$C$15+$K$288)*$E$290*$I$290+(R$5=Inputs!$C$16+$K$288)*$F$290*$J$290+(R$5=Inputs!$C$17)*$G$290*$H$288*$H$290)</f>
        <v>188.244</v>
      </c>
      <c r="S293" s="42" t="n">
        <f aca="false">-($D$288+$J$288)*(S$5=0)+IF(AND(S$5-$K$288&gt;=1,S$5-$K$288&lt;=Inputs!$C$13),INDEX($N$291:$AL$291,1,S$5-$K$288+1)*INDEX($N$292:$AL$292,1,S$5-$K$288+1),0)-$I$288*((S$5=Inputs!$C$12)*$C$290*$D$288+(S$5=Inputs!$C$13)*$D$290*($D$288+Inputs!$C$14))+$I$288*((S$5=Inputs!$C$15+$K$288)*$E$290*$I$290+(S$5=Inputs!$C$16+$K$288)*$F$290*$J$290+(S$5=Inputs!$C$17)*$G$290*$H$288*$H$290)</f>
        <v>188.244</v>
      </c>
      <c r="T293" s="42" t="n">
        <f aca="false">-($D$288+$J$288)*(T$5=0)+IF(AND(T$5-$K$288&gt;=1,T$5-$K$288&lt;=Inputs!$C$13),INDEX($N$291:$AL$291,1,T$5-$K$288+1)*INDEX($N$292:$AL$292,1,T$5-$K$288+1),0)-$I$288*((T$5=Inputs!$C$12)*$C$290*$D$288+(T$5=Inputs!$C$13)*$D$290*($D$288+Inputs!$C$14))+$I$288*((T$5=Inputs!$C$15+$K$288)*$E$290*$I$290+(T$5=Inputs!$C$16+$K$288)*$F$290*$J$290+(T$5=Inputs!$C$17)*$G$290*$H$288*$H$290)</f>
        <v>188.244</v>
      </c>
      <c r="U293" s="42" t="n">
        <f aca="false">-($D$288+$J$288)*(U$5=0)+IF(AND(U$5-$K$288&gt;=1,U$5-$K$288&lt;=Inputs!$C$13),INDEX($N$291:$AL$291,1,U$5-$K$288+1)*INDEX($N$292:$AL$292,1,U$5-$K$288+1),0)-$I$288*((U$5=Inputs!$C$12)*$C$290*$D$288+(U$5=Inputs!$C$13)*$D$290*($D$288+Inputs!$C$14))+$I$288*((U$5=Inputs!$C$15+$K$288)*$E$290*$I$290+(U$5=Inputs!$C$16+$K$288)*$F$290*$J$290+(U$5=Inputs!$C$17)*$G$290*$H$288*$H$290)</f>
        <v>188.244</v>
      </c>
      <c r="V293" s="42" t="n">
        <f aca="false">-($D$288+$J$288)*(V$5=0)+IF(AND(V$5-$K$288&gt;=1,V$5-$K$288&lt;=Inputs!$C$13),INDEX($N$291:$AL$291,1,V$5-$K$288+1)*INDEX($N$292:$AL$292,1,V$5-$K$288+1),0)-$I$288*((V$5=Inputs!$C$12)*$C$290*$D$288+(V$5=Inputs!$C$13)*$D$290*($D$288+Inputs!$C$14))+$I$288*((V$5=Inputs!$C$15+$K$288)*$E$290*$I$290+(V$5=Inputs!$C$16+$K$288)*$F$290*$J$290+(V$5=Inputs!$C$17)*$G$290*$H$288*$H$290)</f>
        <v>146.412</v>
      </c>
      <c r="W293" s="42" t="n">
        <f aca="false">-($D$288+$J$288)*(W$5=0)+IF(AND(W$5-$K$288&gt;=1,W$5-$K$288&lt;=Inputs!$C$13),INDEX($N$291:$AL$291,1,W$5-$K$288+1)*INDEX($N$292:$AL$292,1,W$5-$K$288+1),0)-$I$288*((W$5=Inputs!$C$12)*$C$290*$D$288+(W$5=Inputs!$C$13)*$D$290*($D$288+Inputs!$C$14))+$I$288*((W$5=Inputs!$C$15+$K$288)*$E$290*$I$290+(W$5=Inputs!$C$16+$K$288)*$F$290*$J$290+(W$5=Inputs!$C$17)*$G$290*$H$288*$H$290)</f>
        <v>146.412</v>
      </c>
      <c r="X293" s="42" t="n">
        <f aca="false">-($D$288+$J$288)*(X$5=0)+IF(AND(X$5-$K$288&gt;=1,X$5-$K$288&lt;=Inputs!$C$13),INDEX($N$291:$AL$291,1,X$5-$K$288+1)*INDEX($N$292:$AL$292,1,X$5-$K$288+1),0)-$I$288*((X$5=Inputs!$C$12)*$C$290*$D$288+(X$5=Inputs!$C$13)*$D$290*($D$288+Inputs!$C$14))+$I$288*((X$5=Inputs!$C$15+$K$288)*$E$290*$I$290+(X$5=Inputs!$C$16+$K$288)*$F$290*$J$290+(X$5=Inputs!$C$17)*$G$290*$H$288*$H$290)</f>
        <v>146.7606</v>
      </c>
      <c r="Y293" s="42" t="n">
        <f aca="false">-($D$288+$J$288)*(Y$5=0)+IF(AND(Y$5-$K$288&gt;=1,Y$5-$K$288&lt;=Inputs!$C$13),INDEX($N$291:$AL$291,1,Y$5-$K$288+1)*INDEX($N$292:$AL$292,1,Y$5-$K$288+1),0)-$I$288*((Y$5=Inputs!$C$12)*$C$290*$D$288+(Y$5=Inputs!$C$13)*$D$290*($D$288+Inputs!$C$14))+$I$288*((Y$5=Inputs!$C$15+$K$288)*$E$290*$I$290+(Y$5=Inputs!$C$16+$K$288)*$F$290*$J$290+(Y$5=Inputs!$C$17)*$G$290*$H$288*$H$290)</f>
        <v>126.492</v>
      </c>
      <c r="Z293" s="42" t="n">
        <f aca="false">-($D$288+$J$288)*(Z$5=0)+IF(AND(Z$5-$K$288&gt;=1,Z$5-$K$288&lt;=Inputs!$C$13),INDEX($N$291:$AL$291,1,Z$5-$K$288+1)*INDEX($N$292:$AL$292,1,Z$5-$K$288+1),0)-$I$288*((Z$5=Inputs!$C$12)*$C$290*$D$288+(Z$5=Inputs!$C$13)*$D$290*($D$288+Inputs!$C$14))+$I$288*((Z$5=Inputs!$C$15+$K$288)*$E$290*$I$290+(Z$5=Inputs!$C$16+$K$288)*$F$290*$J$290+(Z$5=Inputs!$C$17)*$G$290*$H$288*$H$290)</f>
        <v>-1620.2508</v>
      </c>
      <c r="AA293" s="42" t="n">
        <f aca="false">-($D$288+$J$288)*(AA$5=0)+IF(AND(AA$5-$K$288&gt;=1,AA$5-$K$288&lt;=Inputs!$C$13),INDEX($N$291:$AL$291,1,AA$5-$K$288+1)*INDEX($N$292:$AL$292,1,AA$5-$K$288+1),0)-$I$288*((AA$5=Inputs!$C$12)*$C$290*$D$288+(AA$5=Inputs!$C$13)*$D$290*($D$288+Inputs!$C$14))+$I$288*((AA$5=Inputs!$C$15+$K$288)*$E$290*$I$290+(AA$5=Inputs!$C$16+$K$288)*$F$290*$J$290+(AA$5=Inputs!$C$17)*$G$290*$H$288*$H$290)</f>
        <v>127.8864</v>
      </c>
      <c r="AB293" s="42" t="n">
        <f aca="false">-($D$288+$J$288)*(AB$5=0)+IF(AND(AB$5-$K$288&gt;=1,AB$5-$K$288&lt;=Inputs!$C$13),INDEX($N$291:$AL$291,1,AB$5-$K$288+1)*INDEX($N$292:$AL$292,1,AB$5-$K$288+1),0)-$I$288*((AB$5=Inputs!$C$12)*$C$290*$D$288+(AB$5=Inputs!$C$13)*$D$290*($D$288+Inputs!$C$14))+$I$288*((AB$5=Inputs!$C$15+$K$288)*$E$290*$I$290+(AB$5=Inputs!$C$16+$K$288)*$F$290*$J$290+(AB$5=Inputs!$C$17)*$G$290*$H$288*$H$290)</f>
        <v>208.247</v>
      </c>
      <c r="AC293" s="42" t="n">
        <f aca="false">-($D$288+$J$288)*(AC$5=0)+IF(AND(AC$5-$K$288&gt;=1,AC$5-$K$288&lt;=Inputs!$C$13),INDEX($N$291:$AL$291,1,AC$5-$K$288+1)*INDEX($N$292:$AL$292,1,AC$5-$K$288+1),0)-$I$288*((AC$5=Inputs!$C$12)*$C$290*$D$288+(AC$5=Inputs!$C$13)*$D$290*($D$288+Inputs!$C$14))+$I$288*((AC$5=Inputs!$C$15+$K$288)*$E$290*$I$290+(AC$5=Inputs!$C$16+$K$288)*$F$290*$J$290+(AC$5=Inputs!$C$17)*$G$290*$H$288*$H$290)</f>
        <v>210.322</v>
      </c>
      <c r="AD293" s="42" t="n">
        <f aca="false">-($D$288+$J$288)*(AD$5=0)+IF(AND(AD$5-$K$288&gt;=1,AD$5-$K$288&lt;=Inputs!$C$13),INDEX($N$291:$AL$291,1,AD$5-$K$288+1)*INDEX($N$292:$AL$292,1,AD$5-$K$288+1),0)-$I$288*((AD$5=Inputs!$C$12)*$C$290*$D$288+(AD$5=Inputs!$C$13)*$D$290*($D$288+Inputs!$C$14))+$I$288*((AD$5=Inputs!$C$15+$K$288)*$E$290*$I$290+(AD$5=Inputs!$C$16+$K$288)*$F$290*$J$290+(AD$5=Inputs!$C$17)*$G$290*$H$288*$H$290)</f>
        <v>212.397</v>
      </c>
      <c r="AE293" s="42" t="n">
        <f aca="false">-($D$288+$J$288)*(AE$5=0)+IF(AND(AE$5-$K$288&gt;=1,AE$5-$K$288&lt;=Inputs!$C$13),INDEX($N$291:$AL$291,1,AE$5-$K$288+1)*INDEX($N$292:$AL$292,1,AE$5-$K$288+1),0)-$I$288*((AE$5=Inputs!$C$12)*$C$290*$D$288+(AE$5=Inputs!$C$13)*$D$290*($D$288+Inputs!$C$14))+$I$288*((AE$5=Inputs!$C$15+$K$288)*$E$290*$I$290+(AE$5=Inputs!$C$16+$K$288)*$F$290*$J$290+(AE$5=Inputs!$C$17)*$G$290*$H$288*$H$290)</f>
        <v>214.472</v>
      </c>
      <c r="AF293" s="42" t="n">
        <f aca="false">-($D$288+$J$288)*(AF$5=0)+IF(AND(AF$5-$K$288&gt;=1,AF$5-$K$288&lt;=Inputs!$C$13),INDEX($N$291:$AL$291,1,AF$5-$K$288+1)*INDEX($N$292:$AL$292,1,AF$5-$K$288+1),0)-$I$288*((AF$5=Inputs!$C$12)*$C$290*$D$288+(AF$5=Inputs!$C$13)*$D$290*($D$288+Inputs!$C$14))+$I$288*((AF$5=Inputs!$C$15+$K$288)*$E$290*$I$290+(AF$5=Inputs!$C$16+$K$288)*$F$290*$J$290+(AF$5=Inputs!$C$17)*$G$290*$H$288*$H$290)</f>
        <v>216.547</v>
      </c>
      <c r="AG293" s="42" t="n">
        <f aca="false">-($D$288+$J$288)*(AG$5=0)+IF(AND(AG$5-$K$288&gt;=1,AG$5-$K$288&lt;=Inputs!$C$13),INDEX($N$291:$AL$291,1,AG$5-$K$288+1)*INDEX($N$292:$AL$292,1,AG$5-$K$288+1),0)-$I$288*((AG$5=Inputs!$C$12)*$C$290*$D$288+(AG$5=Inputs!$C$13)*$D$290*($D$288+Inputs!$C$14))+$I$288*((AG$5=Inputs!$C$15+$K$288)*$E$290*$I$290+(AG$5=Inputs!$C$16+$K$288)*$F$290*$J$290+(AG$5=Inputs!$C$17)*$G$290*$H$288*$H$290)</f>
        <v>218.622</v>
      </c>
      <c r="AH293" s="42" t="n">
        <f aca="false">-($D$288+$J$288)*(AH$5=0)+IF(AND(AH$5-$K$288&gt;=1,AH$5-$K$288&lt;=Inputs!$C$13),INDEX($N$291:$AL$291,1,AH$5-$K$288+1)*INDEX($N$292:$AL$292,1,AH$5-$K$288+1),0)-$I$288*((AH$5=Inputs!$C$12)*$C$290*$D$288+(AH$5=Inputs!$C$13)*$D$290*($D$288+Inputs!$C$14))+$I$288*((AH$5=Inputs!$C$15+$K$288)*$E$290*$I$290+(AH$5=Inputs!$C$16+$K$288)*$F$290*$J$290+(AH$5=Inputs!$C$17)*$G$290*$H$288*$H$290)</f>
        <v>198.6273</v>
      </c>
      <c r="AI293" s="42" t="n">
        <f aca="false">-($D$288+$J$288)*(AI$5=0)+IF(AND(AI$5-$K$288&gt;=1,AI$5-$K$288&lt;=Inputs!$C$13),INDEX($N$291:$AL$291,1,AI$5-$K$288+1)*INDEX($N$292:$AL$292,1,AI$5-$K$288+1),0)-$I$288*((AI$5=Inputs!$C$12)*$C$290*$D$288+(AI$5=Inputs!$C$13)*$D$290*($D$288+Inputs!$C$14))+$I$288*((AI$5=Inputs!$C$15+$K$288)*$E$290*$I$290+(AI$5=Inputs!$C$16+$K$288)*$F$290*$J$290+(AI$5=Inputs!$C$17)*$G$290*$H$288*$H$290)</f>
        <v>200.4948</v>
      </c>
      <c r="AJ293" s="42" t="n">
        <f aca="false">-($D$288+$J$288)*(AJ$5=0)+IF(AND(AJ$5-$K$288&gt;=1,AJ$5-$K$288&lt;=Inputs!$C$13),INDEX($N$291:$AL$291,1,AJ$5-$K$288+1)*INDEX($N$292:$AL$292,1,AJ$5-$K$288+1),0)-$I$288*((AJ$5=Inputs!$C$12)*$C$290*$D$288+(AJ$5=Inputs!$C$13)*$D$290*($D$288+Inputs!$C$14))+$I$288*((AJ$5=Inputs!$C$15+$K$288)*$E$290*$I$290+(AJ$5=Inputs!$C$16+$K$288)*$F$290*$J$290+(AJ$5=Inputs!$C$17)*$G$290*$H$288*$H$290)</f>
        <v>202.362299999999</v>
      </c>
      <c r="AK293" s="42" t="n">
        <f aca="false">-($D$288+$J$288)*(AK$5=0)+IF(AND(AK$5-$K$288&gt;=1,AK$5-$K$288&lt;=Inputs!$C$13),INDEX($N$291:$AL$291,1,AK$5-$K$288+1)*INDEX($N$292:$AL$292,1,AK$5-$K$288+1),0)-$I$288*((AK$5=Inputs!$C$12)*$C$290*$D$288+(AK$5=Inputs!$C$13)*$D$290*($D$288+Inputs!$C$14))+$I$288*((AK$5=Inputs!$C$15+$K$288)*$E$290*$I$290+(AK$5=Inputs!$C$16+$K$288)*$F$290*$J$290+(AK$5=Inputs!$C$17)*$G$290*$H$288*$H$290)</f>
        <v>204.2298</v>
      </c>
      <c r="AL293" s="42" t="n">
        <f aca="false">-($D$288+$J$288)*(AL$5=0)+IF(AND(AL$5-$K$288&gt;=1,AL$5-$K$288&lt;=Inputs!$C$13),INDEX($N$291:$AL$291,1,AL$5-$K$288+1)*INDEX($N$292:$AL$292,1,AL$5-$K$288+1),0)-$I$288*((AL$5=Inputs!$C$12)*$C$290*$D$288+(AL$5=Inputs!$C$13)*$D$290*($D$288+Inputs!$C$14))+$I$288*((AL$5=Inputs!$C$15+$K$288)*$E$290*$I$290+(AL$5=Inputs!$C$16+$K$288)*$F$290*$J$290+(AL$5=Inputs!$C$17)*$G$290*$H$288*$H$290)</f>
        <v>-711.902699999999</v>
      </c>
      <c r="AM293" s="42" t="n">
        <f aca="false">-($D$288+$J$288)*(AM$5=0)+IF(AND(AM$5-$K$288&gt;=1,AM$5-$K$288&lt;=Inputs!$C$13),INDEX($N$291:$AL$291,1,AM$5-$K$288+1)*INDEX($N$292:$AL$292,1,AM$5-$K$288+1),0)-$I$288*((AM$5=Inputs!$C$12)*$C$290*$D$288+(AM$5=Inputs!$C$13)*$D$290*($D$288+Inputs!$C$14))+$I$288*((AM$5=Inputs!$C$15+$K$288)*$E$290*$I$290+(AM$5=Inputs!$C$16+$K$288)*$F$290*$J$290+(AM$5=Inputs!$C$17)*$G$290*$H$288*$H$290)</f>
        <v>207.9648</v>
      </c>
      <c r="AN293" s="42" t="n">
        <f aca="false">-($D$288+$J$288)*(AN$5=0)+IF(AND(AN$5-$K$288&gt;=1,AN$5-$K$288&lt;=Inputs!$C$13),INDEX($N$291:$AL$291,1,AN$5-$K$288+1)*INDEX($N$292:$AL$292,1,AN$5-$K$288+1),0)-$I$288*((AN$5=Inputs!$C$12)*$C$290*$D$288+(AN$5=Inputs!$C$13)*$D$290*($D$288+Inputs!$C$14))+$I$288*((AN$5=Inputs!$C$15+$K$288)*$E$290*$I$290+(AN$5=Inputs!$C$16+$K$288)*$F$290*$J$290+(AN$5=Inputs!$C$17)*$G$290*$H$288*$H$290)</f>
        <v>0</v>
      </c>
      <c r="AO293" s="42" t="n">
        <f aca="false">-($D$288+$J$288)*(AO$5=0)+IF(AND(AO$5-$K$288&gt;=1,AO$5-$K$288&lt;=Inputs!$C$13),INDEX($N$291:$AL$291,1,AO$5-$K$288+1)*INDEX($N$292:$AL$292,1,AO$5-$K$288+1),0)-$I$288*((AO$5=Inputs!$C$12)*$C$290*$D$288+(AO$5=Inputs!$C$13)*$D$290*($D$288+Inputs!$C$14))+$I$288*((AO$5=Inputs!$C$15+$K$288)*$E$290*$I$290+(AO$5=Inputs!$C$16+$K$288)*$F$290*$J$290+(AO$5=Inputs!$C$17)*$G$290*$H$288*$H$290)</f>
        <v>0</v>
      </c>
      <c r="AP293" s="42" t="n">
        <f aca="false">-($D$288+$J$288)*(AP$5=0)+IF(AND(AP$5-$K$288&gt;=1,AP$5-$K$288&lt;=Inputs!$C$13),INDEX($N$291:$AL$291,1,AP$5-$K$288+1)*INDEX($N$292:$AL$292,1,AP$5-$K$288+1),0)-$I$288*((AP$5=Inputs!$C$12)*$C$290*$D$288+(AP$5=Inputs!$C$13)*$D$290*($D$288+Inputs!$C$14))+$I$288*((AP$5=Inputs!$C$15+$K$288)*$E$290*$I$290+(AP$5=Inputs!$C$16+$K$288)*$F$290*$J$290+(AP$5=Inputs!$C$17)*$G$290*$H$288*$H$290)</f>
        <v>1442.178</v>
      </c>
      <c r="AQ293" s="42" t="n">
        <f aca="false">-($D$288+$J$288)*(AQ$5=0)+IF(AND(AQ$5-$K$288&gt;=1,AQ$5-$K$288&lt;=Inputs!$C$13),INDEX($N$291:$AL$291,1,AQ$5-$K$288+1)*INDEX($N$292:$AL$292,1,AQ$5-$K$288+1),0)-$I$288*((AQ$5=Inputs!$C$12)*$C$290*$D$288+(AQ$5=Inputs!$C$13)*$D$290*($D$288+Inputs!$C$14))+$I$288*((AQ$5=Inputs!$C$15+$K$288)*$E$290*$I$290+(AQ$5=Inputs!$C$16+$K$288)*$F$290*$J$290+(AQ$5=Inputs!$C$17)*$G$290*$H$288*$H$290)</f>
        <v>0</v>
      </c>
      <c r="AR293" s="42" t="n">
        <f aca="false">-($D$288+$J$288)*(AR$5=0)+IF(AND(AR$5-$K$288&gt;=1,AR$5-$K$288&lt;=Inputs!$C$13),INDEX($N$291:$AL$291,1,AR$5-$K$288+1)*INDEX($N$292:$AL$292,1,AR$5-$K$288+1),0)-$I$288*((AR$5=Inputs!$C$12)*$C$290*$D$288+(AR$5=Inputs!$C$13)*$D$290*($D$288+Inputs!$C$14))+$I$288*((AR$5=Inputs!$C$15+$K$288)*$E$290*$I$290+(AR$5=Inputs!$C$16+$K$288)*$F$290*$J$290+(AR$5=Inputs!$C$17)*$G$290*$H$288*$H$290)</f>
        <v>0</v>
      </c>
      <c r="AS293" s="42" t="n">
        <f aca="false">-($D$288+$J$288)*(AS$5=0)+IF(AND(AS$5-$K$288&gt;=1,AS$5-$K$288&lt;=Inputs!$C$13),INDEX($N$291:$AL$291,1,AS$5-$K$288+1)*INDEX($N$292:$AL$292,1,AS$5-$K$288+1),0)-$I$288*((AS$5=Inputs!$C$12)*$C$290*$D$288+(AS$5=Inputs!$C$13)*$D$290*($D$288+Inputs!$C$14))+$I$288*((AS$5=Inputs!$C$15+$K$288)*$E$290*$I$290+(AS$5=Inputs!$C$16+$K$288)*$F$290*$J$290+(AS$5=Inputs!$C$17)*$G$290*$H$288*$H$290)</f>
        <v>419.8014</v>
      </c>
      <c r="AT293" s="42" t="n">
        <f aca="false">-($D$288+$J$288)*(AT$5=0)+IF(AND(AT$5-$K$288&gt;=1,AT$5-$K$288&lt;=Inputs!$C$13),INDEX($N$291:$AL$291,1,AT$5-$K$288+1)*INDEX($N$292:$AL$292,1,AT$5-$K$288+1),0)-$I$288*((AT$5=Inputs!$C$12)*$C$290*$D$288+(AT$5=Inputs!$C$13)*$D$290*($D$288+Inputs!$C$14))+$I$288*((AT$5=Inputs!$C$15+$K$288)*$E$290*$I$290+(AT$5=Inputs!$C$16+$K$288)*$F$290*$J$290+(AT$5=Inputs!$C$17)*$G$290*$H$288*$H$290)</f>
        <v>0</v>
      </c>
      <c r="AU293" s="42" t="n">
        <f aca="false">-($D$288+$J$288)*(AU$5=0)+IF(AND(AU$5-$K$288&gt;=1,AU$5-$K$288&lt;=Inputs!$C$13),INDEX($N$291:$AL$291,1,AU$5-$K$288+1)*INDEX($N$292:$AL$292,1,AU$5-$K$288+1),0)-$I$288*((AU$5=Inputs!$C$12)*$C$290*$D$288+(AU$5=Inputs!$C$13)*$D$290*($D$288+Inputs!$C$14))+$I$288*((AU$5=Inputs!$C$15+$K$288)*$E$290*$I$290+(AU$5=Inputs!$C$16+$K$288)*$F$290*$J$290+(AU$5=Inputs!$C$17)*$G$290*$H$288*$H$290)</f>
        <v>0</v>
      </c>
      <c r="AV293" s="42" t="n">
        <f aca="false">-($D$288+$J$288)*(AV$5=0)+IF(AND(AV$5-$K$288&gt;=1,AV$5-$K$288&lt;=Inputs!$C$13),INDEX($N$291:$AL$291,1,AV$5-$K$288+1)*INDEX($N$292:$AL$292,1,AV$5-$K$288+1),0)-$I$288*((AV$5=Inputs!$C$12)*$C$290*$D$288+(AV$5=Inputs!$C$13)*$D$290*($D$288+Inputs!$C$14))+$I$288*((AV$5=Inputs!$C$15+$K$288)*$E$290*$I$290+(AV$5=Inputs!$C$16+$K$288)*$F$290*$J$290+(AV$5=Inputs!$C$17)*$G$290*$H$288*$H$290)</f>
        <v>0</v>
      </c>
      <c r="AW293" s="42" t="n">
        <f aca="false">-($D$288+$J$288)*(AW$5=0)+IF(AND(AW$5-$K$288&gt;=1,AW$5-$K$288&lt;=Inputs!$C$13),INDEX($N$291:$AL$291,1,AW$5-$K$288+1)*INDEX($N$292:$AL$292,1,AW$5-$K$288+1),0)-$I$288*((AW$5=Inputs!$C$12)*$C$290*$D$288+(AW$5=Inputs!$C$13)*$D$290*($D$288+Inputs!$C$14))+$I$288*((AW$5=Inputs!$C$15+$K$288)*$E$290*$I$290+(AW$5=Inputs!$C$16+$K$288)*$F$290*$J$290+(AW$5=Inputs!$C$17)*$G$290*$H$288*$H$290)</f>
        <v>0</v>
      </c>
      <c r="AX293" s="42" t="n">
        <f aca="false">-($D$288+$J$288)*(AX$5=0)+IF(AND(AX$5-$K$288&gt;=1,AX$5-$K$288&lt;=Inputs!$C$13),INDEX($N$291:$AL$291,1,AX$5-$K$288+1)*INDEX($N$292:$AL$292,1,AX$5-$K$288+1),0)-$I$288*((AX$5=Inputs!$C$12)*$C$290*$D$288+(AX$5=Inputs!$C$13)*$D$290*($D$288+Inputs!$C$14))+$I$288*((AX$5=Inputs!$C$15+$K$288)*$E$290*$I$290+(AX$5=Inputs!$C$16+$K$288)*$F$290*$J$290+(AX$5=Inputs!$C$17)*$G$290*$H$288*$H$290)</f>
        <v>344.862</v>
      </c>
      <c r="AY293" s="42" t="n">
        <f aca="false">-($D$288+$J$288)*(AY$5=0)+IF(AND(AY$5-$K$288&gt;=1,AY$5-$K$288&lt;=Inputs!$C$13),INDEX($N$291:$AL$291,1,AY$5-$K$288+1)*INDEX($N$292:$AL$292,1,AY$5-$K$288+1),0)-$I$288*((AY$5=Inputs!$C$12)*$C$290*$D$288+(AY$5=Inputs!$C$13)*$D$290*($D$288+Inputs!$C$14))+$I$288*((AY$5=Inputs!$C$15+$K$288)*$E$290*$I$290+(AY$5=Inputs!$C$16+$K$288)*$F$290*$J$290+(AY$5=Inputs!$C$17)*$G$290*$H$288*$H$290)</f>
        <v>0</v>
      </c>
    </row>
    <row r="295" customFormat="false" ht="15" hidden="false" customHeight="false" outlineLevel="0" collapsed="false">
      <c r="B295" s="7" t="s">
        <v>273</v>
      </c>
      <c r="C295" s="8"/>
      <c r="D295" s="8"/>
      <c r="E295" s="8"/>
      <c r="F295" s="8"/>
      <c r="G295" s="8"/>
      <c r="H295" s="8"/>
      <c r="I295" s="8"/>
      <c r="J295" s="8"/>
      <c r="K295" s="8"/>
      <c r="L295" s="8"/>
    </row>
    <row r="296" customFormat="false" ht="30" hidden="false" customHeight="true" outlineLevel="0" collapsed="false">
      <c r="B296" s="37"/>
      <c r="C296" s="38" t="s">
        <v>169</v>
      </c>
      <c r="D296" s="38" t="s">
        <v>170</v>
      </c>
      <c r="E296" s="38" t="s">
        <v>171</v>
      </c>
      <c r="F296" s="38" t="s">
        <v>43</v>
      </c>
      <c r="G296" s="38" t="s">
        <v>44</v>
      </c>
      <c r="H296" s="38" t="s">
        <v>45</v>
      </c>
      <c r="I296" s="38" t="s">
        <v>172</v>
      </c>
      <c r="J296" s="38" t="s">
        <v>90</v>
      </c>
      <c r="K296" s="38" t="s">
        <v>89</v>
      </c>
      <c r="L296" s="38" t="s">
        <v>173</v>
      </c>
    </row>
    <row r="297" customFormat="false" ht="15" hidden="false" customHeight="false" outlineLevel="0" collapsed="false">
      <c r="B297" s="39" t="s">
        <v>174</v>
      </c>
      <c r="C297" s="26" t="n">
        <f aca="false">Inputs!$F$41*Inputs!$E$61</f>
        <v>0.09</v>
      </c>
      <c r="D297" s="30" t="n">
        <f aca="false">Inputs!$E$41</f>
        <v>9500</v>
      </c>
      <c r="E297" s="26" t="n">
        <f aca="false">IF(Inputs!$G$41=1,Inputs!$F$27,MIN(1,MAX(0,INDEX(Inputs!$F$23:$F$27,MATCH(Inputs!$C$41,Inputs!$B$23:$B$27,0))+INDEX(Inputs!$C$48:$C$51,MATCH(Inputs!$D$61,Inputs!$B$48:$B$51,0)))))</f>
        <v>0.8</v>
      </c>
      <c r="F297" s="25" t="n">
        <f aca="false">IF(Inputs!$G$41=1,Inputs!$G$27,INDEX(Inputs!$G$23:$G$27,MATCH(Inputs!$C$41,Inputs!$B$23:$B$27,0)))</f>
        <v>0.6</v>
      </c>
      <c r="G297" s="25" t="n">
        <f aca="false">IF(Inputs!$G$41=1,Inputs!$H$27,INDEX(Inputs!$H$23:$H$27,MATCH(Inputs!$C$41,Inputs!$B$23:$B$27,0)))*INDEX(Inputs!$D$48:$D$51,MATCH(Inputs!$D$61,Inputs!$B$48:$B$51,0))</f>
        <v>0.4</v>
      </c>
      <c r="H297" s="25" t="n">
        <f aca="false">MAX(0,IF(Inputs!$G$41=1,Inputs!$I$27,INDEX(Inputs!$I$23:$I$27,MATCH(Inputs!$C$41,Inputs!$B$23:$B$27,0)))+INDEX(Inputs!$E$48:$E$51,MATCH(Inputs!$D$61,Inputs!$B$48:$B$51,0)))</f>
        <v>0.7</v>
      </c>
      <c r="I297" s="22" t="n">
        <f aca="false">IF(Inputs!$G$41=1,0,INDEX(Inputs!$J$23:$J$27,MATCH(Inputs!$C$41,Inputs!$B$23:$B$27,0)))</f>
        <v>1</v>
      </c>
      <c r="J297" s="23" t="n">
        <f aca="false">Inputs!$G$61</f>
        <v>10</v>
      </c>
      <c r="K297" s="22" t="n">
        <f aca="false">Inputs!$F$61</f>
        <v>1</v>
      </c>
      <c r="L297" s="22" t="n">
        <f aca="false">Inputs!$C$61</f>
        <v>2</v>
      </c>
    </row>
    <row r="298" customFormat="false" ht="30" hidden="false" customHeight="true" outlineLevel="0" collapsed="false">
      <c r="B298" s="37"/>
      <c r="C298" s="38" t="s">
        <v>175</v>
      </c>
      <c r="D298" s="38" t="s">
        <v>176</v>
      </c>
      <c r="E298" s="38" t="s">
        <v>177</v>
      </c>
      <c r="F298" s="38" t="s">
        <v>178</v>
      </c>
      <c r="G298" s="38" t="s">
        <v>112</v>
      </c>
      <c r="H298" s="38" t="s">
        <v>179</v>
      </c>
      <c r="I298" s="38" t="s">
        <v>180</v>
      </c>
      <c r="J298" s="38" t="s">
        <v>181</v>
      </c>
      <c r="K298" s="38" t="s">
        <v>182</v>
      </c>
      <c r="L298" s="38" t="s">
        <v>183</v>
      </c>
    </row>
    <row r="299" customFormat="false" ht="15" hidden="false" customHeight="false" outlineLevel="0" collapsed="false">
      <c r="B299" s="39" t="s">
        <v>184</v>
      </c>
      <c r="C299" s="40" t="n">
        <f aca="false">1-$E$297*CHOOSE($L$297,INDEX(Timing!$C$7:$AA$7,1,Inputs!$C$12+1),INDEX(Timing!$C$8:$AA$8,1,Inputs!$C$12+1))</f>
        <v>0.504</v>
      </c>
      <c r="D299" s="40" t="n">
        <f aca="false">1-$E$297*CHOOSE($L$297,INDEX(Timing!$C$7:$AA$7,1,Inputs!$C$13+1),INDEX(Timing!$C$8:$AA$8,1,Inputs!$C$13+1))</f>
        <v>0.2</v>
      </c>
      <c r="E299" s="40" t="n">
        <f aca="false">$I$297*$D$299*$F$297</f>
        <v>0.12</v>
      </c>
      <c r="F299" s="40" t="n">
        <f aca="false">$I$297*($D$299-$E$299)*$G$297</f>
        <v>0.032</v>
      </c>
      <c r="G299" s="40" t="n">
        <f aca="false">$I$297*($D$299-$E$299-$F$299)</f>
        <v>0.048</v>
      </c>
      <c r="H299" s="23" t="n">
        <f aca="false">$I$297*(3*$D$297+Inputs!$C$14)</f>
        <v>30300</v>
      </c>
      <c r="I299" s="23" t="n">
        <f aca="false">$I$297*($D$297*(1+IF($C$297&lt;=0,0,MAX($C$297*Inputs!$C$15/12,Inputs!$C$8)))+$D$297*(1+Inputs!$C$11*(Inputs!$C$15-Inputs!$C$12)/12)+$D$297*(1+Inputs!$C$11*(Inputs!$C$15-Inputs!$C$13)/12)+Inputs!$C$14)</f>
        <v>34788.75</v>
      </c>
      <c r="J299" s="23" t="n">
        <f aca="false">$I$297*($D$297*(1+IF($C$297&lt;=0,0,MAX($C$297*Inputs!$C$16/12,Inputs!$C$8)))+$D$297*(1+Inputs!$C$11*(Inputs!$C$16-Inputs!$C$12)/12)+$D$297*(1+Inputs!$C$11*(Inputs!$C$16-Inputs!$C$13)/12)+Inputs!$C$14)</f>
        <v>35857.5</v>
      </c>
      <c r="K299" s="40" t="n">
        <f aca="false">IRR($N$302:$AY$302,0.005)</f>
        <v>0.00553287653820468</v>
      </c>
      <c r="L299" s="41" t="n">
        <f aca="false">(1+$K$299)^12-1</f>
        <v>0.0684526889907662</v>
      </c>
    </row>
    <row r="300" customFormat="false" ht="15" hidden="false" customHeight="false" outlineLevel="0" collapsed="false">
      <c r="B300" s="9" t="s">
        <v>185</v>
      </c>
      <c r="N300" s="40" t="n">
        <f aca="false">0</f>
        <v>0</v>
      </c>
      <c r="O300" s="40" t="n">
        <f aca="false">$E$297*(CHOOSE($L$297,Timing!D$7,Timing!D$8)-CHOOSE($L$297,Timing!C$7,Timing!C$8))</f>
        <v>0.048</v>
      </c>
      <c r="P300" s="40" t="n">
        <f aca="false">$E$297*(CHOOSE($L$297,Timing!E$7,Timing!E$8)-CHOOSE($L$297,Timing!D$7,Timing!D$8))</f>
        <v>0.048</v>
      </c>
      <c r="Q300" s="40" t="n">
        <f aca="false">$E$297*(CHOOSE($L$297,Timing!F$7,Timing!F$8)-CHOOSE($L$297,Timing!E$7,Timing!E$8))</f>
        <v>0.048</v>
      </c>
      <c r="R300" s="40" t="n">
        <f aca="false">$E$297*(CHOOSE($L$297,Timing!G$7,Timing!G$8)-CHOOSE($L$297,Timing!F$7,Timing!F$8))</f>
        <v>0.048</v>
      </c>
      <c r="S300" s="40" t="n">
        <f aca="false">$E$297*(CHOOSE($L$297,Timing!H$7,Timing!H$8)-CHOOSE($L$297,Timing!G$7,Timing!G$8))</f>
        <v>0.048</v>
      </c>
      <c r="T300" s="40" t="n">
        <f aca="false">$E$297*(CHOOSE($L$297,Timing!I$7,Timing!I$8)-CHOOSE($L$297,Timing!H$7,Timing!H$8))</f>
        <v>0.048</v>
      </c>
      <c r="U300" s="40" t="n">
        <f aca="false">$E$297*(CHOOSE($L$297,Timing!J$7,Timing!J$8)-CHOOSE($L$297,Timing!I$7,Timing!I$8))</f>
        <v>0.0373333333333334</v>
      </c>
      <c r="V300" s="40" t="n">
        <f aca="false">$E$297*(CHOOSE($L$297,Timing!K$7,Timing!K$8)-CHOOSE($L$297,Timing!J$7,Timing!J$8))</f>
        <v>0.0373333333333333</v>
      </c>
      <c r="W300" s="40" t="n">
        <f aca="false">$E$297*(CHOOSE($L$297,Timing!L$7,Timing!L$8)-CHOOSE($L$297,Timing!K$7,Timing!K$8))</f>
        <v>0.0373333333333334</v>
      </c>
      <c r="X300" s="40" t="n">
        <f aca="false">$E$297*(CHOOSE($L$297,Timing!M$7,Timing!M$8)-CHOOSE($L$297,Timing!L$7,Timing!L$8))</f>
        <v>0.032</v>
      </c>
      <c r="Y300" s="40" t="n">
        <f aca="false">$E$297*(CHOOSE($L$297,Timing!N$7,Timing!N$8)-CHOOSE($L$297,Timing!M$7,Timing!M$8))</f>
        <v>0.0319999999999999</v>
      </c>
      <c r="Z300" s="40" t="n">
        <f aca="false">$E$297*(CHOOSE($L$297,Timing!O$7,Timing!O$8)-CHOOSE($L$297,Timing!N$7,Timing!N$8))</f>
        <v>0.032</v>
      </c>
      <c r="AA300" s="40" t="n">
        <f aca="false">$E$297*(CHOOSE($L$297,Timing!P$7,Timing!P$8)-CHOOSE($L$297,Timing!O$7,Timing!O$8))</f>
        <v>0.0266666666666667</v>
      </c>
      <c r="AB300" s="40" t="n">
        <f aca="false">$E$297*(CHOOSE($L$297,Timing!Q$7,Timing!Q$8)-CHOOSE($L$297,Timing!P$7,Timing!P$8))</f>
        <v>0.0266666666666667</v>
      </c>
      <c r="AC300" s="40" t="n">
        <f aca="false">$E$297*(CHOOSE($L$297,Timing!R$7,Timing!R$8)-CHOOSE($L$297,Timing!Q$7,Timing!Q$8))</f>
        <v>0.0266666666666667</v>
      </c>
      <c r="AD300" s="40" t="n">
        <f aca="false">$E$297*(CHOOSE($L$297,Timing!S$7,Timing!S$8)-CHOOSE($L$297,Timing!R$7,Timing!R$8))</f>
        <v>0.0266666666666667</v>
      </c>
      <c r="AE300" s="40" t="n">
        <f aca="false">$E$297*(CHOOSE($L$297,Timing!T$7,Timing!T$8)-CHOOSE($L$297,Timing!S$7,Timing!S$8))</f>
        <v>0.0266666666666667</v>
      </c>
      <c r="AF300" s="40" t="n">
        <f aca="false">$E$297*(CHOOSE($L$297,Timing!U$7,Timing!U$8)-CHOOSE($L$297,Timing!T$7,Timing!T$8))</f>
        <v>0.0266666666666667</v>
      </c>
      <c r="AG300" s="40" t="n">
        <f aca="false">$E$297*(CHOOSE($L$297,Timing!V$7,Timing!V$8)-CHOOSE($L$297,Timing!U$7,Timing!U$8))</f>
        <v>0.024</v>
      </c>
      <c r="AH300" s="40" t="n">
        <f aca="false">$E$297*(CHOOSE($L$297,Timing!W$7,Timing!W$8)-CHOOSE($L$297,Timing!V$7,Timing!V$8))</f>
        <v>0.024</v>
      </c>
      <c r="AI300" s="40" t="n">
        <f aca="false">$E$297*(CHOOSE($L$297,Timing!X$7,Timing!X$8)-CHOOSE($L$297,Timing!W$7,Timing!W$8))</f>
        <v>0.0239999999999999</v>
      </c>
      <c r="AJ300" s="40" t="n">
        <f aca="false">$E$297*(CHOOSE($L$297,Timing!Y$7,Timing!Y$8)-CHOOSE($L$297,Timing!X$7,Timing!X$8))</f>
        <v>0.024</v>
      </c>
      <c r="AK300" s="40" t="n">
        <f aca="false">$E$297*(CHOOSE($L$297,Timing!Z$7,Timing!Z$8)-CHOOSE($L$297,Timing!Y$7,Timing!Y$8))</f>
        <v>0.024</v>
      </c>
      <c r="AL300" s="40" t="n">
        <f aca="false">$E$297*(CHOOSE($L$297,Timing!AA$7,Timing!AA$8)-CHOOSE($L$297,Timing!Z$7,Timing!Z$8))</f>
        <v>0.024</v>
      </c>
    </row>
    <row r="301" customFormat="false" ht="15" hidden="false" customHeight="false" outlineLevel="0" collapsed="false">
      <c r="B301" s="9" t="s">
        <v>186</v>
      </c>
      <c r="N301" s="42" t="n">
        <f aca="false">0</f>
        <v>0</v>
      </c>
      <c r="O301" s="42" t="n">
        <f aca="false">$D$297*(1+IF($C$297&lt;=0,0,MAX($C$297*O$5/12,Inputs!$C$8)))+$I$297*(O$5&gt;Inputs!$C$12)*$D$297*(1+Inputs!$C$11*(O$5-Inputs!$C$12)/12)</f>
        <v>9975</v>
      </c>
      <c r="P301" s="42" t="n">
        <f aca="false">$D$297*(1+IF($C$297&lt;=0,0,MAX($C$297*P$5/12,Inputs!$C$8)))+$I$297*(P$5&gt;Inputs!$C$12)*$D$297*(1+Inputs!$C$11*(P$5-Inputs!$C$12)/12)</f>
        <v>9975</v>
      </c>
      <c r="Q301" s="42" t="n">
        <f aca="false">$D$297*(1+IF($C$297&lt;=0,0,MAX($C$297*Q$5/12,Inputs!$C$8)))+$I$297*(Q$5&gt;Inputs!$C$12)*$D$297*(1+Inputs!$C$11*(Q$5-Inputs!$C$12)/12)</f>
        <v>9975</v>
      </c>
      <c r="R301" s="42" t="n">
        <f aca="false">$D$297*(1+IF($C$297&lt;=0,0,MAX($C$297*R$5/12,Inputs!$C$8)))+$I$297*(R$5&gt;Inputs!$C$12)*$D$297*(1+Inputs!$C$11*(R$5-Inputs!$C$12)/12)</f>
        <v>9975</v>
      </c>
      <c r="S301" s="42" t="n">
        <f aca="false">$D$297*(1+IF($C$297&lt;=0,0,MAX($C$297*S$5/12,Inputs!$C$8)))+$I$297*(S$5&gt;Inputs!$C$12)*$D$297*(1+Inputs!$C$11*(S$5-Inputs!$C$12)/12)</f>
        <v>9975</v>
      </c>
      <c r="T301" s="42" t="n">
        <f aca="false">$D$297*(1+IF($C$297&lt;=0,0,MAX($C$297*T$5/12,Inputs!$C$8)))+$I$297*(T$5&gt;Inputs!$C$12)*$D$297*(1+Inputs!$C$11*(T$5-Inputs!$C$12)/12)</f>
        <v>9975</v>
      </c>
      <c r="U301" s="42" t="n">
        <f aca="false">$D$297*(1+IF($C$297&lt;=0,0,MAX($C$297*U$5/12,Inputs!$C$8)))+$I$297*(U$5&gt;Inputs!$C$12)*$D$297*(1+Inputs!$C$11*(U$5-Inputs!$C$12)/12)</f>
        <v>9998.75</v>
      </c>
      <c r="V301" s="42" t="n">
        <f aca="false">$D$297*(1+IF($C$297&lt;=0,0,MAX($C$297*V$5/12,Inputs!$C$8)))+$I$297*(V$5&gt;Inputs!$C$12)*$D$297*(1+Inputs!$C$11*(V$5-Inputs!$C$12)/12)</f>
        <v>10070</v>
      </c>
      <c r="W301" s="42" t="n">
        <f aca="false">$D$297*(1+IF($C$297&lt;=0,0,MAX($C$297*W$5/12,Inputs!$C$8)))+$I$297*(W$5&gt;Inputs!$C$12)*$D$297*(1+Inputs!$C$11*(W$5-Inputs!$C$12)/12)</f>
        <v>10141.25</v>
      </c>
      <c r="X301" s="42" t="n">
        <f aca="false">$D$297*(1+IF($C$297&lt;=0,0,MAX($C$297*X$5/12,Inputs!$C$8)))+$I$297*(X$5&gt;Inputs!$C$12)*$D$297*(1+Inputs!$C$11*(X$5-Inputs!$C$12)/12)</f>
        <v>10212.5</v>
      </c>
      <c r="Y301" s="42" t="n">
        <f aca="false">$D$297*(1+IF($C$297&lt;=0,0,MAX($C$297*Y$5/12,Inputs!$C$8)))+$I$297*(Y$5&gt;Inputs!$C$12)*$D$297*(1+Inputs!$C$11*(Y$5-Inputs!$C$12)/12)</f>
        <v>10283.75</v>
      </c>
      <c r="Z301" s="42" t="n">
        <f aca="false">$D$297*(1+IF($C$297&lt;=0,0,MAX($C$297*Z$5/12,Inputs!$C$8)))+$I$297*(Z$5&gt;Inputs!$C$12)*$D$297*(1+Inputs!$C$11*(Z$5-Inputs!$C$12)/12)</f>
        <v>10355</v>
      </c>
      <c r="AA301" s="42" t="n">
        <f aca="false">$D$297*(1+IF($C$297&lt;=0,0,MAX($C$297*AA$5/12,Inputs!$C$8)))+$I$297*(AA$5&gt;Inputs!$C$12)*$D$297*(1+Inputs!$C$11*(AA$5-Inputs!$C$12)/12)</f>
        <v>20068.75</v>
      </c>
      <c r="AB301" s="42" t="n">
        <f aca="false">$D$297*(1+IF($C$297&lt;=0,0,MAX($C$297*AB$5/12,Inputs!$C$8)))+$I$297*(AB$5&gt;Inputs!$C$12)*$D$297*(1+Inputs!$C$11*(AB$5-Inputs!$C$12)/12)</f>
        <v>20282.5</v>
      </c>
      <c r="AC301" s="42" t="n">
        <f aca="false">$D$297*(1+IF($C$297&lt;=0,0,MAX($C$297*AC$5/12,Inputs!$C$8)))+$I$297*(AC$5&gt;Inputs!$C$12)*$D$297*(1+Inputs!$C$11*(AC$5-Inputs!$C$12)/12)</f>
        <v>20496.25</v>
      </c>
      <c r="AD301" s="42" t="n">
        <f aca="false">$D$297*(1+IF($C$297&lt;=0,0,MAX($C$297*AD$5/12,Inputs!$C$8)))+$I$297*(AD$5&gt;Inputs!$C$12)*$D$297*(1+Inputs!$C$11*(AD$5-Inputs!$C$12)/12)</f>
        <v>20710</v>
      </c>
      <c r="AE301" s="42" t="n">
        <f aca="false">$D$297*(1+IF($C$297&lt;=0,0,MAX($C$297*AE$5/12,Inputs!$C$8)))+$I$297*(AE$5&gt;Inputs!$C$12)*$D$297*(1+Inputs!$C$11*(AE$5-Inputs!$C$12)/12)</f>
        <v>20923.75</v>
      </c>
      <c r="AF301" s="42" t="n">
        <f aca="false">$D$297*(1+IF($C$297&lt;=0,0,MAX($C$297*AF$5/12,Inputs!$C$8)))+$I$297*(AF$5&gt;Inputs!$C$12)*$D$297*(1+Inputs!$C$11*(AF$5-Inputs!$C$12)/12)</f>
        <v>21137.5</v>
      </c>
      <c r="AG301" s="42" t="n">
        <f aca="false">$D$297*(1+IF($C$297&lt;=0,0,MAX($C$297*AG$5/12,Inputs!$C$8)))+$I$297*(AG$5&gt;Inputs!$C$12)*$D$297*(1+Inputs!$C$11*(AG$5-Inputs!$C$12)/12)</f>
        <v>21351.25</v>
      </c>
      <c r="AH301" s="42" t="n">
        <f aca="false">$D$297*(1+IF($C$297&lt;=0,0,MAX($C$297*AH$5/12,Inputs!$C$8)))+$I$297*(AH$5&gt;Inputs!$C$12)*$D$297*(1+Inputs!$C$11*(AH$5-Inputs!$C$12)/12)</f>
        <v>21565</v>
      </c>
      <c r="AI301" s="42" t="n">
        <f aca="false">$D$297*(1+IF($C$297&lt;=0,0,MAX($C$297*AI$5/12,Inputs!$C$8)))+$I$297*(AI$5&gt;Inputs!$C$12)*$D$297*(1+Inputs!$C$11*(AI$5-Inputs!$C$12)/12)</f>
        <v>21778.75</v>
      </c>
      <c r="AJ301" s="42" t="n">
        <f aca="false">$D$297*(1+IF($C$297&lt;=0,0,MAX($C$297*AJ$5/12,Inputs!$C$8)))+$I$297*(AJ$5&gt;Inputs!$C$12)*$D$297*(1+Inputs!$C$11*(AJ$5-Inputs!$C$12)/12)</f>
        <v>21992.5</v>
      </c>
      <c r="AK301" s="42" t="n">
        <f aca="false">$D$297*(1+IF($C$297&lt;=0,0,MAX($C$297*AK$5/12,Inputs!$C$8)))+$I$297*(AK$5&gt;Inputs!$C$12)*$D$297*(1+Inputs!$C$11*(AK$5-Inputs!$C$12)/12)</f>
        <v>22206.25</v>
      </c>
      <c r="AL301" s="42" t="n">
        <f aca="false">$D$297*(1+IF($C$297&lt;=0,0,MAX($C$297*AL$5/12,Inputs!$C$8)))+$I$297*(AL$5&gt;Inputs!$C$12)*$D$297*(1+Inputs!$C$11*(AL$5-Inputs!$C$12)/12)</f>
        <v>22420</v>
      </c>
    </row>
    <row r="302" customFormat="false" ht="15" hidden="false" customHeight="false" outlineLevel="0" collapsed="false">
      <c r="B302" s="31" t="s">
        <v>187</v>
      </c>
      <c r="N302" s="42" t="n">
        <f aca="false">-($D$297+$J$297)*(N$5=0)+IF(AND(N$5-$K$297&gt;=1,N$5-$K$297&lt;=Inputs!$C$13),INDEX($N$300:$AL$300,1,N$5-$K$297+1)*INDEX($N$301:$AL$301,1,N$5-$K$297+1),0)-$I$297*((N$5=Inputs!$C$12)*$C$299*$D$297+(N$5=Inputs!$C$13)*$D$299*($D$297+Inputs!$C$14))+$I$297*((N$5=Inputs!$C$15+$K$297)*$E$299*$I$299+(N$5=Inputs!$C$16+$K$297)*$F$299*$J$299+(N$5=Inputs!$C$17)*$G$299*$H$297*$H$299)</f>
        <v>-9510</v>
      </c>
      <c r="O302" s="42" t="n">
        <f aca="false">-($D$297+$J$297)*(O$5=0)+IF(AND(O$5-$K$297&gt;=1,O$5-$K$297&lt;=Inputs!$C$13),INDEX($N$300:$AL$300,1,O$5-$K$297+1)*INDEX($N$301:$AL$301,1,O$5-$K$297+1),0)-$I$297*((O$5=Inputs!$C$12)*$C$299*$D$297+(O$5=Inputs!$C$13)*$D$299*($D$297+Inputs!$C$14))+$I$297*((O$5=Inputs!$C$15+$K$297)*$E$299*$I$299+(O$5=Inputs!$C$16+$K$297)*$F$299*$J$299+(O$5=Inputs!$C$17)*$G$299*$H$297*$H$299)</f>
        <v>0</v>
      </c>
      <c r="P302" s="42" t="n">
        <f aca="false">-($D$297+$J$297)*(P$5=0)+IF(AND(P$5-$K$297&gt;=1,P$5-$K$297&lt;=Inputs!$C$13),INDEX($N$300:$AL$300,1,P$5-$K$297+1)*INDEX($N$301:$AL$301,1,P$5-$K$297+1),0)-$I$297*((P$5=Inputs!$C$12)*$C$299*$D$297+(P$5=Inputs!$C$13)*$D$299*($D$297+Inputs!$C$14))+$I$297*((P$5=Inputs!$C$15+$K$297)*$E$299*$I$299+(P$5=Inputs!$C$16+$K$297)*$F$299*$J$299+(P$5=Inputs!$C$17)*$G$299*$H$297*$H$299)</f>
        <v>478.8</v>
      </c>
      <c r="Q302" s="42" t="n">
        <f aca="false">-($D$297+$J$297)*(Q$5=0)+IF(AND(Q$5-$K$297&gt;=1,Q$5-$K$297&lt;=Inputs!$C$13),INDEX($N$300:$AL$300,1,Q$5-$K$297+1)*INDEX($N$301:$AL$301,1,Q$5-$K$297+1),0)-$I$297*((Q$5=Inputs!$C$12)*$C$299*$D$297+(Q$5=Inputs!$C$13)*$D$299*($D$297+Inputs!$C$14))+$I$297*((Q$5=Inputs!$C$15+$K$297)*$E$299*$I$299+(Q$5=Inputs!$C$16+$K$297)*$F$299*$J$299+(Q$5=Inputs!$C$17)*$G$299*$H$297*$H$299)</f>
        <v>478.8</v>
      </c>
      <c r="R302" s="42" t="n">
        <f aca="false">-($D$297+$J$297)*(R$5=0)+IF(AND(R$5-$K$297&gt;=1,R$5-$K$297&lt;=Inputs!$C$13),INDEX($N$300:$AL$300,1,R$5-$K$297+1)*INDEX($N$301:$AL$301,1,R$5-$K$297+1),0)-$I$297*((R$5=Inputs!$C$12)*$C$299*$D$297+(R$5=Inputs!$C$13)*$D$299*($D$297+Inputs!$C$14))+$I$297*((R$5=Inputs!$C$15+$K$297)*$E$299*$I$299+(R$5=Inputs!$C$16+$K$297)*$F$299*$J$299+(R$5=Inputs!$C$17)*$G$299*$H$297*$H$299)</f>
        <v>478.8</v>
      </c>
      <c r="S302" s="42" t="n">
        <f aca="false">-($D$297+$J$297)*(S$5=0)+IF(AND(S$5-$K$297&gt;=1,S$5-$K$297&lt;=Inputs!$C$13),INDEX($N$300:$AL$300,1,S$5-$K$297+1)*INDEX($N$301:$AL$301,1,S$5-$K$297+1),0)-$I$297*((S$5=Inputs!$C$12)*$C$299*$D$297+(S$5=Inputs!$C$13)*$D$299*($D$297+Inputs!$C$14))+$I$297*((S$5=Inputs!$C$15+$K$297)*$E$299*$I$299+(S$5=Inputs!$C$16+$K$297)*$F$299*$J$299+(S$5=Inputs!$C$17)*$G$299*$H$297*$H$299)</f>
        <v>478.8</v>
      </c>
      <c r="T302" s="42" t="n">
        <f aca="false">-($D$297+$J$297)*(T$5=0)+IF(AND(T$5-$K$297&gt;=1,T$5-$K$297&lt;=Inputs!$C$13),INDEX($N$300:$AL$300,1,T$5-$K$297+1)*INDEX($N$301:$AL$301,1,T$5-$K$297+1),0)-$I$297*((T$5=Inputs!$C$12)*$C$299*$D$297+(T$5=Inputs!$C$13)*$D$299*($D$297+Inputs!$C$14))+$I$297*((T$5=Inputs!$C$15+$K$297)*$E$299*$I$299+(T$5=Inputs!$C$16+$K$297)*$F$299*$J$299+(T$5=Inputs!$C$17)*$G$299*$H$297*$H$299)</f>
        <v>478.8</v>
      </c>
      <c r="U302" s="42" t="n">
        <f aca="false">-($D$297+$J$297)*(U$5=0)+IF(AND(U$5-$K$297&gt;=1,U$5-$K$297&lt;=Inputs!$C$13),INDEX($N$300:$AL$300,1,U$5-$K$297+1)*INDEX($N$301:$AL$301,1,U$5-$K$297+1),0)-$I$297*((U$5=Inputs!$C$12)*$C$299*$D$297+(U$5=Inputs!$C$13)*$D$299*($D$297+Inputs!$C$14))+$I$297*((U$5=Inputs!$C$15+$K$297)*$E$299*$I$299+(U$5=Inputs!$C$16+$K$297)*$F$299*$J$299+(U$5=Inputs!$C$17)*$G$299*$H$297*$H$299)</f>
        <v>478.8</v>
      </c>
      <c r="V302" s="42" t="n">
        <f aca="false">-($D$297+$J$297)*(V$5=0)+IF(AND(V$5-$K$297&gt;=1,V$5-$K$297&lt;=Inputs!$C$13),INDEX($N$300:$AL$300,1,V$5-$K$297+1)*INDEX($N$301:$AL$301,1,V$5-$K$297+1),0)-$I$297*((V$5=Inputs!$C$12)*$C$299*$D$297+(V$5=Inputs!$C$13)*$D$299*($D$297+Inputs!$C$14))+$I$297*((V$5=Inputs!$C$15+$K$297)*$E$299*$I$299+(V$5=Inputs!$C$16+$K$297)*$F$299*$J$299+(V$5=Inputs!$C$17)*$G$299*$H$297*$H$299)</f>
        <v>373.286666666667</v>
      </c>
      <c r="W302" s="42" t="n">
        <f aca="false">-($D$297+$J$297)*(W$5=0)+IF(AND(W$5-$K$297&gt;=1,W$5-$K$297&lt;=Inputs!$C$13),INDEX($N$300:$AL$300,1,W$5-$K$297+1)*INDEX($N$301:$AL$301,1,W$5-$K$297+1),0)-$I$297*((W$5=Inputs!$C$12)*$C$299*$D$297+(W$5=Inputs!$C$13)*$D$299*($D$297+Inputs!$C$14))+$I$297*((W$5=Inputs!$C$15+$K$297)*$E$299*$I$299+(W$5=Inputs!$C$16+$K$297)*$F$299*$J$299+(W$5=Inputs!$C$17)*$G$299*$H$297*$H$299)</f>
        <v>375.946666666666</v>
      </c>
      <c r="X302" s="42" t="n">
        <f aca="false">-($D$297+$J$297)*(X$5=0)+IF(AND(X$5-$K$297&gt;=1,X$5-$K$297&lt;=Inputs!$C$13),INDEX($N$300:$AL$300,1,X$5-$K$297+1)*INDEX($N$301:$AL$301,1,X$5-$K$297+1),0)-$I$297*((X$5=Inputs!$C$12)*$C$299*$D$297+(X$5=Inputs!$C$13)*$D$299*($D$297+Inputs!$C$14))+$I$297*((X$5=Inputs!$C$15+$K$297)*$E$299*$I$299+(X$5=Inputs!$C$16+$K$297)*$F$299*$J$299+(X$5=Inputs!$C$17)*$G$299*$H$297*$H$299)</f>
        <v>378.606666666667</v>
      </c>
      <c r="Y302" s="42" t="n">
        <f aca="false">-($D$297+$J$297)*(Y$5=0)+IF(AND(Y$5-$K$297&gt;=1,Y$5-$K$297&lt;=Inputs!$C$13),INDEX($N$300:$AL$300,1,Y$5-$K$297+1)*INDEX($N$301:$AL$301,1,Y$5-$K$297+1),0)-$I$297*((Y$5=Inputs!$C$12)*$C$299*$D$297+(Y$5=Inputs!$C$13)*$D$299*($D$297+Inputs!$C$14))+$I$297*((Y$5=Inputs!$C$15+$K$297)*$E$299*$I$299+(Y$5=Inputs!$C$16+$K$297)*$F$299*$J$299+(Y$5=Inputs!$C$17)*$G$299*$H$297*$H$299)</f>
        <v>326.8</v>
      </c>
      <c r="Z302" s="42" t="n">
        <f aca="false">-($D$297+$J$297)*(Z$5=0)+IF(AND(Z$5-$K$297&gt;=1,Z$5-$K$297&lt;=Inputs!$C$13),INDEX($N$300:$AL$300,1,Z$5-$K$297+1)*INDEX($N$301:$AL$301,1,Z$5-$K$297+1),0)-$I$297*((Z$5=Inputs!$C$12)*$C$299*$D$297+(Z$5=Inputs!$C$13)*$D$299*($D$297+Inputs!$C$14))+$I$297*((Z$5=Inputs!$C$15+$K$297)*$E$299*$I$299+(Z$5=Inputs!$C$16+$K$297)*$F$299*$J$299+(Z$5=Inputs!$C$17)*$G$299*$H$297*$H$299)</f>
        <v>-4458.92</v>
      </c>
      <c r="AA302" s="42" t="n">
        <f aca="false">-($D$297+$J$297)*(AA$5=0)+IF(AND(AA$5-$K$297&gt;=1,AA$5-$K$297&lt;=Inputs!$C$13),INDEX($N$300:$AL$300,1,AA$5-$K$297+1)*INDEX($N$301:$AL$301,1,AA$5-$K$297+1),0)-$I$297*((AA$5=Inputs!$C$12)*$C$299*$D$297+(AA$5=Inputs!$C$13)*$D$299*($D$297+Inputs!$C$14))+$I$297*((AA$5=Inputs!$C$15+$K$297)*$E$299*$I$299+(AA$5=Inputs!$C$16+$K$297)*$F$299*$J$299+(AA$5=Inputs!$C$17)*$G$299*$H$297*$H$299)</f>
        <v>331.36</v>
      </c>
      <c r="AB302" s="42" t="n">
        <f aca="false">-($D$297+$J$297)*(AB$5=0)+IF(AND(AB$5-$K$297&gt;=1,AB$5-$K$297&lt;=Inputs!$C$13),INDEX($N$300:$AL$300,1,AB$5-$K$297+1)*INDEX($N$301:$AL$301,1,AB$5-$K$297+1),0)-$I$297*((AB$5=Inputs!$C$12)*$C$299*$D$297+(AB$5=Inputs!$C$13)*$D$299*($D$297+Inputs!$C$14))+$I$297*((AB$5=Inputs!$C$15+$K$297)*$E$299*$I$299+(AB$5=Inputs!$C$16+$K$297)*$F$299*$J$299+(AB$5=Inputs!$C$17)*$G$299*$H$297*$H$299)</f>
        <v>535.166666666667</v>
      </c>
      <c r="AC302" s="42" t="n">
        <f aca="false">-($D$297+$J$297)*(AC$5=0)+IF(AND(AC$5-$K$297&gt;=1,AC$5-$K$297&lt;=Inputs!$C$13),INDEX($N$300:$AL$300,1,AC$5-$K$297+1)*INDEX($N$301:$AL$301,1,AC$5-$K$297+1),0)-$I$297*((AC$5=Inputs!$C$12)*$C$299*$D$297+(AC$5=Inputs!$C$13)*$D$299*($D$297+Inputs!$C$14))+$I$297*((AC$5=Inputs!$C$15+$K$297)*$E$299*$I$299+(AC$5=Inputs!$C$16+$K$297)*$F$299*$J$299+(AC$5=Inputs!$C$17)*$G$299*$H$297*$H$299)</f>
        <v>540.866666666667</v>
      </c>
      <c r="AD302" s="42" t="n">
        <f aca="false">-($D$297+$J$297)*(AD$5=0)+IF(AND(AD$5-$K$297&gt;=1,AD$5-$K$297&lt;=Inputs!$C$13),INDEX($N$300:$AL$300,1,AD$5-$K$297+1)*INDEX($N$301:$AL$301,1,AD$5-$K$297+1),0)-$I$297*((AD$5=Inputs!$C$12)*$C$299*$D$297+(AD$5=Inputs!$C$13)*$D$299*($D$297+Inputs!$C$14))+$I$297*((AD$5=Inputs!$C$15+$K$297)*$E$299*$I$299+(AD$5=Inputs!$C$16+$K$297)*$F$299*$J$299+(AD$5=Inputs!$C$17)*$G$299*$H$297*$H$299)</f>
        <v>546.566666666667</v>
      </c>
      <c r="AE302" s="42" t="n">
        <f aca="false">-($D$297+$J$297)*(AE$5=0)+IF(AND(AE$5-$K$297&gt;=1,AE$5-$K$297&lt;=Inputs!$C$13),INDEX($N$300:$AL$300,1,AE$5-$K$297+1)*INDEX($N$301:$AL$301,1,AE$5-$K$297+1),0)-$I$297*((AE$5=Inputs!$C$12)*$C$299*$D$297+(AE$5=Inputs!$C$13)*$D$299*($D$297+Inputs!$C$14))+$I$297*((AE$5=Inputs!$C$15+$K$297)*$E$299*$I$299+(AE$5=Inputs!$C$16+$K$297)*$F$299*$J$299+(AE$5=Inputs!$C$17)*$G$299*$H$297*$H$299)</f>
        <v>552.266666666667</v>
      </c>
      <c r="AF302" s="42" t="n">
        <f aca="false">-($D$297+$J$297)*(AF$5=0)+IF(AND(AF$5-$K$297&gt;=1,AF$5-$K$297&lt;=Inputs!$C$13),INDEX($N$300:$AL$300,1,AF$5-$K$297+1)*INDEX($N$301:$AL$301,1,AF$5-$K$297+1),0)-$I$297*((AF$5=Inputs!$C$12)*$C$299*$D$297+(AF$5=Inputs!$C$13)*$D$299*($D$297+Inputs!$C$14))+$I$297*((AF$5=Inputs!$C$15+$K$297)*$E$299*$I$299+(AF$5=Inputs!$C$16+$K$297)*$F$299*$J$299+(AF$5=Inputs!$C$17)*$G$299*$H$297*$H$299)</f>
        <v>557.966666666667</v>
      </c>
      <c r="AG302" s="42" t="n">
        <f aca="false">-($D$297+$J$297)*(AG$5=0)+IF(AND(AG$5-$K$297&gt;=1,AG$5-$K$297&lt;=Inputs!$C$13),INDEX($N$300:$AL$300,1,AG$5-$K$297+1)*INDEX($N$301:$AL$301,1,AG$5-$K$297+1),0)-$I$297*((AG$5=Inputs!$C$12)*$C$299*$D$297+(AG$5=Inputs!$C$13)*$D$299*($D$297+Inputs!$C$14))+$I$297*((AG$5=Inputs!$C$15+$K$297)*$E$299*$I$299+(AG$5=Inputs!$C$16+$K$297)*$F$299*$J$299+(AG$5=Inputs!$C$17)*$G$299*$H$297*$H$299)</f>
        <v>563.666666666667</v>
      </c>
      <c r="AH302" s="42" t="n">
        <f aca="false">-($D$297+$J$297)*(AH$5=0)+IF(AND(AH$5-$K$297&gt;=1,AH$5-$K$297&lt;=Inputs!$C$13),INDEX($N$300:$AL$300,1,AH$5-$K$297+1)*INDEX($N$301:$AL$301,1,AH$5-$K$297+1),0)-$I$297*((AH$5=Inputs!$C$12)*$C$299*$D$297+(AH$5=Inputs!$C$13)*$D$299*($D$297+Inputs!$C$14))+$I$297*((AH$5=Inputs!$C$15+$K$297)*$E$299*$I$299+(AH$5=Inputs!$C$16+$K$297)*$F$299*$J$299+(AH$5=Inputs!$C$17)*$G$299*$H$297*$H$299)</f>
        <v>512.43</v>
      </c>
      <c r="AI302" s="42" t="n">
        <f aca="false">-($D$297+$J$297)*(AI$5=0)+IF(AND(AI$5-$K$297&gt;=1,AI$5-$K$297&lt;=Inputs!$C$13),INDEX($N$300:$AL$300,1,AI$5-$K$297+1)*INDEX($N$301:$AL$301,1,AI$5-$K$297+1),0)-$I$297*((AI$5=Inputs!$C$12)*$C$299*$D$297+(AI$5=Inputs!$C$13)*$D$299*($D$297+Inputs!$C$14))+$I$297*((AI$5=Inputs!$C$15+$K$297)*$E$299*$I$299+(AI$5=Inputs!$C$16+$K$297)*$F$299*$J$299+(AI$5=Inputs!$C$17)*$G$299*$H$297*$H$299)</f>
        <v>517.560000000001</v>
      </c>
      <c r="AJ302" s="42" t="n">
        <f aca="false">-($D$297+$J$297)*(AJ$5=0)+IF(AND(AJ$5-$K$297&gt;=1,AJ$5-$K$297&lt;=Inputs!$C$13),INDEX($N$300:$AL$300,1,AJ$5-$K$297+1)*INDEX($N$301:$AL$301,1,AJ$5-$K$297+1),0)-$I$297*((AJ$5=Inputs!$C$12)*$C$299*$D$297+(AJ$5=Inputs!$C$13)*$D$299*($D$297+Inputs!$C$14))+$I$297*((AJ$5=Inputs!$C$15+$K$297)*$E$299*$I$299+(AJ$5=Inputs!$C$16+$K$297)*$F$299*$J$299+(AJ$5=Inputs!$C$17)*$G$299*$H$297*$H$299)</f>
        <v>522.689999999999</v>
      </c>
      <c r="AK302" s="42" t="n">
        <f aca="false">-($D$297+$J$297)*(AK$5=0)+IF(AND(AK$5-$K$297&gt;=1,AK$5-$K$297&lt;=Inputs!$C$13),INDEX($N$300:$AL$300,1,AK$5-$K$297+1)*INDEX($N$301:$AL$301,1,AK$5-$K$297+1),0)-$I$297*((AK$5=Inputs!$C$12)*$C$299*$D$297+(AK$5=Inputs!$C$13)*$D$299*($D$297+Inputs!$C$14))+$I$297*((AK$5=Inputs!$C$15+$K$297)*$E$299*$I$299+(AK$5=Inputs!$C$16+$K$297)*$F$299*$J$299+(AK$5=Inputs!$C$17)*$G$299*$H$297*$H$299)</f>
        <v>527.820000000001</v>
      </c>
      <c r="AL302" s="42" t="n">
        <f aca="false">-($D$297+$J$297)*(AL$5=0)+IF(AND(AL$5-$K$297&gt;=1,AL$5-$K$297&lt;=Inputs!$C$13),INDEX($N$300:$AL$300,1,AL$5-$K$297+1)*INDEX($N$301:$AL$301,1,AL$5-$K$297+1),0)-$I$297*((AL$5=Inputs!$C$12)*$C$299*$D$297+(AL$5=Inputs!$C$13)*$D$299*($D$297+Inputs!$C$14))+$I$297*((AL$5=Inputs!$C$15+$K$297)*$E$299*$I$299+(AL$5=Inputs!$C$16+$K$297)*$F$299*$J$299+(AL$5=Inputs!$C$17)*$G$299*$H$297*$H$299)</f>
        <v>-1727.05</v>
      </c>
      <c r="AM302" s="42" t="n">
        <f aca="false">-($D$297+$J$297)*(AM$5=0)+IF(AND(AM$5-$K$297&gt;=1,AM$5-$K$297&lt;=Inputs!$C$13),INDEX($N$300:$AL$300,1,AM$5-$K$297+1)*INDEX($N$301:$AL$301,1,AM$5-$K$297+1),0)-$I$297*((AM$5=Inputs!$C$12)*$C$299*$D$297+(AM$5=Inputs!$C$13)*$D$299*($D$297+Inputs!$C$14))+$I$297*((AM$5=Inputs!$C$15+$K$297)*$E$299*$I$299+(AM$5=Inputs!$C$16+$K$297)*$F$299*$J$299+(AM$5=Inputs!$C$17)*$G$299*$H$297*$H$299)</f>
        <v>538.080000000001</v>
      </c>
      <c r="AN302" s="42" t="n">
        <f aca="false">-($D$297+$J$297)*(AN$5=0)+IF(AND(AN$5-$K$297&gt;=1,AN$5-$K$297&lt;=Inputs!$C$13),INDEX($N$300:$AL$300,1,AN$5-$K$297+1)*INDEX($N$301:$AL$301,1,AN$5-$K$297+1),0)-$I$297*((AN$5=Inputs!$C$12)*$C$299*$D$297+(AN$5=Inputs!$C$13)*$D$299*($D$297+Inputs!$C$14))+$I$297*((AN$5=Inputs!$C$15+$K$297)*$E$299*$I$299+(AN$5=Inputs!$C$16+$K$297)*$F$299*$J$299+(AN$5=Inputs!$C$17)*$G$299*$H$297*$H$299)</f>
        <v>0</v>
      </c>
      <c r="AO302" s="42" t="n">
        <f aca="false">-($D$297+$J$297)*(AO$5=0)+IF(AND(AO$5-$K$297&gt;=1,AO$5-$K$297&lt;=Inputs!$C$13),INDEX($N$300:$AL$300,1,AO$5-$K$297+1)*INDEX($N$301:$AL$301,1,AO$5-$K$297+1),0)-$I$297*((AO$5=Inputs!$C$12)*$C$299*$D$297+(AO$5=Inputs!$C$13)*$D$299*($D$297+Inputs!$C$14))+$I$297*((AO$5=Inputs!$C$15+$K$297)*$E$299*$I$299+(AO$5=Inputs!$C$16+$K$297)*$F$299*$J$299+(AO$5=Inputs!$C$17)*$G$299*$H$297*$H$299)</f>
        <v>0</v>
      </c>
      <c r="AP302" s="42" t="n">
        <f aca="false">-($D$297+$J$297)*(AP$5=0)+IF(AND(AP$5-$K$297&gt;=1,AP$5-$K$297&lt;=Inputs!$C$13),INDEX($N$300:$AL$300,1,AP$5-$K$297+1)*INDEX($N$301:$AL$301,1,AP$5-$K$297+1),0)-$I$297*((AP$5=Inputs!$C$12)*$C$299*$D$297+(AP$5=Inputs!$C$13)*$D$299*($D$297+Inputs!$C$14))+$I$297*((AP$5=Inputs!$C$15+$K$297)*$E$299*$I$299+(AP$5=Inputs!$C$16+$K$297)*$F$299*$J$299+(AP$5=Inputs!$C$17)*$G$299*$H$297*$H$299)</f>
        <v>4174.65</v>
      </c>
      <c r="AQ302" s="42" t="n">
        <f aca="false">-($D$297+$J$297)*(AQ$5=0)+IF(AND(AQ$5-$K$297&gt;=1,AQ$5-$K$297&lt;=Inputs!$C$13),INDEX($N$300:$AL$300,1,AQ$5-$K$297+1)*INDEX($N$301:$AL$301,1,AQ$5-$K$297+1),0)-$I$297*((AQ$5=Inputs!$C$12)*$C$299*$D$297+(AQ$5=Inputs!$C$13)*$D$299*($D$297+Inputs!$C$14))+$I$297*((AQ$5=Inputs!$C$15+$K$297)*$E$299*$I$299+(AQ$5=Inputs!$C$16+$K$297)*$F$299*$J$299+(AQ$5=Inputs!$C$17)*$G$299*$H$297*$H$299)</f>
        <v>0</v>
      </c>
      <c r="AR302" s="42" t="n">
        <f aca="false">-($D$297+$J$297)*(AR$5=0)+IF(AND(AR$5-$K$297&gt;=1,AR$5-$K$297&lt;=Inputs!$C$13),INDEX($N$300:$AL$300,1,AR$5-$K$297+1)*INDEX($N$301:$AL$301,1,AR$5-$K$297+1),0)-$I$297*((AR$5=Inputs!$C$12)*$C$299*$D$297+(AR$5=Inputs!$C$13)*$D$299*($D$297+Inputs!$C$14))+$I$297*((AR$5=Inputs!$C$15+$K$297)*$E$299*$I$299+(AR$5=Inputs!$C$16+$K$297)*$F$299*$J$299+(AR$5=Inputs!$C$17)*$G$299*$H$297*$H$299)</f>
        <v>0</v>
      </c>
      <c r="AS302" s="42" t="n">
        <f aca="false">-($D$297+$J$297)*(AS$5=0)+IF(AND(AS$5-$K$297&gt;=1,AS$5-$K$297&lt;=Inputs!$C$13),INDEX($N$300:$AL$300,1,AS$5-$K$297+1)*INDEX($N$301:$AL$301,1,AS$5-$K$297+1),0)-$I$297*((AS$5=Inputs!$C$12)*$C$299*$D$297+(AS$5=Inputs!$C$13)*$D$299*($D$297+Inputs!$C$14))+$I$297*((AS$5=Inputs!$C$15+$K$297)*$E$299*$I$299+(AS$5=Inputs!$C$16+$K$297)*$F$299*$J$299+(AS$5=Inputs!$C$17)*$G$299*$H$297*$H$299)</f>
        <v>1147.44</v>
      </c>
      <c r="AT302" s="42" t="n">
        <f aca="false">-($D$297+$J$297)*(AT$5=0)+IF(AND(AT$5-$K$297&gt;=1,AT$5-$K$297&lt;=Inputs!$C$13),INDEX($N$300:$AL$300,1,AT$5-$K$297+1)*INDEX($N$301:$AL$301,1,AT$5-$K$297+1),0)-$I$297*((AT$5=Inputs!$C$12)*$C$299*$D$297+(AT$5=Inputs!$C$13)*$D$299*($D$297+Inputs!$C$14))+$I$297*((AT$5=Inputs!$C$15+$K$297)*$E$299*$I$299+(AT$5=Inputs!$C$16+$K$297)*$F$299*$J$299+(AT$5=Inputs!$C$17)*$G$299*$H$297*$H$299)</f>
        <v>0</v>
      </c>
      <c r="AU302" s="42" t="n">
        <f aca="false">-($D$297+$J$297)*(AU$5=0)+IF(AND(AU$5-$K$297&gt;=1,AU$5-$K$297&lt;=Inputs!$C$13),INDEX($N$300:$AL$300,1,AU$5-$K$297+1)*INDEX($N$301:$AL$301,1,AU$5-$K$297+1),0)-$I$297*((AU$5=Inputs!$C$12)*$C$299*$D$297+(AU$5=Inputs!$C$13)*$D$299*($D$297+Inputs!$C$14))+$I$297*((AU$5=Inputs!$C$15+$K$297)*$E$299*$I$299+(AU$5=Inputs!$C$16+$K$297)*$F$299*$J$299+(AU$5=Inputs!$C$17)*$G$299*$H$297*$H$299)</f>
        <v>0</v>
      </c>
      <c r="AV302" s="42" t="n">
        <f aca="false">-($D$297+$J$297)*(AV$5=0)+IF(AND(AV$5-$K$297&gt;=1,AV$5-$K$297&lt;=Inputs!$C$13),INDEX($N$300:$AL$300,1,AV$5-$K$297+1)*INDEX($N$301:$AL$301,1,AV$5-$K$297+1),0)-$I$297*((AV$5=Inputs!$C$12)*$C$299*$D$297+(AV$5=Inputs!$C$13)*$D$299*($D$297+Inputs!$C$14))+$I$297*((AV$5=Inputs!$C$15+$K$297)*$E$299*$I$299+(AV$5=Inputs!$C$16+$K$297)*$F$299*$J$299+(AV$5=Inputs!$C$17)*$G$299*$H$297*$H$299)</f>
        <v>0</v>
      </c>
      <c r="AW302" s="42" t="n">
        <f aca="false">-($D$297+$J$297)*(AW$5=0)+IF(AND(AW$5-$K$297&gt;=1,AW$5-$K$297&lt;=Inputs!$C$13),INDEX($N$300:$AL$300,1,AW$5-$K$297+1)*INDEX($N$301:$AL$301,1,AW$5-$K$297+1),0)-$I$297*((AW$5=Inputs!$C$12)*$C$299*$D$297+(AW$5=Inputs!$C$13)*$D$299*($D$297+Inputs!$C$14))+$I$297*((AW$5=Inputs!$C$15+$K$297)*$E$299*$I$299+(AW$5=Inputs!$C$16+$K$297)*$F$299*$J$299+(AW$5=Inputs!$C$17)*$G$299*$H$297*$H$299)</f>
        <v>0</v>
      </c>
      <c r="AX302" s="42" t="n">
        <f aca="false">-($D$297+$J$297)*(AX$5=0)+IF(AND(AX$5-$K$297&gt;=1,AX$5-$K$297&lt;=Inputs!$C$13),INDEX($N$300:$AL$300,1,AX$5-$K$297+1)*INDEX($N$301:$AL$301,1,AX$5-$K$297+1),0)-$I$297*((AX$5=Inputs!$C$12)*$C$299*$D$297+(AX$5=Inputs!$C$13)*$D$299*($D$297+Inputs!$C$14))+$I$297*((AX$5=Inputs!$C$15+$K$297)*$E$299*$I$299+(AX$5=Inputs!$C$16+$K$297)*$F$299*$J$299+(AX$5=Inputs!$C$17)*$G$299*$H$297*$H$299)</f>
        <v>1018.08</v>
      </c>
      <c r="AY302" s="42" t="n">
        <f aca="false">-($D$297+$J$297)*(AY$5=0)+IF(AND(AY$5-$K$297&gt;=1,AY$5-$K$297&lt;=Inputs!$C$13),INDEX($N$300:$AL$300,1,AY$5-$K$297+1)*INDEX($N$301:$AL$301,1,AY$5-$K$297+1),0)-$I$297*((AY$5=Inputs!$C$12)*$C$299*$D$297+(AY$5=Inputs!$C$13)*$D$299*($D$297+Inputs!$C$14))+$I$297*((AY$5=Inputs!$C$15+$K$297)*$E$299*$I$299+(AY$5=Inputs!$C$16+$K$297)*$F$299*$J$299+(AY$5=Inputs!$C$17)*$G$299*$H$297*$H$299)</f>
        <v>0</v>
      </c>
    </row>
    <row r="304" customFormat="false" ht="15" hidden="false" customHeight="false" outlineLevel="0" collapsed="false">
      <c r="B304" s="7" t="s">
        <v>274</v>
      </c>
      <c r="C304" s="8"/>
      <c r="D304" s="8"/>
      <c r="E304" s="8"/>
      <c r="F304" s="8"/>
      <c r="G304" s="8"/>
      <c r="H304" s="8"/>
      <c r="I304" s="8"/>
      <c r="J304" s="8"/>
      <c r="K304" s="8"/>
      <c r="L304" s="8"/>
    </row>
    <row r="305" customFormat="false" ht="30" hidden="false" customHeight="true" outlineLevel="0" collapsed="false">
      <c r="B305" s="37"/>
      <c r="C305" s="38" t="s">
        <v>169</v>
      </c>
      <c r="D305" s="38" t="s">
        <v>170</v>
      </c>
      <c r="E305" s="38" t="s">
        <v>171</v>
      </c>
      <c r="F305" s="38" t="s">
        <v>43</v>
      </c>
      <c r="G305" s="38" t="s">
        <v>44</v>
      </c>
      <c r="H305" s="38" t="s">
        <v>45</v>
      </c>
      <c r="I305" s="38" t="s">
        <v>172</v>
      </c>
      <c r="J305" s="38" t="s">
        <v>90</v>
      </c>
      <c r="K305" s="38" t="s">
        <v>89</v>
      </c>
      <c r="L305" s="38" t="s">
        <v>173</v>
      </c>
    </row>
    <row r="306" customFormat="false" ht="15" hidden="false" customHeight="false" outlineLevel="0" collapsed="false">
      <c r="B306" s="39" t="s">
        <v>174</v>
      </c>
      <c r="C306" s="26" t="n">
        <f aca="false">Inputs!$F$42*Inputs!$E$61</f>
        <v>0.13</v>
      </c>
      <c r="D306" s="30" t="n">
        <f aca="false">Inputs!$E$42</f>
        <v>1600</v>
      </c>
      <c r="E306" s="26" t="n">
        <f aca="false">IF(Inputs!$G$42=1,Inputs!$F$27,MIN(1,MAX(0,INDEX(Inputs!$F$23:$F$27,MATCH(Inputs!$C$42,Inputs!$B$23:$B$27,0))+INDEX(Inputs!$C$48:$C$51,MATCH(Inputs!$D$61,Inputs!$B$48:$B$51,0)))))</f>
        <v>0.7</v>
      </c>
      <c r="F306" s="25" t="n">
        <f aca="false">IF(Inputs!$G$42=1,Inputs!$G$27,INDEX(Inputs!$G$23:$G$27,MATCH(Inputs!$C$42,Inputs!$B$23:$B$27,0)))</f>
        <v>0.4</v>
      </c>
      <c r="G306" s="25" t="n">
        <f aca="false">IF(Inputs!$G$42=1,Inputs!$H$27,INDEX(Inputs!$H$23:$H$27,MATCH(Inputs!$C$42,Inputs!$B$23:$B$27,0)))*INDEX(Inputs!$D$48:$D$51,MATCH(Inputs!$D$61,Inputs!$B$48:$B$51,0))</f>
        <v>0.25</v>
      </c>
      <c r="H306" s="25" t="n">
        <f aca="false">MAX(0,IF(Inputs!$G$42=1,Inputs!$I$27,INDEX(Inputs!$I$23:$I$27,MATCH(Inputs!$C$42,Inputs!$B$23:$B$27,0)))+INDEX(Inputs!$E$48:$E$51,MATCH(Inputs!$D$61,Inputs!$B$48:$B$51,0)))</f>
        <v>0.5</v>
      </c>
      <c r="I306" s="22" t="n">
        <f aca="false">IF(Inputs!$G$42=1,0,INDEX(Inputs!$J$23:$J$27,MATCH(Inputs!$C$42,Inputs!$B$23:$B$27,0)))</f>
        <v>1</v>
      </c>
      <c r="J306" s="23" t="n">
        <f aca="false">Inputs!$G$61</f>
        <v>10</v>
      </c>
      <c r="K306" s="22" t="n">
        <f aca="false">Inputs!$F$61</f>
        <v>1</v>
      </c>
      <c r="L306" s="22" t="n">
        <f aca="false">Inputs!$C$61</f>
        <v>2</v>
      </c>
    </row>
    <row r="307" customFormat="false" ht="30" hidden="false" customHeight="true" outlineLevel="0" collapsed="false">
      <c r="B307" s="37"/>
      <c r="C307" s="38" t="s">
        <v>175</v>
      </c>
      <c r="D307" s="38" t="s">
        <v>176</v>
      </c>
      <c r="E307" s="38" t="s">
        <v>177</v>
      </c>
      <c r="F307" s="38" t="s">
        <v>178</v>
      </c>
      <c r="G307" s="38" t="s">
        <v>112</v>
      </c>
      <c r="H307" s="38" t="s">
        <v>179</v>
      </c>
      <c r="I307" s="38" t="s">
        <v>180</v>
      </c>
      <c r="J307" s="38" t="s">
        <v>181</v>
      </c>
      <c r="K307" s="38" t="s">
        <v>182</v>
      </c>
      <c r="L307" s="38" t="s">
        <v>183</v>
      </c>
    </row>
    <row r="308" customFormat="false" ht="15" hidden="false" customHeight="false" outlineLevel="0" collapsed="false">
      <c r="B308" s="39" t="s">
        <v>184</v>
      </c>
      <c r="C308" s="40" t="n">
        <f aca="false">1-$E$306*CHOOSE($L$306,INDEX(Timing!$C$7:$AA$7,1,Inputs!$C$12+1),INDEX(Timing!$C$8:$AA$8,1,Inputs!$C$12+1))</f>
        <v>0.566</v>
      </c>
      <c r="D308" s="40" t="n">
        <f aca="false">1-$E$306*CHOOSE($L$306,INDEX(Timing!$C$7:$AA$7,1,Inputs!$C$13+1),INDEX(Timing!$C$8:$AA$8,1,Inputs!$C$13+1))</f>
        <v>0.3</v>
      </c>
      <c r="E308" s="40" t="n">
        <f aca="false">$I$306*$D$308*$F$306</f>
        <v>0.12</v>
      </c>
      <c r="F308" s="40" t="n">
        <f aca="false">$I$306*($D$308-$E$308)*$G$306</f>
        <v>0.045</v>
      </c>
      <c r="G308" s="40" t="n">
        <f aca="false">$I$306*($D$308-$E$308-$F$308)</f>
        <v>0.135</v>
      </c>
      <c r="H308" s="23" t="n">
        <f aca="false">$I$306*(3*$D$306+Inputs!$C$14)</f>
        <v>6600</v>
      </c>
      <c r="I308" s="23" t="n">
        <f aca="false">$I$306*($D$306*(1+IF($C$306&lt;=0,0,MAX($C$306*Inputs!$C$15/12,Inputs!$C$8)))+$D$306*(1+Inputs!$C$11*(Inputs!$C$15-Inputs!$C$12)/12)+$D$306*(1+Inputs!$C$11*(Inputs!$C$15-Inputs!$C$13)/12)+Inputs!$C$14)</f>
        <v>7500</v>
      </c>
      <c r="J308" s="23" t="n">
        <f aca="false">$I$306*($D$306*(1+IF($C$306&lt;=0,0,MAX($C$306*Inputs!$C$16/12,Inputs!$C$8)))+$D$306*(1+Inputs!$C$11*(Inputs!$C$16-Inputs!$C$12)/12)+$D$306*(1+Inputs!$C$11*(Inputs!$C$16-Inputs!$C$13)/12)+Inputs!$C$14)</f>
        <v>7696</v>
      </c>
      <c r="K308" s="40" t="n">
        <f aca="false">IRR($N$311:$AY$311,0.005)</f>
        <v>-0.00284515372173639</v>
      </c>
      <c r="L308" s="41" t="n">
        <f aca="false">(1+$K$308)^12-1</f>
        <v>-0.0336126158632033</v>
      </c>
    </row>
    <row r="309" customFormat="false" ht="15" hidden="false" customHeight="false" outlineLevel="0" collapsed="false">
      <c r="B309" s="9" t="s">
        <v>185</v>
      </c>
      <c r="N309" s="40" t="n">
        <f aca="false">0</f>
        <v>0</v>
      </c>
      <c r="O309" s="40" t="n">
        <f aca="false">$E$306*(CHOOSE($L$306,Timing!D$7,Timing!D$8)-CHOOSE($L$306,Timing!C$7,Timing!C$8))</f>
        <v>0.042</v>
      </c>
      <c r="P309" s="40" t="n">
        <f aca="false">$E$306*(CHOOSE($L$306,Timing!E$7,Timing!E$8)-CHOOSE($L$306,Timing!D$7,Timing!D$8))</f>
        <v>0.042</v>
      </c>
      <c r="Q309" s="40" t="n">
        <f aca="false">$E$306*(CHOOSE($L$306,Timing!F$7,Timing!F$8)-CHOOSE($L$306,Timing!E$7,Timing!E$8))</f>
        <v>0.042</v>
      </c>
      <c r="R309" s="40" t="n">
        <f aca="false">$E$306*(CHOOSE($L$306,Timing!G$7,Timing!G$8)-CHOOSE($L$306,Timing!F$7,Timing!F$8))</f>
        <v>0.042</v>
      </c>
      <c r="S309" s="40" t="n">
        <f aca="false">$E$306*(CHOOSE($L$306,Timing!H$7,Timing!H$8)-CHOOSE($L$306,Timing!G$7,Timing!G$8))</f>
        <v>0.042</v>
      </c>
      <c r="T309" s="40" t="n">
        <f aca="false">$E$306*(CHOOSE($L$306,Timing!I$7,Timing!I$8)-CHOOSE($L$306,Timing!H$7,Timing!H$8))</f>
        <v>0.042</v>
      </c>
      <c r="U309" s="40" t="n">
        <f aca="false">$E$306*(CHOOSE($L$306,Timing!J$7,Timing!J$8)-CHOOSE($L$306,Timing!I$7,Timing!I$8))</f>
        <v>0.0326666666666667</v>
      </c>
      <c r="V309" s="40" t="n">
        <f aca="false">$E$306*(CHOOSE($L$306,Timing!K$7,Timing!K$8)-CHOOSE($L$306,Timing!J$7,Timing!J$8))</f>
        <v>0.0326666666666667</v>
      </c>
      <c r="W309" s="40" t="n">
        <f aca="false">$E$306*(CHOOSE($L$306,Timing!L$7,Timing!L$8)-CHOOSE($L$306,Timing!K$7,Timing!K$8))</f>
        <v>0.0326666666666667</v>
      </c>
      <c r="X309" s="40" t="n">
        <f aca="false">$E$306*(CHOOSE($L$306,Timing!M$7,Timing!M$8)-CHOOSE($L$306,Timing!L$7,Timing!L$8))</f>
        <v>0.028</v>
      </c>
      <c r="Y309" s="40" t="n">
        <f aca="false">$E$306*(CHOOSE($L$306,Timing!N$7,Timing!N$8)-CHOOSE($L$306,Timing!M$7,Timing!M$8))</f>
        <v>0.028</v>
      </c>
      <c r="Z309" s="40" t="n">
        <f aca="false">$E$306*(CHOOSE($L$306,Timing!O$7,Timing!O$8)-CHOOSE($L$306,Timing!N$7,Timing!N$8))</f>
        <v>0.028</v>
      </c>
      <c r="AA309" s="40" t="n">
        <f aca="false">$E$306*(CHOOSE($L$306,Timing!P$7,Timing!P$8)-CHOOSE($L$306,Timing!O$7,Timing!O$8))</f>
        <v>0.0233333333333333</v>
      </c>
      <c r="AB309" s="40" t="n">
        <f aca="false">$E$306*(CHOOSE($L$306,Timing!Q$7,Timing!Q$8)-CHOOSE($L$306,Timing!P$7,Timing!P$8))</f>
        <v>0.0233333333333333</v>
      </c>
      <c r="AC309" s="40" t="n">
        <f aca="false">$E$306*(CHOOSE($L$306,Timing!R$7,Timing!R$8)-CHOOSE($L$306,Timing!Q$7,Timing!Q$8))</f>
        <v>0.0233333333333333</v>
      </c>
      <c r="AD309" s="40" t="n">
        <f aca="false">$E$306*(CHOOSE($L$306,Timing!S$7,Timing!S$8)-CHOOSE($L$306,Timing!R$7,Timing!R$8))</f>
        <v>0.0233333333333333</v>
      </c>
      <c r="AE309" s="40" t="n">
        <f aca="false">$E$306*(CHOOSE($L$306,Timing!T$7,Timing!T$8)-CHOOSE($L$306,Timing!S$7,Timing!S$8))</f>
        <v>0.0233333333333333</v>
      </c>
      <c r="AF309" s="40" t="n">
        <f aca="false">$E$306*(CHOOSE($L$306,Timing!U$7,Timing!U$8)-CHOOSE($L$306,Timing!T$7,Timing!T$8))</f>
        <v>0.0233333333333333</v>
      </c>
      <c r="AG309" s="40" t="n">
        <f aca="false">$E$306*(CHOOSE($L$306,Timing!V$7,Timing!V$8)-CHOOSE($L$306,Timing!U$7,Timing!U$8))</f>
        <v>0.021</v>
      </c>
      <c r="AH309" s="40" t="n">
        <f aca="false">$E$306*(CHOOSE($L$306,Timing!W$7,Timing!W$8)-CHOOSE($L$306,Timing!V$7,Timing!V$8))</f>
        <v>0.021</v>
      </c>
      <c r="AI309" s="40" t="n">
        <f aca="false">$E$306*(CHOOSE($L$306,Timing!X$7,Timing!X$8)-CHOOSE($L$306,Timing!W$7,Timing!W$8))</f>
        <v>0.0209999999999999</v>
      </c>
      <c r="AJ309" s="40" t="n">
        <f aca="false">$E$306*(CHOOSE($L$306,Timing!Y$7,Timing!Y$8)-CHOOSE($L$306,Timing!X$7,Timing!X$8))</f>
        <v>0.021</v>
      </c>
      <c r="AK309" s="40" t="n">
        <f aca="false">$E$306*(CHOOSE($L$306,Timing!Z$7,Timing!Z$8)-CHOOSE($L$306,Timing!Y$7,Timing!Y$8))</f>
        <v>0.021</v>
      </c>
      <c r="AL309" s="40" t="n">
        <f aca="false">$E$306*(CHOOSE($L$306,Timing!AA$7,Timing!AA$8)-CHOOSE($L$306,Timing!Z$7,Timing!Z$8))</f>
        <v>0.021</v>
      </c>
    </row>
    <row r="310" customFormat="false" ht="15" hidden="false" customHeight="false" outlineLevel="0" collapsed="false">
      <c r="B310" s="9" t="s">
        <v>186</v>
      </c>
      <c r="N310" s="42" t="n">
        <f aca="false">0</f>
        <v>0</v>
      </c>
      <c r="O310" s="42" t="n">
        <f aca="false">$D$306*(1+IF($C$306&lt;=0,0,MAX($C$306*O$5/12,Inputs!$C$8)))+$I$306*(O$5&gt;Inputs!$C$12)*$D$306*(1+Inputs!$C$11*(O$5-Inputs!$C$12)/12)</f>
        <v>1680</v>
      </c>
      <c r="P310" s="42" t="n">
        <f aca="false">$D$306*(1+IF($C$306&lt;=0,0,MAX($C$306*P$5/12,Inputs!$C$8)))+$I$306*(P$5&gt;Inputs!$C$12)*$D$306*(1+Inputs!$C$11*(P$5-Inputs!$C$12)/12)</f>
        <v>1680</v>
      </c>
      <c r="Q310" s="42" t="n">
        <f aca="false">$D$306*(1+IF($C$306&lt;=0,0,MAX($C$306*Q$5/12,Inputs!$C$8)))+$I$306*(Q$5&gt;Inputs!$C$12)*$D$306*(1+Inputs!$C$11*(Q$5-Inputs!$C$12)/12)</f>
        <v>1680</v>
      </c>
      <c r="R310" s="42" t="n">
        <f aca="false">$D$306*(1+IF($C$306&lt;=0,0,MAX($C$306*R$5/12,Inputs!$C$8)))+$I$306*(R$5&gt;Inputs!$C$12)*$D$306*(1+Inputs!$C$11*(R$5-Inputs!$C$12)/12)</f>
        <v>1680</v>
      </c>
      <c r="S310" s="42" t="n">
        <f aca="false">$D$306*(1+IF($C$306&lt;=0,0,MAX($C$306*S$5/12,Inputs!$C$8)))+$I$306*(S$5&gt;Inputs!$C$12)*$D$306*(1+Inputs!$C$11*(S$5-Inputs!$C$12)/12)</f>
        <v>1686.66666666667</v>
      </c>
      <c r="T310" s="42" t="n">
        <f aca="false">$D$306*(1+IF($C$306&lt;=0,0,MAX($C$306*T$5/12,Inputs!$C$8)))+$I$306*(T$5&gt;Inputs!$C$12)*$D$306*(1+Inputs!$C$11*(T$5-Inputs!$C$12)/12)</f>
        <v>1704</v>
      </c>
      <c r="U310" s="42" t="n">
        <f aca="false">$D$306*(1+IF($C$306&lt;=0,0,MAX($C$306*U$5/12,Inputs!$C$8)))+$I$306*(U$5&gt;Inputs!$C$12)*$D$306*(1+Inputs!$C$11*(U$5-Inputs!$C$12)/12)</f>
        <v>1721.33333333333</v>
      </c>
      <c r="V310" s="42" t="n">
        <f aca="false">$D$306*(1+IF($C$306&lt;=0,0,MAX($C$306*V$5/12,Inputs!$C$8)))+$I$306*(V$5&gt;Inputs!$C$12)*$D$306*(1+Inputs!$C$11*(V$5-Inputs!$C$12)/12)</f>
        <v>1738.66666666667</v>
      </c>
      <c r="W310" s="42" t="n">
        <f aca="false">$D$306*(1+IF($C$306&lt;=0,0,MAX($C$306*W$5/12,Inputs!$C$8)))+$I$306*(W$5&gt;Inputs!$C$12)*$D$306*(1+Inputs!$C$11*(W$5-Inputs!$C$12)/12)</f>
        <v>1756</v>
      </c>
      <c r="X310" s="42" t="n">
        <f aca="false">$D$306*(1+IF($C$306&lt;=0,0,MAX($C$306*X$5/12,Inputs!$C$8)))+$I$306*(X$5&gt;Inputs!$C$12)*$D$306*(1+Inputs!$C$11*(X$5-Inputs!$C$12)/12)</f>
        <v>1773.33333333333</v>
      </c>
      <c r="Y310" s="42" t="n">
        <f aca="false">$D$306*(1+IF($C$306&lt;=0,0,MAX($C$306*Y$5/12,Inputs!$C$8)))+$I$306*(Y$5&gt;Inputs!$C$12)*$D$306*(1+Inputs!$C$11*(Y$5-Inputs!$C$12)/12)</f>
        <v>1790.66666666667</v>
      </c>
      <c r="Z310" s="42" t="n">
        <f aca="false">$D$306*(1+IF($C$306&lt;=0,0,MAX($C$306*Z$5/12,Inputs!$C$8)))+$I$306*(Z$5&gt;Inputs!$C$12)*$D$306*(1+Inputs!$C$11*(Z$5-Inputs!$C$12)/12)</f>
        <v>1808</v>
      </c>
      <c r="AA310" s="42" t="n">
        <f aca="false">$D$306*(1+IF($C$306&lt;=0,0,MAX($C$306*AA$5/12,Inputs!$C$8)))+$I$306*(AA$5&gt;Inputs!$C$12)*$D$306*(1+Inputs!$C$11*(AA$5-Inputs!$C$12)/12)</f>
        <v>3449.33333333333</v>
      </c>
      <c r="AB310" s="42" t="n">
        <f aca="false">$D$306*(1+IF($C$306&lt;=0,0,MAX($C$306*AB$5/12,Inputs!$C$8)))+$I$306*(AB$5&gt;Inputs!$C$12)*$D$306*(1+Inputs!$C$11*(AB$5-Inputs!$C$12)/12)</f>
        <v>3490.66666666667</v>
      </c>
      <c r="AC310" s="42" t="n">
        <f aca="false">$D$306*(1+IF($C$306&lt;=0,0,MAX($C$306*AC$5/12,Inputs!$C$8)))+$I$306*(AC$5&gt;Inputs!$C$12)*$D$306*(1+Inputs!$C$11*(AC$5-Inputs!$C$12)/12)</f>
        <v>3532</v>
      </c>
      <c r="AD310" s="42" t="n">
        <f aca="false">$D$306*(1+IF($C$306&lt;=0,0,MAX($C$306*AD$5/12,Inputs!$C$8)))+$I$306*(AD$5&gt;Inputs!$C$12)*$D$306*(1+Inputs!$C$11*(AD$5-Inputs!$C$12)/12)</f>
        <v>3573.33333333333</v>
      </c>
      <c r="AE310" s="42" t="n">
        <f aca="false">$D$306*(1+IF($C$306&lt;=0,0,MAX($C$306*AE$5/12,Inputs!$C$8)))+$I$306*(AE$5&gt;Inputs!$C$12)*$D$306*(1+Inputs!$C$11*(AE$5-Inputs!$C$12)/12)</f>
        <v>3614.66666666667</v>
      </c>
      <c r="AF310" s="42" t="n">
        <f aca="false">$D$306*(1+IF($C$306&lt;=0,0,MAX($C$306*AF$5/12,Inputs!$C$8)))+$I$306*(AF$5&gt;Inputs!$C$12)*$D$306*(1+Inputs!$C$11*(AF$5-Inputs!$C$12)/12)</f>
        <v>3656</v>
      </c>
      <c r="AG310" s="42" t="n">
        <f aca="false">$D$306*(1+IF($C$306&lt;=0,0,MAX($C$306*AG$5/12,Inputs!$C$8)))+$I$306*(AG$5&gt;Inputs!$C$12)*$D$306*(1+Inputs!$C$11*(AG$5-Inputs!$C$12)/12)</f>
        <v>3697.33333333333</v>
      </c>
      <c r="AH310" s="42" t="n">
        <f aca="false">$D$306*(1+IF($C$306&lt;=0,0,MAX($C$306*AH$5/12,Inputs!$C$8)))+$I$306*(AH$5&gt;Inputs!$C$12)*$D$306*(1+Inputs!$C$11*(AH$5-Inputs!$C$12)/12)</f>
        <v>3738.66666666667</v>
      </c>
      <c r="AI310" s="42" t="n">
        <f aca="false">$D$306*(1+IF($C$306&lt;=0,0,MAX($C$306*AI$5/12,Inputs!$C$8)))+$I$306*(AI$5&gt;Inputs!$C$12)*$D$306*(1+Inputs!$C$11*(AI$5-Inputs!$C$12)/12)</f>
        <v>3780</v>
      </c>
      <c r="AJ310" s="42" t="n">
        <f aca="false">$D$306*(1+IF($C$306&lt;=0,0,MAX($C$306*AJ$5/12,Inputs!$C$8)))+$I$306*(AJ$5&gt;Inputs!$C$12)*$D$306*(1+Inputs!$C$11*(AJ$5-Inputs!$C$12)/12)</f>
        <v>3821.33333333333</v>
      </c>
      <c r="AK310" s="42" t="n">
        <f aca="false">$D$306*(1+IF($C$306&lt;=0,0,MAX($C$306*AK$5/12,Inputs!$C$8)))+$I$306*(AK$5&gt;Inputs!$C$12)*$D$306*(1+Inputs!$C$11*(AK$5-Inputs!$C$12)/12)</f>
        <v>3862.66666666667</v>
      </c>
      <c r="AL310" s="42" t="n">
        <f aca="false">$D$306*(1+IF($C$306&lt;=0,0,MAX($C$306*AL$5/12,Inputs!$C$8)))+$I$306*(AL$5&gt;Inputs!$C$12)*$D$306*(1+Inputs!$C$11*(AL$5-Inputs!$C$12)/12)</f>
        <v>3904</v>
      </c>
    </row>
    <row r="311" customFormat="false" ht="15" hidden="false" customHeight="false" outlineLevel="0" collapsed="false">
      <c r="B311" s="31" t="s">
        <v>187</v>
      </c>
      <c r="N311" s="42" t="n">
        <f aca="false">-($D$306+$J$306)*(N$5=0)+IF(AND(N$5-$K$306&gt;=1,N$5-$K$306&lt;=Inputs!$C$13),INDEX($N$309:$AL$309,1,N$5-$K$306+1)*INDEX($N$310:$AL$310,1,N$5-$K$306+1),0)-$I$306*((N$5=Inputs!$C$12)*$C$308*$D$306+(N$5=Inputs!$C$13)*$D$308*($D$306+Inputs!$C$14))+$I$306*((N$5=Inputs!$C$15+$K$306)*$E$308*$I$308+(N$5=Inputs!$C$16+$K$306)*$F$308*$J$308+(N$5=Inputs!$C$17)*$G$308*$H$306*$H$308)</f>
        <v>-1610</v>
      </c>
      <c r="O311" s="42" t="n">
        <f aca="false">-($D$306+$J$306)*(O$5=0)+IF(AND(O$5-$K$306&gt;=1,O$5-$K$306&lt;=Inputs!$C$13),INDEX($N$309:$AL$309,1,O$5-$K$306+1)*INDEX($N$310:$AL$310,1,O$5-$K$306+1),0)-$I$306*((O$5=Inputs!$C$12)*$C$308*$D$306+(O$5=Inputs!$C$13)*$D$308*($D$306+Inputs!$C$14))+$I$306*((O$5=Inputs!$C$15+$K$306)*$E$308*$I$308+(O$5=Inputs!$C$16+$K$306)*$F$308*$J$308+(O$5=Inputs!$C$17)*$G$308*$H$306*$H$308)</f>
        <v>0</v>
      </c>
      <c r="P311" s="42" t="n">
        <f aca="false">-($D$306+$J$306)*(P$5=0)+IF(AND(P$5-$K$306&gt;=1,P$5-$K$306&lt;=Inputs!$C$13),INDEX($N$309:$AL$309,1,P$5-$K$306+1)*INDEX($N$310:$AL$310,1,P$5-$K$306+1),0)-$I$306*((P$5=Inputs!$C$12)*$C$308*$D$306+(P$5=Inputs!$C$13)*$D$308*($D$306+Inputs!$C$14))+$I$306*((P$5=Inputs!$C$15+$K$306)*$E$308*$I$308+(P$5=Inputs!$C$16+$K$306)*$F$308*$J$308+(P$5=Inputs!$C$17)*$G$308*$H$306*$H$308)</f>
        <v>70.56</v>
      </c>
      <c r="Q311" s="42" t="n">
        <f aca="false">-($D$306+$J$306)*(Q$5=0)+IF(AND(Q$5-$K$306&gt;=1,Q$5-$K$306&lt;=Inputs!$C$13),INDEX($N$309:$AL$309,1,Q$5-$K$306+1)*INDEX($N$310:$AL$310,1,Q$5-$K$306+1),0)-$I$306*((Q$5=Inputs!$C$12)*$C$308*$D$306+(Q$5=Inputs!$C$13)*$D$308*($D$306+Inputs!$C$14))+$I$306*((Q$5=Inputs!$C$15+$K$306)*$E$308*$I$308+(Q$5=Inputs!$C$16+$K$306)*$F$308*$J$308+(Q$5=Inputs!$C$17)*$G$308*$H$306*$H$308)</f>
        <v>70.56</v>
      </c>
      <c r="R311" s="42" t="n">
        <f aca="false">-($D$306+$J$306)*(R$5=0)+IF(AND(R$5-$K$306&gt;=1,R$5-$K$306&lt;=Inputs!$C$13),INDEX($N$309:$AL$309,1,R$5-$K$306+1)*INDEX($N$310:$AL$310,1,R$5-$K$306+1),0)-$I$306*((R$5=Inputs!$C$12)*$C$308*$D$306+(R$5=Inputs!$C$13)*$D$308*($D$306+Inputs!$C$14))+$I$306*((R$5=Inputs!$C$15+$K$306)*$E$308*$I$308+(R$5=Inputs!$C$16+$K$306)*$F$308*$J$308+(R$5=Inputs!$C$17)*$G$308*$H$306*$H$308)</f>
        <v>70.56</v>
      </c>
      <c r="S311" s="42" t="n">
        <f aca="false">-($D$306+$J$306)*(S$5=0)+IF(AND(S$5-$K$306&gt;=1,S$5-$K$306&lt;=Inputs!$C$13),INDEX($N$309:$AL$309,1,S$5-$K$306+1)*INDEX($N$310:$AL$310,1,S$5-$K$306+1),0)-$I$306*((S$5=Inputs!$C$12)*$C$308*$D$306+(S$5=Inputs!$C$13)*$D$308*($D$306+Inputs!$C$14))+$I$306*((S$5=Inputs!$C$15+$K$306)*$E$308*$I$308+(S$5=Inputs!$C$16+$K$306)*$F$308*$J$308+(S$5=Inputs!$C$17)*$G$308*$H$306*$H$308)</f>
        <v>70.56</v>
      </c>
      <c r="T311" s="42" t="n">
        <f aca="false">-($D$306+$J$306)*(T$5=0)+IF(AND(T$5-$K$306&gt;=1,T$5-$K$306&lt;=Inputs!$C$13),INDEX($N$309:$AL$309,1,T$5-$K$306+1)*INDEX($N$310:$AL$310,1,T$5-$K$306+1),0)-$I$306*((T$5=Inputs!$C$12)*$C$308*$D$306+(T$5=Inputs!$C$13)*$D$308*($D$306+Inputs!$C$14))+$I$306*((T$5=Inputs!$C$15+$K$306)*$E$308*$I$308+(T$5=Inputs!$C$16+$K$306)*$F$308*$J$308+(T$5=Inputs!$C$17)*$G$308*$H$306*$H$308)</f>
        <v>70.84</v>
      </c>
      <c r="U311" s="42" t="n">
        <f aca="false">-($D$306+$J$306)*(U$5=0)+IF(AND(U$5-$K$306&gt;=1,U$5-$K$306&lt;=Inputs!$C$13),INDEX($N$309:$AL$309,1,U$5-$K$306+1)*INDEX($N$310:$AL$310,1,U$5-$K$306+1),0)-$I$306*((U$5=Inputs!$C$12)*$C$308*$D$306+(U$5=Inputs!$C$13)*$D$308*($D$306+Inputs!$C$14))+$I$306*((U$5=Inputs!$C$15+$K$306)*$E$308*$I$308+(U$5=Inputs!$C$16+$K$306)*$F$308*$J$308+(U$5=Inputs!$C$17)*$G$308*$H$306*$H$308)</f>
        <v>71.568</v>
      </c>
      <c r="V311" s="42" t="n">
        <f aca="false">-($D$306+$J$306)*(V$5=0)+IF(AND(V$5-$K$306&gt;=1,V$5-$K$306&lt;=Inputs!$C$13),INDEX($N$309:$AL$309,1,V$5-$K$306+1)*INDEX($N$310:$AL$310,1,V$5-$K$306+1),0)-$I$306*((V$5=Inputs!$C$12)*$C$308*$D$306+(V$5=Inputs!$C$13)*$D$308*($D$306+Inputs!$C$14))+$I$306*((V$5=Inputs!$C$15+$K$306)*$E$308*$I$308+(V$5=Inputs!$C$16+$K$306)*$F$308*$J$308+(V$5=Inputs!$C$17)*$G$308*$H$306*$H$308)</f>
        <v>56.2302222222223</v>
      </c>
      <c r="W311" s="42" t="n">
        <f aca="false">-($D$306+$J$306)*(W$5=0)+IF(AND(W$5-$K$306&gt;=1,W$5-$K$306&lt;=Inputs!$C$13),INDEX($N$309:$AL$309,1,W$5-$K$306+1)*INDEX($N$310:$AL$310,1,W$5-$K$306+1),0)-$I$306*((W$5=Inputs!$C$12)*$C$308*$D$306+(W$5=Inputs!$C$13)*$D$308*($D$306+Inputs!$C$14))+$I$306*((W$5=Inputs!$C$15+$K$306)*$E$308*$I$308+(W$5=Inputs!$C$16+$K$306)*$F$308*$J$308+(W$5=Inputs!$C$17)*$G$308*$H$306*$H$308)</f>
        <v>56.7964444444444</v>
      </c>
      <c r="X311" s="42" t="n">
        <f aca="false">-($D$306+$J$306)*(X$5=0)+IF(AND(X$5-$K$306&gt;=1,X$5-$K$306&lt;=Inputs!$C$13),INDEX($N$309:$AL$309,1,X$5-$K$306+1)*INDEX($N$310:$AL$310,1,X$5-$K$306+1),0)-$I$306*((X$5=Inputs!$C$12)*$C$308*$D$306+(X$5=Inputs!$C$13)*$D$308*($D$306+Inputs!$C$14))+$I$306*((X$5=Inputs!$C$15+$K$306)*$E$308*$I$308+(X$5=Inputs!$C$16+$K$306)*$F$308*$J$308+(X$5=Inputs!$C$17)*$G$308*$H$306*$H$308)</f>
        <v>57.3626666666667</v>
      </c>
      <c r="Y311" s="42" t="n">
        <f aca="false">-($D$306+$J$306)*(Y$5=0)+IF(AND(Y$5-$K$306&gt;=1,Y$5-$K$306&lt;=Inputs!$C$13),INDEX($N$309:$AL$309,1,Y$5-$K$306+1)*INDEX($N$310:$AL$310,1,Y$5-$K$306+1),0)-$I$306*((Y$5=Inputs!$C$12)*$C$308*$D$306+(Y$5=Inputs!$C$13)*$D$308*($D$306+Inputs!$C$14))+$I$306*((Y$5=Inputs!$C$15+$K$306)*$E$308*$I$308+(Y$5=Inputs!$C$16+$K$306)*$F$308*$J$308+(Y$5=Inputs!$C$17)*$G$308*$H$306*$H$308)</f>
        <v>49.6533333333334</v>
      </c>
      <c r="Z311" s="42" t="n">
        <f aca="false">-($D$306+$J$306)*(Z$5=0)+IF(AND(Z$5-$K$306&gt;=1,Z$5-$K$306&lt;=Inputs!$C$13),INDEX($N$309:$AL$309,1,Z$5-$K$306+1)*INDEX($N$310:$AL$310,1,Z$5-$K$306+1),0)-$I$306*((Z$5=Inputs!$C$12)*$C$308*$D$306+(Z$5=Inputs!$C$13)*$D$308*($D$306+Inputs!$C$14))+$I$306*((Z$5=Inputs!$C$15+$K$306)*$E$308*$I$308+(Z$5=Inputs!$C$16+$K$306)*$F$308*$J$308+(Z$5=Inputs!$C$17)*$G$308*$H$306*$H$308)</f>
        <v>-855.461333333333</v>
      </c>
      <c r="AA311" s="42" t="n">
        <f aca="false">-($D$306+$J$306)*(AA$5=0)+IF(AND(AA$5-$K$306&gt;=1,AA$5-$K$306&lt;=Inputs!$C$13),INDEX($N$309:$AL$309,1,AA$5-$K$306+1)*INDEX($N$310:$AL$310,1,AA$5-$K$306+1),0)-$I$306*((AA$5=Inputs!$C$12)*$C$308*$D$306+(AA$5=Inputs!$C$13)*$D$308*($D$306+Inputs!$C$14))+$I$306*((AA$5=Inputs!$C$15+$K$306)*$E$308*$I$308+(AA$5=Inputs!$C$16+$K$306)*$F$308*$J$308+(AA$5=Inputs!$C$17)*$G$308*$H$306*$H$308)</f>
        <v>50.624</v>
      </c>
      <c r="AB311" s="42" t="n">
        <f aca="false">-($D$306+$J$306)*(AB$5=0)+IF(AND(AB$5-$K$306&gt;=1,AB$5-$K$306&lt;=Inputs!$C$13),INDEX($N$309:$AL$309,1,AB$5-$K$306+1)*INDEX($N$310:$AL$310,1,AB$5-$K$306+1),0)-$I$306*((AB$5=Inputs!$C$12)*$C$308*$D$306+(AB$5=Inputs!$C$13)*$D$308*($D$306+Inputs!$C$14))+$I$306*((AB$5=Inputs!$C$15+$K$306)*$E$308*$I$308+(AB$5=Inputs!$C$16+$K$306)*$F$308*$J$308+(AB$5=Inputs!$C$17)*$G$308*$H$306*$H$308)</f>
        <v>80.4844444444444</v>
      </c>
      <c r="AC311" s="42" t="n">
        <f aca="false">-($D$306+$J$306)*(AC$5=0)+IF(AND(AC$5-$K$306&gt;=1,AC$5-$K$306&lt;=Inputs!$C$13),INDEX($N$309:$AL$309,1,AC$5-$K$306+1)*INDEX($N$310:$AL$310,1,AC$5-$K$306+1),0)-$I$306*((AC$5=Inputs!$C$12)*$C$308*$D$306+(AC$5=Inputs!$C$13)*$D$308*($D$306+Inputs!$C$14))+$I$306*((AC$5=Inputs!$C$15+$K$306)*$E$308*$I$308+(AC$5=Inputs!$C$16+$K$306)*$F$308*$J$308+(AC$5=Inputs!$C$17)*$G$308*$H$306*$H$308)</f>
        <v>81.4488888888889</v>
      </c>
      <c r="AD311" s="42" t="n">
        <f aca="false">-($D$306+$J$306)*(AD$5=0)+IF(AND(AD$5-$K$306&gt;=1,AD$5-$K$306&lt;=Inputs!$C$13),INDEX($N$309:$AL$309,1,AD$5-$K$306+1)*INDEX($N$310:$AL$310,1,AD$5-$K$306+1),0)-$I$306*((AD$5=Inputs!$C$12)*$C$308*$D$306+(AD$5=Inputs!$C$13)*$D$308*($D$306+Inputs!$C$14))+$I$306*((AD$5=Inputs!$C$15+$K$306)*$E$308*$I$308+(AD$5=Inputs!$C$16+$K$306)*$F$308*$J$308+(AD$5=Inputs!$C$17)*$G$308*$H$306*$H$308)</f>
        <v>82.4133333333333</v>
      </c>
      <c r="AE311" s="42" t="n">
        <f aca="false">-($D$306+$J$306)*(AE$5=0)+IF(AND(AE$5-$K$306&gt;=1,AE$5-$K$306&lt;=Inputs!$C$13),INDEX($N$309:$AL$309,1,AE$5-$K$306+1)*INDEX($N$310:$AL$310,1,AE$5-$K$306+1),0)-$I$306*((AE$5=Inputs!$C$12)*$C$308*$D$306+(AE$5=Inputs!$C$13)*$D$308*($D$306+Inputs!$C$14))+$I$306*((AE$5=Inputs!$C$15+$K$306)*$E$308*$I$308+(AE$5=Inputs!$C$16+$K$306)*$F$308*$J$308+(AE$5=Inputs!$C$17)*$G$308*$H$306*$H$308)</f>
        <v>83.3777777777778</v>
      </c>
      <c r="AF311" s="42" t="n">
        <f aca="false">-($D$306+$J$306)*(AF$5=0)+IF(AND(AF$5-$K$306&gt;=1,AF$5-$K$306&lt;=Inputs!$C$13),INDEX($N$309:$AL$309,1,AF$5-$K$306+1)*INDEX($N$310:$AL$310,1,AF$5-$K$306+1),0)-$I$306*((AF$5=Inputs!$C$12)*$C$308*$D$306+(AF$5=Inputs!$C$13)*$D$308*($D$306+Inputs!$C$14))+$I$306*((AF$5=Inputs!$C$15+$K$306)*$E$308*$I$308+(AF$5=Inputs!$C$16+$K$306)*$F$308*$J$308+(AF$5=Inputs!$C$17)*$G$308*$H$306*$H$308)</f>
        <v>84.3422222222222</v>
      </c>
      <c r="AG311" s="42" t="n">
        <f aca="false">-($D$306+$J$306)*(AG$5=0)+IF(AND(AG$5-$K$306&gt;=1,AG$5-$K$306&lt;=Inputs!$C$13),INDEX($N$309:$AL$309,1,AG$5-$K$306+1)*INDEX($N$310:$AL$310,1,AG$5-$K$306+1),0)-$I$306*((AG$5=Inputs!$C$12)*$C$308*$D$306+(AG$5=Inputs!$C$13)*$D$308*($D$306+Inputs!$C$14))+$I$306*((AG$5=Inputs!$C$15+$K$306)*$E$308*$I$308+(AG$5=Inputs!$C$16+$K$306)*$F$308*$J$308+(AG$5=Inputs!$C$17)*$G$308*$H$306*$H$308)</f>
        <v>85.3066666666667</v>
      </c>
      <c r="AH311" s="42" t="n">
        <f aca="false">-($D$306+$J$306)*(AH$5=0)+IF(AND(AH$5-$K$306&gt;=1,AH$5-$K$306&lt;=Inputs!$C$13),INDEX($N$309:$AL$309,1,AH$5-$K$306+1)*INDEX($N$310:$AL$310,1,AH$5-$K$306+1),0)-$I$306*((AH$5=Inputs!$C$12)*$C$308*$D$306+(AH$5=Inputs!$C$13)*$D$308*($D$306+Inputs!$C$14))+$I$306*((AH$5=Inputs!$C$15+$K$306)*$E$308*$I$308+(AH$5=Inputs!$C$16+$K$306)*$F$308*$J$308+(AH$5=Inputs!$C$17)*$G$308*$H$306*$H$308)</f>
        <v>77.6440000000001</v>
      </c>
      <c r="AI311" s="42" t="n">
        <f aca="false">-($D$306+$J$306)*(AI$5=0)+IF(AND(AI$5-$K$306&gt;=1,AI$5-$K$306&lt;=Inputs!$C$13),INDEX($N$309:$AL$309,1,AI$5-$K$306+1)*INDEX($N$310:$AL$310,1,AI$5-$K$306+1),0)-$I$306*((AI$5=Inputs!$C$12)*$C$308*$D$306+(AI$5=Inputs!$C$13)*$D$308*($D$306+Inputs!$C$14))+$I$306*((AI$5=Inputs!$C$15+$K$306)*$E$308*$I$308+(AI$5=Inputs!$C$16+$K$306)*$F$308*$J$308+(AI$5=Inputs!$C$17)*$G$308*$H$306*$H$308)</f>
        <v>78.5120000000001</v>
      </c>
      <c r="AJ311" s="42" t="n">
        <f aca="false">-($D$306+$J$306)*(AJ$5=0)+IF(AND(AJ$5-$K$306&gt;=1,AJ$5-$K$306&lt;=Inputs!$C$13),INDEX($N$309:$AL$309,1,AJ$5-$K$306+1)*INDEX($N$310:$AL$310,1,AJ$5-$K$306+1),0)-$I$306*((AJ$5=Inputs!$C$12)*$C$308*$D$306+(AJ$5=Inputs!$C$13)*$D$308*($D$306+Inputs!$C$14))+$I$306*((AJ$5=Inputs!$C$15+$K$306)*$E$308*$I$308+(AJ$5=Inputs!$C$16+$K$306)*$F$308*$J$308+(AJ$5=Inputs!$C$17)*$G$308*$H$306*$H$308)</f>
        <v>79.3799999999998</v>
      </c>
      <c r="AK311" s="42" t="n">
        <f aca="false">-($D$306+$J$306)*(AK$5=0)+IF(AND(AK$5-$K$306&gt;=1,AK$5-$K$306&lt;=Inputs!$C$13),INDEX($N$309:$AL$309,1,AK$5-$K$306+1)*INDEX($N$310:$AL$310,1,AK$5-$K$306+1),0)-$I$306*((AK$5=Inputs!$C$12)*$C$308*$D$306+(AK$5=Inputs!$C$13)*$D$308*($D$306+Inputs!$C$14))+$I$306*((AK$5=Inputs!$C$15+$K$306)*$E$308*$I$308+(AK$5=Inputs!$C$16+$K$306)*$F$308*$J$308+(AK$5=Inputs!$C$17)*$G$308*$H$306*$H$308)</f>
        <v>80.2480000000001</v>
      </c>
      <c r="AL311" s="42" t="n">
        <f aca="false">-($D$306+$J$306)*(AL$5=0)+IF(AND(AL$5-$K$306&gt;=1,AL$5-$K$306&lt;=Inputs!$C$13),INDEX($N$309:$AL$309,1,AL$5-$K$306+1)*INDEX($N$310:$AL$310,1,AL$5-$K$306+1),0)-$I$306*((AL$5=Inputs!$C$12)*$C$308*$D$306+(AL$5=Inputs!$C$13)*$D$308*($D$306+Inputs!$C$14))+$I$306*((AL$5=Inputs!$C$15+$K$306)*$E$308*$I$308+(AL$5=Inputs!$C$16+$K$306)*$F$308*$J$308+(AL$5=Inputs!$C$17)*$G$308*$H$306*$H$308)</f>
        <v>-938.884</v>
      </c>
      <c r="AM311" s="42" t="n">
        <f aca="false">-($D$306+$J$306)*(AM$5=0)+IF(AND(AM$5-$K$306&gt;=1,AM$5-$K$306&lt;=Inputs!$C$13),INDEX($N$309:$AL$309,1,AM$5-$K$306+1)*INDEX($N$310:$AL$310,1,AM$5-$K$306+1),0)-$I$306*((AM$5=Inputs!$C$12)*$C$308*$D$306+(AM$5=Inputs!$C$13)*$D$308*($D$306+Inputs!$C$14))+$I$306*((AM$5=Inputs!$C$15+$K$306)*$E$308*$I$308+(AM$5=Inputs!$C$16+$K$306)*$F$308*$J$308+(AM$5=Inputs!$C$17)*$G$308*$H$306*$H$308)</f>
        <v>81.9840000000001</v>
      </c>
      <c r="AN311" s="42" t="n">
        <f aca="false">-($D$306+$J$306)*(AN$5=0)+IF(AND(AN$5-$K$306&gt;=1,AN$5-$K$306&lt;=Inputs!$C$13),INDEX($N$309:$AL$309,1,AN$5-$K$306+1)*INDEX($N$310:$AL$310,1,AN$5-$K$306+1),0)-$I$306*((AN$5=Inputs!$C$12)*$C$308*$D$306+(AN$5=Inputs!$C$13)*$D$308*($D$306+Inputs!$C$14))+$I$306*((AN$5=Inputs!$C$15+$K$306)*$E$308*$I$308+(AN$5=Inputs!$C$16+$K$306)*$F$308*$J$308+(AN$5=Inputs!$C$17)*$G$308*$H$306*$H$308)</f>
        <v>0</v>
      </c>
      <c r="AO311" s="42" t="n">
        <f aca="false">-($D$306+$J$306)*(AO$5=0)+IF(AND(AO$5-$K$306&gt;=1,AO$5-$K$306&lt;=Inputs!$C$13),INDEX($N$309:$AL$309,1,AO$5-$K$306+1)*INDEX($N$310:$AL$310,1,AO$5-$K$306+1),0)-$I$306*((AO$5=Inputs!$C$12)*$C$308*$D$306+(AO$5=Inputs!$C$13)*$D$308*($D$306+Inputs!$C$14))+$I$306*((AO$5=Inputs!$C$15+$K$306)*$E$308*$I$308+(AO$5=Inputs!$C$16+$K$306)*$F$308*$J$308+(AO$5=Inputs!$C$17)*$G$308*$H$306*$H$308)</f>
        <v>0</v>
      </c>
      <c r="AP311" s="42" t="n">
        <f aca="false">-($D$306+$J$306)*(AP$5=0)+IF(AND(AP$5-$K$306&gt;=1,AP$5-$K$306&lt;=Inputs!$C$13),INDEX($N$309:$AL$309,1,AP$5-$K$306+1)*INDEX($N$310:$AL$310,1,AP$5-$K$306+1),0)-$I$306*((AP$5=Inputs!$C$12)*$C$308*$D$306+(AP$5=Inputs!$C$13)*$D$308*($D$306+Inputs!$C$14))+$I$306*((AP$5=Inputs!$C$15+$K$306)*$E$308*$I$308+(AP$5=Inputs!$C$16+$K$306)*$F$308*$J$308+(AP$5=Inputs!$C$17)*$G$308*$H$306*$H$308)</f>
        <v>900</v>
      </c>
      <c r="AQ311" s="42" t="n">
        <f aca="false">-($D$306+$J$306)*(AQ$5=0)+IF(AND(AQ$5-$K$306&gt;=1,AQ$5-$K$306&lt;=Inputs!$C$13),INDEX($N$309:$AL$309,1,AQ$5-$K$306+1)*INDEX($N$310:$AL$310,1,AQ$5-$K$306+1),0)-$I$306*((AQ$5=Inputs!$C$12)*$C$308*$D$306+(AQ$5=Inputs!$C$13)*$D$308*($D$306+Inputs!$C$14))+$I$306*((AQ$5=Inputs!$C$15+$K$306)*$E$308*$I$308+(AQ$5=Inputs!$C$16+$K$306)*$F$308*$J$308+(AQ$5=Inputs!$C$17)*$G$308*$H$306*$H$308)</f>
        <v>0</v>
      </c>
      <c r="AR311" s="42" t="n">
        <f aca="false">-($D$306+$J$306)*(AR$5=0)+IF(AND(AR$5-$K$306&gt;=1,AR$5-$K$306&lt;=Inputs!$C$13),INDEX($N$309:$AL$309,1,AR$5-$K$306+1)*INDEX($N$310:$AL$310,1,AR$5-$K$306+1),0)-$I$306*((AR$5=Inputs!$C$12)*$C$308*$D$306+(AR$5=Inputs!$C$13)*$D$308*($D$306+Inputs!$C$14))+$I$306*((AR$5=Inputs!$C$15+$K$306)*$E$308*$I$308+(AR$5=Inputs!$C$16+$K$306)*$F$308*$J$308+(AR$5=Inputs!$C$17)*$G$308*$H$306*$H$308)</f>
        <v>0</v>
      </c>
      <c r="AS311" s="42" t="n">
        <f aca="false">-($D$306+$J$306)*(AS$5=0)+IF(AND(AS$5-$K$306&gt;=1,AS$5-$K$306&lt;=Inputs!$C$13),INDEX($N$309:$AL$309,1,AS$5-$K$306+1)*INDEX($N$310:$AL$310,1,AS$5-$K$306+1),0)-$I$306*((AS$5=Inputs!$C$12)*$C$308*$D$306+(AS$5=Inputs!$C$13)*$D$308*($D$306+Inputs!$C$14))+$I$306*((AS$5=Inputs!$C$15+$K$306)*$E$308*$I$308+(AS$5=Inputs!$C$16+$K$306)*$F$308*$J$308+(AS$5=Inputs!$C$17)*$G$308*$H$306*$H$308)</f>
        <v>346.32</v>
      </c>
      <c r="AT311" s="42" t="n">
        <f aca="false">-($D$306+$J$306)*(AT$5=0)+IF(AND(AT$5-$K$306&gt;=1,AT$5-$K$306&lt;=Inputs!$C$13),INDEX($N$309:$AL$309,1,AT$5-$K$306+1)*INDEX($N$310:$AL$310,1,AT$5-$K$306+1),0)-$I$306*((AT$5=Inputs!$C$12)*$C$308*$D$306+(AT$5=Inputs!$C$13)*$D$308*($D$306+Inputs!$C$14))+$I$306*((AT$5=Inputs!$C$15+$K$306)*$E$308*$I$308+(AT$5=Inputs!$C$16+$K$306)*$F$308*$J$308+(AT$5=Inputs!$C$17)*$G$308*$H$306*$H$308)</f>
        <v>0</v>
      </c>
      <c r="AU311" s="42" t="n">
        <f aca="false">-($D$306+$J$306)*(AU$5=0)+IF(AND(AU$5-$K$306&gt;=1,AU$5-$K$306&lt;=Inputs!$C$13),INDEX($N$309:$AL$309,1,AU$5-$K$306+1)*INDEX($N$310:$AL$310,1,AU$5-$K$306+1),0)-$I$306*((AU$5=Inputs!$C$12)*$C$308*$D$306+(AU$5=Inputs!$C$13)*$D$308*($D$306+Inputs!$C$14))+$I$306*((AU$5=Inputs!$C$15+$K$306)*$E$308*$I$308+(AU$5=Inputs!$C$16+$K$306)*$F$308*$J$308+(AU$5=Inputs!$C$17)*$G$308*$H$306*$H$308)</f>
        <v>0</v>
      </c>
      <c r="AV311" s="42" t="n">
        <f aca="false">-($D$306+$J$306)*(AV$5=0)+IF(AND(AV$5-$K$306&gt;=1,AV$5-$K$306&lt;=Inputs!$C$13),INDEX($N$309:$AL$309,1,AV$5-$K$306+1)*INDEX($N$310:$AL$310,1,AV$5-$K$306+1),0)-$I$306*((AV$5=Inputs!$C$12)*$C$308*$D$306+(AV$5=Inputs!$C$13)*$D$308*($D$306+Inputs!$C$14))+$I$306*((AV$5=Inputs!$C$15+$K$306)*$E$308*$I$308+(AV$5=Inputs!$C$16+$K$306)*$F$308*$J$308+(AV$5=Inputs!$C$17)*$G$308*$H$306*$H$308)</f>
        <v>0</v>
      </c>
      <c r="AW311" s="42" t="n">
        <f aca="false">-($D$306+$J$306)*(AW$5=0)+IF(AND(AW$5-$K$306&gt;=1,AW$5-$K$306&lt;=Inputs!$C$13),INDEX($N$309:$AL$309,1,AW$5-$K$306+1)*INDEX($N$310:$AL$310,1,AW$5-$K$306+1),0)-$I$306*((AW$5=Inputs!$C$12)*$C$308*$D$306+(AW$5=Inputs!$C$13)*$D$308*($D$306+Inputs!$C$14))+$I$306*((AW$5=Inputs!$C$15+$K$306)*$E$308*$I$308+(AW$5=Inputs!$C$16+$K$306)*$F$308*$J$308+(AW$5=Inputs!$C$17)*$G$308*$H$306*$H$308)</f>
        <v>0</v>
      </c>
      <c r="AX311" s="42" t="n">
        <f aca="false">-($D$306+$J$306)*(AX$5=0)+IF(AND(AX$5-$K$306&gt;=1,AX$5-$K$306&lt;=Inputs!$C$13),INDEX($N$309:$AL$309,1,AX$5-$K$306+1)*INDEX($N$310:$AL$310,1,AX$5-$K$306+1),0)-$I$306*((AX$5=Inputs!$C$12)*$C$308*$D$306+(AX$5=Inputs!$C$13)*$D$308*($D$306+Inputs!$C$14))+$I$306*((AX$5=Inputs!$C$15+$K$306)*$E$308*$I$308+(AX$5=Inputs!$C$16+$K$306)*$F$308*$J$308+(AX$5=Inputs!$C$17)*$G$308*$H$306*$H$308)</f>
        <v>445.5</v>
      </c>
      <c r="AY311" s="42" t="n">
        <f aca="false">-($D$306+$J$306)*(AY$5=0)+IF(AND(AY$5-$K$306&gt;=1,AY$5-$K$306&lt;=Inputs!$C$13),INDEX($N$309:$AL$309,1,AY$5-$K$306+1)*INDEX($N$310:$AL$310,1,AY$5-$K$306+1),0)-$I$306*((AY$5=Inputs!$C$12)*$C$308*$D$306+(AY$5=Inputs!$C$13)*$D$308*($D$306+Inputs!$C$14))+$I$306*((AY$5=Inputs!$C$15+$K$306)*$E$308*$I$308+(AY$5=Inputs!$C$16+$K$306)*$F$308*$J$308+(AY$5=Inputs!$C$17)*$G$308*$H$306*$H$308)</f>
        <v>0</v>
      </c>
    </row>
    <row r="313" customFormat="false" ht="15" hidden="false" customHeight="false" outlineLevel="0" collapsed="false">
      <c r="B313" s="7" t="s">
        <v>275</v>
      </c>
      <c r="C313" s="8"/>
      <c r="D313" s="8"/>
      <c r="E313" s="8"/>
      <c r="F313" s="8"/>
      <c r="G313" s="8"/>
      <c r="H313" s="8"/>
      <c r="I313" s="8"/>
      <c r="J313" s="8"/>
      <c r="K313" s="8"/>
      <c r="L313" s="8"/>
    </row>
    <row r="314" customFormat="false" ht="30" hidden="false" customHeight="true" outlineLevel="0" collapsed="false">
      <c r="B314" s="37"/>
      <c r="C314" s="38" t="s">
        <v>169</v>
      </c>
      <c r="D314" s="38" t="s">
        <v>170</v>
      </c>
      <c r="E314" s="38" t="s">
        <v>171</v>
      </c>
      <c r="F314" s="38" t="s">
        <v>43</v>
      </c>
      <c r="G314" s="38" t="s">
        <v>44</v>
      </c>
      <c r="H314" s="38" t="s">
        <v>45</v>
      </c>
      <c r="I314" s="38" t="s">
        <v>172</v>
      </c>
      <c r="J314" s="38" t="s">
        <v>90</v>
      </c>
      <c r="K314" s="38" t="s">
        <v>89</v>
      </c>
      <c r="L314" s="38" t="s">
        <v>173</v>
      </c>
    </row>
    <row r="315" customFormat="false" ht="15" hidden="false" customHeight="false" outlineLevel="0" collapsed="false">
      <c r="B315" s="39" t="s">
        <v>174</v>
      </c>
      <c r="C315" s="26" t="n">
        <f aca="false">Inputs!$F$43*Inputs!$E$61</f>
        <v>0.13</v>
      </c>
      <c r="D315" s="30" t="n">
        <f aca="false">Inputs!$E$43</f>
        <v>1600</v>
      </c>
      <c r="E315" s="26" t="n">
        <f aca="false">IF(Inputs!$G$43=1,Inputs!$F$27,MIN(1,MAX(0,INDEX(Inputs!$F$23:$F$27,MATCH(Inputs!$C$43,Inputs!$B$23:$B$27,0))+INDEX(Inputs!$C$48:$C$51,MATCH(Inputs!$D$61,Inputs!$B$48:$B$51,0)))))</f>
        <v>0.35</v>
      </c>
      <c r="F315" s="25" t="n">
        <f aca="false">IF(Inputs!$G$43=1,Inputs!$G$27,INDEX(Inputs!$G$23:$G$27,MATCH(Inputs!$C$43,Inputs!$B$23:$B$27,0)))</f>
        <v>0.1</v>
      </c>
      <c r="G315" s="25" t="n">
        <f aca="false">IF(Inputs!$G$43=1,Inputs!$H$27,INDEX(Inputs!$H$23:$H$27,MATCH(Inputs!$C$43,Inputs!$B$23:$B$27,0)))*INDEX(Inputs!$D$48:$D$51,MATCH(Inputs!$D$61,Inputs!$B$48:$B$51,0))</f>
        <v>0.025</v>
      </c>
      <c r="H315" s="25" t="n">
        <f aca="false">MAX(0,IF(Inputs!$G$43=1,Inputs!$I$27,INDEX(Inputs!$I$23:$I$27,MATCH(Inputs!$C$43,Inputs!$B$23:$B$27,0)))+INDEX(Inputs!$E$48:$E$51,MATCH(Inputs!$D$61,Inputs!$B$48:$B$51,0)))</f>
        <v>0</v>
      </c>
      <c r="I315" s="22" t="n">
        <f aca="false">IF(Inputs!$G$43=1,0,INDEX(Inputs!$J$23:$J$27,MATCH(Inputs!$C$43,Inputs!$B$23:$B$27,0)))</f>
        <v>0</v>
      </c>
      <c r="J315" s="23" t="n">
        <f aca="false">Inputs!$G$61</f>
        <v>10</v>
      </c>
      <c r="K315" s="22" t="n">
        <f aca="false">Inputs!$F$61</f>
        <v>1</v>
      </c>
      <c r="L315" s="22" t="n">
        <f aca="false">Inputs!$C$61</f>
        <v>2</v>
      </c>
    </row>
    <row r="316" customFormat="false" ht="30" hidden="false" customHeight="true" outlineLevel="0" collapsed="false">
      <c r="B316" s="37"/>
      <c r="C316" s="38" t="s">
        <v>175</v>
      </c>
      <c r="D316" s="38" t="s">
        <v>176</v>
      </c>
      <c r="E316" s="38" t="s">
        <v>177</v>
      </c>
      <c r="F316" s="38" t="s">
        <v>178</v>
      </c>
      <c r="G316" s="38" t="s">
        <v>112</v>
      </c>
      <c r="H316" s="38" t="s">
        <v>179</v>
      </c>
      <c r="I316" s="38" t="s">
        <v>180</v>
      </c>
      <c r="J316" s="38" t="s">
        <v>181</v>
      </c>
      <c r="K316" s="38" t="s">
        <v>182</v>
      </c>
      <c r="L316" s="38" t="s">
        <v>183</v>
      </c>
    </row>
    <row r="317" customFormat="false" ht="15" hidden="false" customHeight="false" outlineLevel="0" collapsed="false">
      <c r="B317" s="39" t="s">
        <v>184</v>
      </c>
      <c r="C317" s="40" t="n">
        <f aca="false">1-$E$315*CHOOSE($L$315,INDEX(Timing!$C$7:$AA$7,1,Inputs!$C$12+1),INDEX(Timing!$C$8:$AA$8,1,Inputs!$C$12+1))</f>
        <v>0.783</v>
      </c>
      <c r="D317" s="40" t="n">
        <f aca="false">1-$E$315*CHOOSE($L$315,INDEX(Timing!$C$7:$AA$7,1,Inputs!$C$13+1),INDEX(Timing!$C$8:$AA$8,1,Inputs!$C$13+1))</f>
        <v>0.65</v>
      </c>
      <c r="E317" s="40" t="n">
        <f aca="false">$I$315*$D$317*$F$315</f>
        <v>0</v>
      </c>
      <c r="F317" s="40" t="n">
        <f aca="false">$I$315*($D$317-$E$317)*$G$315</f>
        <v>0</v>
      </c>
      <c r="G317" s="40" t="n">
        <f aca="false">$I$315*($D$317-$E$317-$F$317)</f>
        <v>0</v>
      </c>
      <c r="H317" s="23" t="n">
        <f aca="false">$I$315*(3*$D$315+Inputs!$C$14)</f>
        <v>0</v>
      </c>
      <c r="I317" s="23" t="n">
        <f aca="false">$I$315*($D$315*(1+IF($C$315&lt;=0,0,MAX($C$315*Inputs!$C$15/12,Inputs!$C$8)))+$D$315*(1+Inputs!$C$11*(Inputs!$C$15-Inputs!$C$12)/12)+$D$315*(1+Inputs!$C$11*(Inputs!$C$15-Inputs!$C$13)/12)+Inputs!$C$14)</f>
        <v>0</v>
      </c>
      <c r="J317" s="23" t="n">
        <f aca="false">$I$315*($D$315*(1+IF($C$315&lt;=0,0,MAX($C$315*Inputs!$C$16/12,Inputs!$C$8)))+$D$315*(1+Inputs!$C$11*(Inputs!$C$16-Inputs!$C$12)/12)+$D$315*(1+Inputs!$C$11*(Inputs!$C$16-Inputs!$C$13)/12)+Inputs!$C$14)</f>
        <v>0</v>
      </c>
      <c r="K317" s="40" t="n">
        <f aca="false">IRR($N$320:$AY$320,-0.05)</f>
        <v>-0.0660312539433873</v>
      </c>
      <c r="L317" s="41" t="n">
        <f aca="false">(1+$K$317)^12-1</f>
        <v>-0.55945718649368</v>
      </c>
    </row>
    <row r="318" customFormat="false" ht="15" hidden="false" customHeight="false" outlineLevel="0" collapsed="false">
      <c r="B318" s="9" t="s">
        <v>185</v>
      </c>
      <c r="N318" s="40" t="n">
        <f aca="false">0</f>
        <v>0</v>
      </c>
      <c r="O318" s="40" t="n">
        <f aca="false">$E$315*(CHOOSE($L$315,Timing!D$7,Timing!D$8)-CHOOSE($L$315,Timing!C$7,Timing!C$8))</f>
        <v>0.021</v>
      </c>
      <c r="P318" s="40" t="n">
        <f aca="false">$E$315*(CHOOSE($L$315,Timing!E$7,Timing!E$8)-CHOOSE($L$315,Timing!D$7,Timing!D$8))</f>
        <v>0.021</v>
      </c>
      <c r="Q318" s="40" t="n">
        <f aca="false">$E$315*(CHOOSE($L$315,Timing!F$7,Timing!F$8)-CHOOSE($L$315,Timing!E$7,Timing!E$8))</f>
        <v>0.021</v>
      </c>
      <c r="R318" s="40" t="n">
        <f aca="false">$E$315*(CHOOSE($L$315,Timing!G$7,Timing!G$8)-CHOOSE($L$315,Timing!F$7,Timing!F$8))</f>
        <v>0.021</v>
      </c>
      <c r="S318" s="40" t="n">
        <f aca="false">$E$315*(CHOOSE($L$315,Timing!H$7,Timing!H$8)-CHOOSE($L$315,Timing!G$7,Timing!G$8))</f>
        <v>0.021</v>
      </c>
      <c r="T318" s="40" t="n">
        <f aca="false">$E$315*(CHOOSE($L$315,Timing!I$7,Timing!I$8)-CHOOSE($L$315,Timing!H$7,Timing!H$8))</f>
        <v>0.021</v>
      </c>
      <c r="U318" s="40" t="n">
        <f aca="false">$E$315*(CHOOSE($L$315,Timing!J$7,Timing!J$8)-CHOOSE($L$315,Timing!I$7,Timing!I$8))</f>
        <v>0.0163333333333333</v>
      </c>
      <c r="V318" s="40" t="n">
        <f aca="false">$E$315*(CHOOSE($L$315,Timing!K$7,Timing!K$8)-CHOOSE($L$315,Timing!J$7,Timing!J$8))</f>
        <v>0.0163333333333333</v>
      </c>
      <c r="W318" s="40" t="n">
        <f aca="false">$E$315*(CHOOSE($L$315,Timing!L$7,Timing!L$8)-CHOOSE($L$315,Timing!K$7,Timing!K$8))</f>
        <v>0.0163333333333333</v>
      </c>
      <c r="X318" s="40" t="n">
        <f aca="false">$E$315*(CHOOSE($L$315,Timing!M$7,Timing!M$8)-CHOOSE($L$315,Timing!L$7,Timing!L$8))</f>
        <v>0.014</v>
      </c>
      <c r="Y318" s="40" t="n">
        <f aca="false">$E$315*(CHOOSE($L$315,Timing!N$7,Timing!N$8)-CHOOSE($L$315,Timing!M$7,Timing!M$8))</f>
        <v>0.014</v>
      </c>
      <c r="Z318" s="40" t="n">
        <f aca="false">$E$315*(CHOOSE($L$315,Timing!O$7,Timing!O$8)-CHOOSE($L$315,Timing!N$7,Timing!N$8))</f>
        <v>0.014</v>
      </c>
      <c r="AA318" s="40" t="n">
        <f aca="false">$E$315*(CHOOSE($L$315,Timing!P$7,Timing!P$8)-CHOOSE($L$315,Timing!O$7,Timing!O$8))</f>
        <v>0.0116666666666667</v>
      </c>
      <c r="AB318" s="40" t="n">
        <f aca="false">$E$315*(CHOOSE($L$315,Timing!Q$7,Timing!Q$8)-CHOOSE($L$315,Timing!P$7,Timing!P$8))</f>
        <v>0.0116666666666667</v>
      </c>
      <c r="AC318" s="40" t="n">
        <f aca="false">$E$315*(CHOOSE($L$315,Timing!R$7,Timing!R$8)-CHOOSE($L$315,Timing!Q$7,Timing!Q$8))</f>
        <v>0.0116666666666667</v>
      </c>
      <c r="AD318" s="40" t="n">
        <f aca="false">$E$315*(CHOOSE($L$315,Timing!S$7,Timing!S$8)-CHOOSE($L$315,Timing!R$7,Timing!R$8))</f>
        <v>0.0116666666666667</v>
      </c>
      <c r="AE318" s="40" t="n">
        <f aca="false">$E$315*(CHOOSE($L$315,Timing!T$7,Timing!T$8)-CHOOSE($L$315,Timing!S$7,Timing!S$8))</f>
        <v>0.0116666666666667</v>
      </c>
      <c r="AF318" s="40" t="n">
        <f aca="false">$E$315*(CHOOSE($L$315,Timing!U$7,Timing!U$8)-CHOOSE($L$315,Timing!T$7,Timing!T$8))</f>
        <v>0.0116666666666667</v>
      </c>
      <c r="AG318" s="40" t="n">
        <f aca="false">$E$315*(CHOOSE($L$315,Timing!V$7,Timing!V$8)-CHOOSE($L$315,Timing!U$7,Timing!U$8))</f>
        <v>0.0105</v>
      </c>
      <c r="AH318" s="40" t="n">
        <f aca="false">$E$315*(CHOOSE($L$315,Timing!W$7,Timing!W$8)-CHOOSE($L$315,Timing!V$7,Timing!V$8))</f>
        <v>0.0105</v>
      </c>
      <c r="AI318" s="40" t="n">
        <f aca="false">$E$315*(CHOOSE($L$315,Timing!X$7,Timing!X$8)-CHOOSE($L$315,Timing!W$7,Timing!W$8))</f>
        <v>0.0105</v>
      </c>
      <c r="AJ318" s="40" t="n">
        <f aca="false">$E$315*(CHOOSE($L$315,Timing!Y$7,Timing!Y$8)-CHOOSE($L$315,Timing!X$7,Timing!X$8))</f>
        <v>0.0105</v>
      </c>
      <c r="AK318" s="40" t="n">
        <f aca="false">$E$315*(CHOOSE($L$315,Timing!Z$7,Timing!Z$8)-CHOOSE($L$315,Timing!Y$7,Timing!Y$8))</f>
        <v>0.0105</v>
      </c>
      <c r="AL318" s="40" t="n">
        <f aca="false">$E$315*(CHOOSE($L$315,Timing!AA$7,Timing!AA$8)-CHOOSE($L$315,Timing!Z$7,Timing!Z$8))</f>
        <v>0.0105</v>
      </c>
    </row>
    <row r="319" customFormat="false" ht="15" hidden="false" customHeight="false" outlineLevel="0" collapsed="false">
      <c r="B319" s="9" t="s">
        <v>186</v>
      </c>
      <c r="N319" s="42" t="n">
        <f aca="false">0</f>
        <v>0</v>
      </c>
      <c r="O319" s="42" t="n">
        <f aca="false">$D$315*(1+IF($C$315&lt;=0,0,MAX($C$315*O$5/12,Inputs!$C$8)))+$I$315*(O$5&gt;Inputs!$C$12)*$D$315*(1+Inputs!$C$11*(O$5-Inputs!$C$12)/12)</f>
        <v>1680</v>
      </c>
      <c r="P319" s="42" t="n">
        <f aca="false">$D$315*(1+IF($C$315&lt;=0,0,MAX($C$315*P$5/12,Inputs!$C$8)))+$I$315*(P$5&gt;Inputs!$C$12)*$D$315*(1+Inputs!$C$11*(P$5-Inputs!$C$12)/12)</f>
        <v>1680</v>
      </c>
      <c r="Q319" s="42" t="n">
        <f aca="false">$D$315*(1+IF($C$315&lt;=0,0,MAX($C$315*Q$5/12,Inputs!$C$8)))+$I$315*(Q$5&gt;Inputs!$C$12)*$D$315*(1+Inputs!$C$11*(Q$5-Inputs!$C$12)/12)</f>
        <v>1680</v>
      </c>
      <c r="R319" s="42" t="n">
        <f aca="false">$D$315*(1+IF($C$315&lt;=0,0,MAX($C$315*R$5/12,Inputs!$C$8)))+$I$315*(R$5&gt;Inputs!$C$12)*$D$315*(1+Inputs!$C$11*(R$5-Inputs!$C$12)/12)</f>
        <v>1680</v>
      </c>
      <c r="S319" s="42" t="n">
        <f aca="false">$D$315*(1+IF($C$315&lt;=0,0,MAX($C$315*S$5/12,Inputs!$C$8)))+$I$315*(S$5&gt;Inputs!$C$12)*$D$315*(1+Inputs!$C$11*(S$5-Inputs!$C$12)/12)</f>
        <v>1686.66666666667</v>
      </c>
      <c r="T319" s="42" t="n">
        <f aca="false">$D$315*(1+IF($C$315&lt;=0,0,MAX($C$315*T$5/12,Inputs!$C$8)))+$I$315*(T$5&gt;Inputs!$C$12)*$D$315*(1+Inputs!$C$11*(T$5-Inputs!$C$12)/12)</f>
        <v>1704</v>
      </c>
      <c r="U319" s="42" t="n">
        <f aca="false">$D$315*(1+IF($C$315&lt;=0,0,MAX($C$315*U$5/12,Inputs!$C$8)))+$I$315*(U$5&gt;Inputs!$C$12)*$D$315*(1+Inputs!$C$11*(U$5-Inputs!$C$12)/12)</f>
        <v>1721.33333333333</v>
      </c>
      <c r="V319" s="42" t="n">
        <f aca="false">$D$315*(1+IF($C$315&lt;=0,0,MAX($C$315*V$5/12,Inputs!$C$8)))+$I$315*(V$5&gt;Inputs!$C$12)*$D$315*(1+Inputs!$C$11*(V$5-Inputs!$C$12)/12)</f>
        <v>1738.66666666667</v>
      </c>
      <c r="W319" s="42" t="n">
        <f aca="false">$D$315*(1+IF($C$315&lt;=0,0,MAX($C$315*W$5/12,Inputs!$C$8)))+$I$315*(W$5&gt;Inputs!$C$12)*$D$315*(1+Inputs!$C$11*(W$5-Inputs!$C$12)/12)</f>
        <v>1756</v>
      </c>
      <c r="X319" s="42" t="n">
        <f aca="false">$D$315*(1+IF($C$315&lt;=0,0,MAX($C$315*X$5/12,Inputs!$C$8)))+$I$315*(X$5&gt;Inputs!$C$12)*$D$315*(1+Inputs!$C$11*(X$5-Inputs!$C$12)/12)</f>
        <v>1773.33333333333</v>
      </c>
      <c r="Y319" s="42" t="n">
        <f aca="false">$D$315*(1+IF($C$315&lt;=0,0,MAX($C$315*Y$5/12,Inputs!$C$8)))+$I$315*(Y$5&gt;Inputs!$C$12)*$D$315*(1+Inputs!$C$11*(Y$5-Inputs!$C$12)/12)</f>
        <v>1790.66666666667</v>
      </c>
      <c r="Z319" s="42" t="n">
        <f aca="false">$D$315*(1+IF($C$315&lt;=0,0,MAX($C$315*Z$5/12,Inputs!$C$8)))+$I$315*(Z$5&gt;Inputs!$C$12)*$D$315*(1+Inputs!$C$11*(Z$5-Inputs!$C$12)/12)</f>
        <v>1808</v>
      </c>
      <c r="AA319" s="42" t="n">
        <f aca="false">$D$315*(1+IF($C$315&lt;=0,0,MAX($C$315*AA$5/12,Inputs!$C$8)))+$I$315*(AA$5&gt;Inputs!$C$12)*$D$315*(1+Inputs!$C$11*(AA$5-Inputs!$C$12)/12)</f>
        <v>1825.33333333333</v>
      </c>
      <c r="AB319" s="42" t="n">
        <f aca="false">$D$315*(1+IF($C$315&lt;=0,0,MAX($C$315*AB$5/12,Inputs!$C$8)))+$I$315*(AB$5&gt;Inputs!$C$12)*$D$315*(1+Inputs!$C$11*(AB$5-Inputs!$C$12)/12)</f>
        <v>1842.66666666667</v>
      </c>
      <c r="AC319" s="42" t="n">
        <f aca="false">$D$315*(1+IF($C$315&lt;=0,0,MAX($C$315*AC$5/12,Inputs!$C$8)))+$I$315*(AC$5&gt;Inputs!$C$12)*$D$315*(1+Inputs!$C$11*(AC$5-Inputs!$C$12)/12)</f>
        <v>1860</v>
      </c>
      <c r="AD319" s="42" t="n">
        <f aca="false">$D$315*(1+IF($C$315&lt;=0,0,MAX($C$315*AD$5/12,Inputs!$C$8)))+$I$315*(AD$5&gt;Inputs!$C$12)*$D$315*(1+Inputs!$C$11*(AD$5-Inputs!$C$12)/12)</f>
        <v>1877.33333333333</v>
      </c>
      <c r="AE319" s="42" t="n">
        <f aca="false">$D$315*(1+IF($C$315&lt;=0,0,MAX($C$315*AE$5/12,Inputs!$C$8)))+$I$315*(AE$5&gt;Inputs!$C$12)*$D$315*(1+Inputs!$C$11*(AE$5-Inputs!$C$12)/12)</f>
        <v>1894.66666666667</v>
      </c>
      <c r="AF319" s="42" t="n">
        <f aca="false">$D$315*(1+IF($C$315&lt;=0,0,MAX($C$315*AF$5/12,Inputs!$C$8)))+$I$315*(AF$5&gt;Inputs!$C$12)*$D$315*(1+Inputs!$C$11*(AF$5-Inputs!$C$12)/12)</f>
        <v>1912</v>
      </c>
      <c r="AG319" s="42" t="n">
        <f aca="false">$D$315*(1+IF($C$315&lt;=0,0,MAX($C$315*AG$5/12,Inputs!$C$8)))+$I$315*(AG$5&gt;Inputs!$C$12)*$D$315*(1+Inputs!$C$11*(AG$5-Inputs!$C$12)/12)</f>
        <v>1929.33333333333</v>
      </c>
      <c r="AH319" s="42" t="n">
        <f aca="false">$D$315*(1+IF($C$315&lt;=0,0,MAX($C$315*AH$5/12,Inputs!$C$8)))+$I$315*(AH$5&gt;Inputs!$C$12)*$D$315*(1+Inputs!$C$11*(AH$5-Inputs!$C$12)/12)</f>
        <v>1946.66666666667</v>
      </c>
      <c r="AI319" s="42" t="n">
        <f aca="false">$D$315*(1+IF($C$315&lt;=0,0,MAX($C$315*AI$5/12,Inputs!$C$8)))+$I$315*(AI$5&gt;Inputs!$C$12)*$D$315*(1+Inputs!$C$11*(AI$5-Inputs!$C$12)/12)</f>
        <v>1964</v>
      </c>
      <c r="AJ319" s="42" t="n">
        <f aca="false">$D$315*(1+IF($C$315&lt;=0,0,MAX($C$315*AJ$5/12,Inputs!$C$8)))+$I$315*(AJ$5&gt;Inputs!$C$12)*$D$315*(1+Inputs!$C$11*(AJ$5-Inputs!$C$12)/12)</f>
        <v>1981.33333333333</v>
      </c>
      <c r="AK319" s="42" t="n">
        <f aca="false">$D$315*(1+IF($C$315&lt;=0,0,MAX($C$315*AK$5/12,Inputs!$C$8)))+$I$315*(AK$5&gt;Inputs!$C$12)*$D$315*(1+Inputs!$C$11*(AK$5-Inputs!$C$12)/12)</f>
        <v>1998.66666666667</v>
      </c>
      <c r="AL319" s="42" t="n">
        <f aca="false">$D$315*(1+IF($C$315&lt;=0,0,MAX($C$315*AL$5/12,Inputs!$C$8)))+$I$315*(AL$5&gt;Inputs!$C$12)*$D$315*(1+Inputs!$C$11*(AL$5-Inputs!$C$12)/12)</f>
        <v>2016</v>
      </c>
    </row>
    <row r="320" customFormat="false" ht="15" hidden="false" customHeight="false" outlineLevel="0" collapsed="false">
      <c r="B320" s="31" t="s">
        <v>187</v>
      </c>
      <c r="N320" s="42" t="n">
        <f aca="false">-($D$315+$J$315)*(N$5=0)+IF(AND(N$5-$K$315&gt;=1,N$5-$K$315&lt;=Inputs!$C$13),INDEX($N$318:$AL$318,1,N$5-$K$315+1)*INDEX($N$319:$AL$319,1,N$5-$K$315+1),0)-$I$315*((N$5=Inputs!$C$12)*$C$317*$D$315+(N$5=Inputs!$C$13)*$D$317*($D$315+Inputs!$C$14))+$I$315*((N$5=Inputs!$C$15+$K$315)*$E$317*$I$317+(N$5=Inputs!$C$16+$K$315)*$F$317*$J$317+(N$5=Inputs!$C$17)*$G$317*$H$315*$H$317)</f>
        <v>-1610</v>
      </c>
      <c r="O320" s="42" t="n">
        <f aca="false">-($D$315+$J$315)*(O$5=0)+IF(AND(O$5-$K$315&gt;=1,O$5-$K$315&lt;=Inputs!$C$13),INDEX($N$318:$AL$318,1,O$5-$K$315+1)*INDEX($N$319:$AL$319,1,O$5-$K$315+1),0)-$I$315*((O$5=Inputs!$C$12)*$C$317*$D$315+(O$5=Inputs!$C$13)*$D$317*($D$315+Inputs!$C$14))+$I$315*((O$5=Inputs!$C$15+$K$315)*$E$317*$I$317+(O$5=Inputs!$C$16+$K$315)*$F$317*$J$317+(O$5=Inputs!$C$17)*$G$317*$H$315*$H$317)</f>
        <v>0</v>
      </c>
      <c r="P320" s="42" t="n">
        <f aca="false">-($D$315+$J$315)*(P$5=0)+IF(AND(P$5-$K$315&gt;=1,P$5-$K$315&lt;=Inputs!$C$13),INDEX($N$318:$AL$318,1,P$5-$K$315+1)*INDEX($N$319:$AL$319,1,P$5-$K$315+1),0)-$I$315*((P$5=Inputs!$C$12)*$C$317*$D$315+(P$5=Inputs!$C$13)*$D$317*($D$315+Inputs!$C$14))+$I$315*((P$5=Inputs!$C$15+$K$315)*$E$317*$I$317+(P$5=Inputs!$C$16+$K$315)*$F$317*$J$317+(P$5=Inputs!$C$17)*$G$317*$H$315*$H$317)</f>
        <v>35.28</v>
      </c>
      <c r="Q320" s="42" t="n">
        <f aca="false">-($D$315+$J$315)*(Q$5=0)+IF(AND(Q$5-$K$315&gt;=1,Q$5-$K$315&lt;=Inputs!$C$13),INDEX($N$318:$AL$318,1,Q$5-$K$315+1)*INDEX($N$319:$AL$319,1,Q$5-$K$315+1),0)-$I$315*((Q$5=Inputs!$C$12)*$C$317*$D$315+(Q$5=Inputs!$C$13)*$D$317*($D$315+Inputs!$C$14))+$I$315*((Q$5=Inputs!$C$15+$K$315)*$E$317*$I$317+(Q$5=Inputs!$C$16+$K$315)*$F$317*$J$317+(Q$5=Inputs!$C$17)*$G$317*$H$315*$H$317)</f>
        <v>35.28</v>
      </c>
      <c r="R320" s="42" t="n">
        <f aca="false">-($D$315+$J$315)*(R$5=0)+IF(AND(R$5-$K$315&gt;=1,R$5-$K$315&lt;=Inputs!$C$13),INDEX($N$318:$AL$318,1,R$5-$K$315+1)*INDEX($N$319:$AL$319,1,R$5-$K$315+1),0)-$I$315*((R$5=Inputs!$C$12)*$C$317*$D$315+(R$5=Inputs!$C$13)*$D$317*($D$315+Inputs!$C$14))+$I$315*((R$5=Inputs!$C$15+$K$315)*$E$317*$I$317+(R$5=Inputs!$C$16+$K$315)*$F$317*$J$317+(R$5=Inputs!$C$17)*$G$317*$H$315*$H$317)</f>
        <v>35.28</v>
      </c>
      <c r="S320" s="42" t="n">
        <f aca="false">-($D$315+$J$315)*(S$5=0)+IF(AND(S$5-$K$315&gt;=1,S$5-$K$315&lt;=Inputs!$C$13),INDEX($N$318:$AL$318,1,S$5-$K$315+1)*INDEX($N$319:$AL$319,1,S$5-$K$315+1),0)-$I$315*((S$5=Inputs!$C$12)*$C$317*$D$315+(S$5=Inputs!$C$13)*$D$317*($D$315+Inputs!$C$14))+$I$315*((S$5=Inputs!$C$15+$K$315)*$E$317*$I$317+(S$5=Inputs!$C$16+$K$315)*$F$317*$J$317+(S$5=Inputs!$C$17)*$G$317*$H$315*$H$317)</f>
        <v>35.28</v>
      </c>
      <c r="T320" s="42" t="n">
        <f aca="false">-($D$315+$J$315)*(T$5=0)+IF(AND(T$5-$K$315&gt;=1,T$5-$K$315&lt;=Inputs!$C$13),INDEX($N$318:$AL$318,1,T$5-$K$315+1)*INDEX($N$319:$AL$319,1,T$5-$K$315+1),0)-$I$315*((T$5=Inputs!$C$12)*$C$317*$D$315+(T$5=Inputs!$C$13)*$D$317*($D$315+Inputs!$C$14))+$I$315*((T$5=Inputs!$C$15+$K$315)*$E$317*$I$317+(T$5=Inputs!$C$16+$K$315)*$F$317*$J$317+(T$5=Inputs!$C$17)*$G$317*$H$315*$H$317)</f>
        <v>35.42</v>
      </c>
      <c r="U320" s="42" t="n">
        <f aca="false">-($D$315+$J$315)*(U$5=0)+IF(AND(U$5-$K$315&gt;=1,U$5-$K$315&lt;=Inputs!$C$13),INDEX($N$318:$AL$318,1,U$5-$K$315+1)*INDEX($N$319:$AL$319,1,U$5-$K$315+1),0)-$I$315*((U$5=Inputs!$C$12)*$C$317*$D$315+(U$5=Inputs!$C$13)*$D$317*($D$315+Inputs!$C$14))+$I$315*((U$5=Inputs!$C$15+$K$315)*$E$317*$I$317+(U$5=Inputs!$C$16+$K$315)*$F$317*$J$317+(U$5=Inputs!$C$17)*$G$317*$H$315*$H$317)</f>
        <v>35.784</v>
      </c>
      <c r="V320" s="42" t="n">
        <f aca="false">-($D$315+$J$315)*(V$5=0)+IF(AND(V$5-$K$315&gt;=1,V$5-$K$315&lt;=Inputs!$C$13),INDEX($N$318:$AL$318,1,V$5-$K$315+1)*INDEX($N$319:$AL$319,1,V$5-$K$315+1),0)-$I$315*((V$5=Inputs!$C$12)*$C$317*$D$315+(V$5=Inputs!$C$13)*$D$317*($D$315+Inputs!$C$14))+$I$315*((V$5=Inputs!$C$15+$K$315)*$E$317*$I$317+(V$5=Inputs!$C$16+$K$315)*$F$317*$J$317+(V$5=Inputs!$C$17)*$G$317*$H$315*$H$317)</f>
        <v>28.1151111111111</v>
      </c>
      <c r="W320" s="42" t="n">
        <f aca="false">-($D$315+$J$315)*(W$5=0)+IF(AND(W$5-$K$315&gt;=1,W$5-$K$315&lt;=Inputs!$C$13),INDEX($N$318:$AL$318,1,W$5-$K$315+1)*INDEX($N$319:$AL$319,1,W$5-$K$315+1),0)-$I$315*((W$5=Inputs!$C$12)*$C$317*$D$315+(W$5=Inputs!$C$13)*$D$317*($D$315+Inputs!$C$14))+$I$315*((W$5=Inputs!$C$15+$K$315)*$E$317*$I$317+(W$5=Inputs!$C$16+$K$315)*$F$317*$J$317+(W$5=Inputs!$C$17)*$G$317*$H$315*$H$317)</f>
        <v>28.3982222222222</v>
      </c>
      <c r="X320" s="42" t="n">
        <f aca="false">-($D$315+$J$315)*(X$5=0)+IF(AND(X$5-$K$315&gt;=1,X$5-$K$315&lt;=Inputs!$C$13),INDEX($N$318:$AL$318,1,X$5-$K$315+1)*INDEX($N$319:$AL$319,1,X$5-$K$315+1),0)-$I$315*((X$5=Inputs!$C$12)*$C$317*$D$315+(X$5=Inputs!$C$13)*$D$317*($D$315+Inputs!$C$14))+$I$315*((X$5=Inputs!$C$15+$K$315)*$E$317*$I$317+(X$5=Inputs!$C$16+$K$315)*$F$317*$J$317+(X$5=Inputs!$C$17)*$G$317*$H$315*$H$317)</f>
        <v>28.6813333333333</v>
      </c>
      <c r="Y320" s="42" t="n">
        <f aca="false">-($D$315+$J$315)*(Y$5=0)+IF(AND(Y$5-$K$315&gt;=1,Y$5-$K$315&lt;=Inputs!$C$13),INDEX($N$318:$AL$318,1,Y$5-$K$315+1)*INDEX($N$319:$AL$319,1,Y$5-$K$315+1),0)-$I$315*((Y$5=Inputs!$C$12)*$C$317*$D$315+(Y$5=Inputs!$C$13)*$D$317*($D$315+Inputs!$C$14))+$I$315*((Y$5=Inputs!$C$15+$K$315)*$E$317*$I$317+(Y$5=Inputs!$C$16+$K$315)*$F$317*$J$317+(Y$5=Inputs!$C$17)*$G$317*$H$315*$H$317)</f>
        <v>24.8266666666667</v>
      </c>
      <c r="Z320" s="42" t="n">
        <f aca="false">-($D$315+$J$315)*(Z$5=0)+IF(AND(Z$5-$K$315&gt;=1,Z$5-$K$315&lt;=Inputs!$C$13),INDEX($N$318:$AL$318,1,Z$5-$K$315+1)*INDEX($N$319:$AL$319,1,Z$5-$K$315+1),0)-$I$315*((Z$5=Inputs!$C$12)*$C$317*$D$315+(Z$5=Inputs!$C$13)*$D$317*($D$315+Inputs!$C$14))+$I$315*((Z$5=Inputs!$C$15+$K$315)*$E$317*$I$317+(Z$5=Inputs!$C$16+$K$315)*$F$317*$J$317+(Z$5=Inputs!$C$17)*$G$317*$H$315*$H$317)</f>
        <v>25.0693333333333</v>
      </c>
      <c r="AA320" s="42" t="n">
        <f aca="false">-($D$315+$J$315)*(AA$5=0)+IF(AND(AA$5-$K$315&gt;=1,AA$5-$K$315&lt;=Inputs!$C$13),INDEX($N$318:$AL$318,1,AA$5-$K$315+1)*INDEX($N$319:$AL$319,1,AA$5-$K$315+1),0)-$I$315*((AA$5=Inputs!$C$12)*$C$317*$D$315+(AA$5=Inputs!$C$13)*$D$317*($D$315+Inputs!$C$14))+$I$315*((AA$5=Inputs!$C$15+$K$315)*$E$317*$I$317+(AA$5=Inputs!$C$16+$K$315)*$F$317*$J$317+(AA$5=Inputs!$C$17)*$G$317*$H$315*$H$317)</f>
        <v>25.312</v>
      </c>
      <c r="AB320" s="42" t="n">
        <f aca="false">-($D$315+$J$315)*(AB$5=0)+IF(AND(AB$5-$K$315&gt;=1,AB$5-$K$315&lt;=Inputs!$C$13),INDEX($N$318:$AL$318,1,AB$5-$K$315+1)*INDEX($N$319:$AL$319,1,AB$5-$K$315+1),0)-$I$315*((AB$5=Inputs!$C$12)*$C$317*$D$315+(AB$5=Inputs!$C$13)*$D$317*($D$315+Inputs!$C$14))+$I$315*((AB$5=Inputs!$C$15+$K$315)*$E$317*$I$317+(AB$5=Inputs!$C$16+$K$315)*$F$317*$J$317+(AB$5=Inputs!$C$17)*$G$317*$H$315*$H$317)</f>
        <v>21.2955555555556</v>
      </c>
      <c r="AC320" s="42" t="n">
        <f aca="false">-($D$315+$J$315)*(AC$5=0)+IF(AND(AC$5-$K$315&gt;=1,AC$5-$K$315&lt;=Inputs!$C$13),INDEX($N$318:$AL$318,1,AC$5-$K$315+1)*INDEX($N$319:$AL$319,1,AC$5-$K$315+1),0)-$I$315*((AC$5=Inputs!$C$12)*$C$317*$D$315+(AC$5=Inputs!$C$13)*$D$317*($D$315+Inputs!$C$14))+$I$315*((AC$5=Inputs!$C$15+$K$315)*$E$317*$I$317+(AC$5=Inputs!$C$16+$K$315)*$F$317*$J$317+(AC$5=Inputs!$C$17)*$G$317*$H$315*$H$317)</f>
        <v>21.4977777777778</v>
      </c>
      <c r="AD320" s="42" t="n">
        <f aca="false">-($D$315+$J$315)*(AD$5=0)+IF(AND(AD$5-$K$315&gt;=1,AD$5-$K$315&lt;=Inputs!$C$13),INDEX($N$318:$AL$318,1,AD$5-$K$315+1)*INDEX($N$319:$AL$319,1,AD$5-$K$315+1),0)-$I$315*((AD$5=Inputs!$C$12)*$C$317*$D$315+(AD$5=Inputs!$C$13)*$D$317*($D$315+Inputs!$C$14))+$I$315*((AD$5=Inputs!$C$15+$K$315)*$E$317*$I$317+(AD$5=Inputs!$C$16+$K$315)*$F$317*$J$317+(AD$5=Inputs!$C$17)*$G$317*$H$315*$H$317)</f>
        <v>21.7</v>
      </c>
      <c r="AE320" s="42" t="n">
        <f aca="false">-($D$315+$J$315)*(AE$5=0)+IF(AND(AE$5-$K$315&gt;=1,AE$5-$K$315&lt;=Inputs!$C$13),INDEX($N$318:$AL$318,1,AE$5-$K$315+1)*INDEX($N$319:$AL$319,1,AE$5-$K$315+1),0)-$I$315*((AE$5=Inputs!$C$12)*$C$317*$D$315+(AE$5=Inputs!$C$13)*$D$317*($D$315+Inputs!$C$14))+$I$315*((AE$5=Inputs!$C$15+$K$315)*$E$317*$I$317+(AE$5=Inputs!$C$16+$K$315)*$F$317*$J$317+(AE$5=Inputs!$C$17)*$G$317*$H$315*$H$317)</f>
        <v>21.9022222222222</v>
      </c>
      <c r="AF320" s="42" t="n">
        <f aca="false">-($D$315+$J$315)*(AF$5=0)+IF(AND(AF$5-$K$315&gt;=1,AF$5-$K$315&lt;=Inputs!$C$13),INDEX($N$318:$AL$318,1,AF$5-$K$315+1)*INDEX($N$319:$AL$319,1,AF$5-$K$315+1),0)-$I$315*((AF$5=Inputs!$C$12)*$C$317*$D$315+(AF$5=Inputs!$C$13)*$D$317*($D$315+Inputs!$C$14))+$I$315*((AF$5=Inputs!$C$15+$K$315)*$E$317*$I$317+(AF$5=Inputs!$C$16+$K$315)*$F$317*$J$317+(AF$5=Inputs!$C$17)*$G$317*$H$315*$H$317)</f>
        <v>22.1044444444444</v>
      </c>
      <c r="AG320" s="42" t="n">
        <f aca="false">-($D$315+$J$315)*(AG$5=0)+IF(AND(AG$5-$K$315&gt;=1,AG$5-$K$315&lt;=Inputs!$C$13),INDEX($N$318:$AL$318,1,AG$5-$K$315+1)*INDEX($N$319:$AL$319,1,AG$5-$K$315+1),0)-$I$315*((AG$5=Inputs!$C$12)*$C$317*$D$315+(AG$5=Inputs!$C$13)*$D$317*($D$315+Inputs!$C$14))+$I$315*((AG$5=Inputs!$C$15+$K$315)*$E$317*$I$317+(AG$5=Inputs!$C$16+$K$315)*$F$317*$J$317+(AG$5=Inputs!$C$17)*$G$317*$H$315*$H$317)</f>
        <v>22.3066666666667</v>
      </c>
      <c r="AH320" s="42" t="n">
        <f aca="false">-($D$315+$J$315)*(AH$5=0)+IF(AND(AH$5-$K$315&gt;=1,AH$5-$K$315&lt;=Inputs!$C$13),INDEX($N$318:$AL$318,1,AH$5-$K$315+1)*INDEX($N$319:$AL$319,1,AH$5-$K$315+1),0)-$I$315*((AH$5=Inputs!$C$12)*$C$317*$D$315+(AH$5=Inputs!$C$13)*$D$317*($D$315+Inputs!$C$14))+$I$315*((AH$5=Inputs!$C$15+$K$315)*$E$317*$I$317+(AH$5=Inputs!$C$16+$K$315)*$F$317*$J$317+(AH$5=Inputs!$C$17)*$G$317*$H$315*$H$317)</f>
        <v>20.258</v>
      </c>
      <c r="AI320" s="42" t="n">
        <f aca="false">-($D$315+$J$315)*(AI$5=0)+IF(AND(AI$5-$K$315&gt;=1,AI$5-$K$315&lt;=Inputs!$C$13),INDEX($N$318:$AL$318,1,AI$5-$K$315+1)*INDEX($N$319:$AL$319,1,AI$5-$K$315+1),0)-$I$315*((AI$5=Inputs!$C$12)*$C$317*$D$315+(AI$5=Inputs!$C$13)*$D$317*($D$315+Inputs!$C$14))+$I$315*((AI$5=Inputs!$C$15+$K$315)*$E$317*$I$317+(AI$5=Inputs!$C$16+$K$315)*$F$317*$J$317+(AI$5=Inputs!$C$17)*$G$317*$H$315*$H$317)</f>
        <v>20.44</v>
      </c>
      <c r="AJ320" s="42" t="n">
        <f aca="false">-($D$315+$J$315)*(AJ$5=0)+IF(AND(AJ$5-$K$315&gt;=1,AJ$5-$K$315&lt;=Inputs!$C$13),INDEX($N$318:$AL$318,1,AJ$5-$K$315+1)*INDEX($N$319:$AL$319,1,AJ$5-$K$315+1),0)-$I$315*((AJ$5=Inputs!$C$12)*$C$317*$D$315+(AJ$5=Inputs!$C$13)*$D$317*($D$315+Inputs!$C$14))+$I$315*((AJ$5=Inputs!$C$15+$K$315)*$E$317*$I$317+(AJ$5=Inputs!$C$16+$K$315)*$F$317*$J$317+(AJ$5=Inputs!$C$17)*$G$317*$H$315*$H$317)</f>
        <v>20.6219999999999</v>
      </c>
      <c r="AK320" s="42" t="n">
        <f aca="false">-($D$315+$J$315)*(AK$5=0)+IF(AND(AK$5-$K$315&gt;=1,AK$5-$K$315&lt;=Inputs!$C$13),INDEX($N$318:$AL$318,1,AK$5-$K$315+1)*INDEX($N$319:$AL$319,1,AK$5-$K$315+1),0)-$I$315*((AK$5=Inputs!$C$12)*$C$317*$D$315+(AK$5=Inputs!$C$13)*$D$317*($D$315+Inputs!$C$14))+$I$315*((AK$5=Inputs!$C$15+$K$315)*$E$317*$I$317+(AK$5=Inputs!$C$16+$K$315)*$F$317*$J$317+(AK$5=Inputs!$C$17)*$G$317*$H$315*$H$317)</f>
        <v>20.804</v>
      </c>
      <c r="AL320" s="42" t="n">
        <f aca="false">-($D$315+$J$315)*(AL$5=0)+IF(AND(AL$5-$K$315&gt;=1,AL$5-$K$315&lt;=Inputs!$C$13),INDEX($N$318:$AL$318,1,AL$5-$K$315+1)*INDEX($N$319:$AL$319,1,AL$5-$K$315+1),0)-$I$315*((AL$5=Inputs!$C$12)*$C$317*$D$315+(AL$5=Inputs!$C$13)*$D$317*($D$315+Inputs!$C$14))+$I$315*((AL$5=Inputs!$C$15+$K$315)*$E$317*$I$317+(AL$5=Inputs!$C$16+$K$315)*$F$317*$J$317+(AL$5=Inputs!$C$17)*$G$317*$H$315*$H$317)</f>
        <v>20.986</v>
      </c>
      <c r="AM320" s="42" t="n">
        <f aca="false">-($D$315+$J$315)*(AM$5=0)+IF(AND(AM$5-$K$315&gt;=1,AM$5-$K$315&lt;=Inputs!$C$13),INDEX($N$318:$AL$318,1,AM$5-$K$315+1)*INDEX($N$319:$AL$319,1,AM$5-$K$315+1),0)-$I$315*((AM$5=Inputs!$C$12)*$C$317*$D$315+(AM$5=Inputs!$C$13)*$D$317*($D$315+Inputs!$C$14))+$I$315*((AM$5=Inputs!$C$15+$K$315)*$E$317*$I$317+(AM$5=Inputs!$C$16+$K$315)*$F$317*$J$317+(AM$5=Inputs!$C$17)*$G$317*$H$315*$H$317)</f>
        <v>21.168</v>
      </c>
      <c r="AN320" s="42" t="n">
        <f aca="false">-($D$315+$J$315)*(AN$5=0)+IF(AND(AN$5-$K$315&gt;=1,AN$5-$K$315&lt;=Inputs!$C$13),INDEX($N$318:$AL$318,1,AN$5-$K$315+1)*INDEX($N$319:$AL$319,1,AN$5-$K$315+1),0)-$I$315*((AN$5=Inputs!$C$12)*$C$317*$D$315+(AN$5=Inputs!$C$13)*$D$317*($D$315+Inputs!$C$14))+$I$315*((AN$5=Inputs!$C$15+$K$315)*$E$317*$I$317+(AN$5=Inputs!$C$16+$K$315)*$F$317*$J$317+(AN$5=Inputs!$C$17)*$G$317*$H$315*$H$317)</f>
        <v>0</v>
      </c>
      <c r="AO320" s="42" t="n">
        <f aca="false">-($D$315+$J$315)*(AO$5=0)+IF(AND(AO$5-$K$315&gt;=1,AO$5-$K$315&lt;=Inputs!$C$13),INDEX($N$318:$AL$318,1,AO$5-$K$315+1)*INDEX($N$319:$AL$319,1,AO$5-$K$315+1),0)-$I$315*((AO$5=Inputs!$C$12)*$C$317*$D$315+(AO$5=Inputs!$C$13)*$D$317*($D$315+Inputs!$C$14))+$I$315*((AO$5=Inputs!$C$15+$K$315)*$E$317*$I$317+(AO$5=Inputs!$C$16+$K$315)*$F$317*$J$317+(AO$5=Inputs!$C$17)*$G$317*$H$315*$H$317)</f>
        <v>0</v>
      </c>
      <c r="AP320" s="42" t="n">
        <f aca="false">-($D$315+$J$315)*(AP$5=0)+IF(AND(AP$5-$K$315&gt;=1,AP$5-$K$315&lt;=Inputs!$C$13),INDEX($N$318:$AL$318,1,AP$5-$K$315+1)*INDEX($N$319:$AL$319,1,AP$5-$K$315+1),0)-$I$315*((AP$5=Inputs!$C$12)*$C$317*$D$315+(AP$5=Inputs!$C$13)*$D$317*($D$315+Inputs!$C$14))+$I$315*((AP$5=Inputs!$C$15+$K$315)*$E$317*$I$317+(AP$5=Inputs!$C$16+$K$315)*$F$317*$J$317+(AP$5=Inputs!$C$17)*$G$317*$H$315*$H$317)</f>
        <v>0</v>
      </c>
      <c r="AQ320" s="42" t="n">
        <f aca="false">-($D$315+$J$315)*(AQ$5=0)+IF(AND(AQ$5-$K$315&gt;=1,AQ$5-$K$315&lt;=Inputs!$C$13),INDEX($N$318:$AL$318,1,AQ$5-$K$315+1)*INDEX($N$319:$AL$319,1,AQ$5-$K$315+1),0)-$I$315*((AQ$5=Inputs!$C$12)*$C$317*$D$315+(AQ$5=Inputs!$C$13)*$D$317*($D$315+Inputs!$C$14))+$I$315*((AQ$5=Inputs!$C$15+$K$315)*$E$317*$I$317+(AQ$5=Inputs!$C$16+$K$315)*$F$317*$J$317+(AQ$5=Inputs!$C$17)*$G$317*$H$315*$H$317)</f>
        <v>0</v>
      </c>
      <c r="AR320" s="42" t="n">
        <f aca="false">-($D$315+$J$315)*(AR$5=0)+IF(AND(AR$5-$K$315&gt;=1,AR$5-$K$315&lt;=Inputs!$C$13),INDEX($N$318:$AL$318,1,AR$5-$K$315+1)*INDEX($N$319:$AL$319,1,AR$5-$K$315+1),0)-$I$315*((AR$5=Inputs!$C$12)*$C$317*$D$315+(AR$5=Inputs!$C$13)*$D$317*($D$315+Inputs!$C$14))+$I$315*((AR$5=Inputs!$C$15+$K$315)*$E$317*$I$317+(AR$5=Inputs!$C$16+$K$315)*$F$317*$J$317+(AR$5=Inputs!$C$17)*$G$317*$H$315*$H$317)</f>
        <v>0</v>
      </c>
      <c r="AS320" s="42" t="n">
        <f aca="false">-($D$315+$J$315)*(AS$5=0)+IF(AND(AS$5-$K$315&gt;=1,AS$5-$K$315&lt;=Inputs!$C$13),INDEX($N$318:$AL$318,1,AS$5-$K$315+1)*INDEX($N$319:$AL$319,1,AS$5-$K$315+1),0)-$I$315*((AS$5=Inputs!$C$12)*$C$317*$D$315+(AS$5=Inputs!$C$13)*$D$317*($D$315+Inputs!$C$14))+$I$315*((AS$5=Inputs!$C$15+$K$315)*$E$317*$I$317+(AS$5=Inputs!$C$16+$K$315)*$F$317*$J$317+(AS$5=Inputs!$C$17)*$G$317*$H$315*$H$317)</f>
        <v>0</v>
      </c>
      <c r="AT320" s="42" t="n">
        <f aca="false">-($D$315+$J$315)*(AT$5=0)+IF(AND(AT$5-$K$315&gt;=1,AT$5-$K$315&lt;=Inputs!$C$13),INDEX($N$318:$AL$318,1,AT$5-$K$315+1)*INDEX($N$319:$AL$319,1,AT$5-$K$315+1),0)-$I$315*((AT$5=Inputs!$C$12)*$C$317*$D$315+(AT$5=Inputs!$C$13)*$D$317*($D$315+Inputs!$C$14))+$I$315*((AT$5=Inputs!$C$15+$K$315)*$E$317*$I$317+(AT$5=Inputs!$C$16+$K$315)*$F$317*$J$317+(AT$5=Inputs!$C$17)*$G$317*$H$315*$H$317)</f>
        <v>0</v>
      </c>
      <c r="AU320" s="42" t="n">
        <f aca="false">-($D$315+$J$315)*(AU$5=0)+IF(AND(AU$5-$K$315&gt;=1,AU$5-$K$315&lt;=Inputs!$C$13),INDEX($N$318:$AL$318,1,AU$5-$K$315+1)*INDEX($N$319:$AL$319,1,AU$5-$K$315+1),0)-$I$315*((AU$5=Inputs!$C$12)*$C$317*$D$315+(AU$5=Inputs!$C$13)*$D$317*($D$315+Inputs!$C$14))+$I$315*((AU$5=Inputs!$C$15+$K$315)*$E$317*$I$317+(AU$5=Inputs!$C$16+$K$315)*$F$317*$J$317+(AU$5=Inputs!$C$17)*$G$317*$H$315*$H$317)</f>
        <v>0</v>
      </c>
      <c r="AV320" s="42" t="n">
        <f aca="false">-($D$315+$J$315)*(AV$5=0)+IF(AND(AV$5-$K$315&gt;=1,AV$5-$K$315&lt;=Inputs!$C$13),INDEX($N$318:$AL$318,1,AV$5-$K$315+1)*INDEX($N$319:$AL$319,1,AV$5-$K$315+1),0)-$I$315*((AV$5=Inputs!$C$12)*$C$317*$D$315+(AV$5=Inputs!$C$13)*$D$317*($D$315+Inputs!$C$14))+$I$315*((AV$5=Inputs!$C$15+$K$315)*$E$317*$I$317+(AV$5=Inputs!$C$16+$K$315)*$F$317*$J$317+(AV$5=Inputs!$C$17)*$G$317*$H$315*$H$317)</f>
        <v>0</v>
      </c>
      <c r="AW320" s="42" t="n">
        <f aca="false">-($D$315+$J$315)*(AW$5=0)+IF(AND(AW$5-$K$315&gt;=1,AW$5-$K$315&lt;=Inputs!$C$13),INDEX($N$318:$AL$318,1,AW$5-$K$315+1)*INDEX($N$319:$AL$319,1,AW$5-$K$315+1),0)-$I$315*((AW$5=Inputs!$C$12)*$C$317*$D$315+(AW$5=Inputs!$C$13)*$D$317*($D$315+Inputs!$C$14))+$I$315*((AW$5=Inputs!$C$15+$K$315)*$E$317*$I$317+(AW$5=Inputs!$C$16+$K$315)*$F$317*$J$317+(AW$5=Inputs!$C$17)*$G$317*$H$315*$H$317)</f>
        <v>0</v>
      </c>
      <c r="AX320" s="42" t="n">
        <f aca="false">-($D$315+$J$315)*(AX$5=0)+IF(AND(AX$5-$K$315&gt;=1,AX$5-$K$315&lt;=Inputs!$C$13),INDEX($N$318:$AL$318,1,AX$5-$K$315+1)*INDEX($N$319:$AL$319,1,AX$5-$K$315+1),0)-$I$315*((AX$5=Inputs!$C$12)*$C$317*$D$315+(AX$5=Inputs!$C$13)*$D$317*($D$315+Inputs!$C$14))+$I$315*((AX$5=Inputs!$C$15+$K$315)*$E$317*$I$317+(AX$5=Inputs!$C$16+$K$315)*$F$317*$J$317+(AX$5=Inputs!$C$17)*$G$317*$H$315*$H$317)</f>
        <v>0</v>
      </c>
      <c r="AY320" s="42" t="n">
        <f aca="false">-($D$315+$J$315)*(AY$5=0)+IF(AND(AY$5-$K$315&gt;=1,AY$5-$K$315&lt;=Inputs!$C$13),INDEX($N$318:$AL$318,1,AY$5-$K$315+1)*INDEX($N$319:$AL$319,1,AY$5-$K$315+1),0)-$I$315*((AY$5=Inputs!$C$12)*$C$317*$D$315+(AY$5=Inputs!$C$13)*$D$317*($D$315+Inputs!$C$14))+$I$315*((AY$5=Inputs!$C$15+$K$315)*$E$317*$I$317+(AY$5=Inputs!$C$16+$K$315)*$F$317*$J$317+(AY$5=Inputs!$C$17)*$G$317*$H$315*$H$317)</f>
        <v>0</v>
      </c>
    </row>
    <row r="322" customFormat="false" ht="15" hidden="false" customHeight="false" outlineLevel="0" collapsed="false">
      <c r="B322" s="7" t="s">
        <v>276</v>
      </c>
      <c r="C322" s="8"/>
      <c r="D322" s="8"/>
      <c r="E322" s="8"/>
      <c r="F322" s="8"/>
      <c r="G322" s="8"/>
      <c r="H322" s="8"/>
      <c r="I322" s="8"/>
      <c r="J322" s="8"/>
      <c r="K322" s="8"/>
      <c r="L322" s="8"/>
    </row>
    <row r="323" customFormat="false" ht="30" hidden="false" customHeight="true" outlineLevel="0" collapsed="false">
      <c r="B323" s="37"/>
      <c r="C323" s="38" t="s">
        <v>169</v>
      </c>
      <c r="D323" s="38" t="s">
        <v>170</v>
      </c>
      <c r="E323" s="38" t="s">
        <v>171</v>
      </c>
      <c r="F323" s="38" t="s">
        <v>43</v>
      </c>
      <c r="G323" s="38" t="s">
        <v>44</v>
      </c>
      <c r="H323" s="38" t="s">
        <v>45</v>
      </c>
      <c r="I323" s="38" t="s">
        <v>172</v>
      </c>
      <c r="J323" s="38" t="s">
        <v>90</v>
      </c>
      <c r="K323" s="38" t="s">
        <v>89</v>
      </c>
      <c r="L323" s="38" t="s">
        <v>173</v>
      </c>
    </row>
    <row r="324" customFormat="false" ht="15" hidden="false" customHeight="false" outlineLevel="0" collapsed="false">
      <c r="B324" s="39" t="s">
        <v>174</v>
      </c>
      <c r="C324" s="26" t="n">
        <f aca="false">Inputs!$F$39*Inputs!$E$62</f>
        <v>0.005</v>
      </c>
      <c r="D324" s="30" t="n">
        <f aca="false">Inputs!$E$39</f>
        <v>4200</v>
      </c>
      <c r="E324" s="26" t="n">
        <f aca="false">IF(Inputs!$G$39=1,Inputs!$F$27,MIN(1,MAX(0,INDEX(Inputs!$F$23:$F$27,MATCH(Inputs!$C$39,Inputs!$B$23:$B$27,0))+INDEX(Inputs!$C$48:$C$51,MATCH(Inputs!$D$62,Inputs!$B$48:$B$51,0)))))</f>
        <v>0.985</v>
      </c>
      <c r="F324" s="25" t="n">
        <f aca="false">IF(Inputs!$G$39=1,Inputs!$G$27,INDEX(Inputs!$G$23:$G$27,MATCH(Inputs!$C$39,Inputs!$B$23:$B$27,0)))</f>
        <v>0.8</v>
      </c>
      <c r="G324" s="25" t="n">
        <f aca="false">IF(Inputs!$G$39=1,Inputs!$H$27,INDEX(Inputs!$H$23:$H$27,MATCH(Inputs!$C$39,Inputs!$B$23:$B$27,0)))*INDEX(Inputs!$D$48:$D$51,MATCH(Inputs!$D$62,Inputs!$B$48:$B$51,0))</f>
        <v>0.95</v>
      </c>
      <c r="H324" s="25" t="n">
        <f aca="false">MAX(0,IF(Inputs!$G$39=1,Inputs!$I$27,INDEX(Inputs!$I$23:$I$27,MATCH(Inputs!$C$39,Inputs!$B$23:$B$27,0)))+INDEX(Inputs!$E$48:$E$51,MATCH(Inputs!$D$62,Inputs!$B$48:$B$51,0)))</f>
        <v>0.9</v>
      </c>
      <c r="I324" s="22" t="n">
        <f aca="false">IF(Inputs!$G$39=1,0,INDEX(Inputs!$J$23:$J$27,MATCH(Inputs!$C$39,Inputs!$B$23:$B$27,0)))</f>
        <v>1</v>
      </c>
      <c r="J324" s="23" t="n">
        <f aca="false">Inputs!$G$62</f>
        <v>10</v>
      </c>
      <c r="K324" s="22" t="n">
        <f aca="false">Inputs!$F$62</f>
        <v>0</v>
      </c>
      <c r="L324" s="22" t="n">
        <f aca="false">Inputs!$C$62</f>
        <v>1</v>
      </c>
    </row>
    <row r="325" customFormat="false" ht="30" hidden="false" customHeight="true" outlineLevel="0" collapsed="false">
      <c r="B325" s="37"/>
      <c r="C325" s="38" t="s">
        <v>175</v>
      </c>
      <c r="D325" s="38" t="s">
        <v>176</v>
      </c>
      <c r="E325" s="38" t="s">
        <v>177</v>
      </c>
      <c r="F325" s="38" t="s">
        <v>178</v>
      </c>
      <c r="G325" s="38" t="s">
        <v>112</v>
      </c>
      <c r="H325" s="38" t="s">
        <v>179</v>
      </c>
      <c r="I325" s="38" t="s">
        <v>180</v>
      </c>
      <c r="J325" s="38" t="s">
        <v>181</v>
      </c>
      <c r="K325" s="38" t="s">
        <v>182</v>
      </c>
      <c r="L325" s="38" t="s">
        <v>183</v>
      </c>
    </row>
    <row r="326" customFormat="false" ht="15" hidden="false" customHeight="false" outlineLevel="0" collapsed="false">
      <c r="B326" s="39" t="s">
        <v>184</v>
      </c>
      <c r="C326" s="40" t="n">
        <f aca="false">1-$E$324*CHOOSE($L$324,INDEX(Timing!$C$7:$AA$7,1,Inputs!$C$12+1),INDEX(Timing!$C$8:$AA$8,1,Inputs!$C$12+1))</f>
        <v>0.2514</v>
      </c>
      <c r="D326" s="40" t="n">
        <f aca="false">1-$E$324*CHOOSE($L$324,INDEX(Timing!$C$7:$AA$7,1,Inputs!$C$13+1),INDEX(Timing!$C$8:$AA$8,1,Inputs!$C$13+1))</f>
        <v>0.015</v>
      </c>
      <c r="E326" s="40" t="n">
        <f aca="false">$I$324*$D$326*$F$324</f>
        <v>0.012</v>
      </c>
      <c r="F326" s="40" t="n">
        <f aca="false">$I$324*($D$326-$E$326)*$G$324</f>
        <v>0.00285</v>
      </c>
      <c r="G326" s="40" t="n">
        <f aca="false">$I$324*($D$326-$E$326-$F$326)</f>
        <v>0.00015</v>
      </c>
      <c r="H326" s="23" t="n">
        <f aca="false">$I$324*(3*$D$324+Inputs!$C$14)</f>
        <v>14400</v>
      </c>
      <c r="I326" s="23" t="n">
        <f aca="false">$I$324*($D$324*(1+IF($C$324&lt;=0,0,MAX($C$324*Inputs!$C$15/12,Inputs!$C$8)))+$D$324*(1+Inputs!$C$11*(Inputs!$C$15-Inputs!$C$12)/12)+$D$324*(1+Inputs!$C$11*(Inputs!$C$15-Inputs!$C$13)/12)+Inputs!$C$14)</f>
        <v>15744</v>
      </c>
      <c r="J326" s="23" t="n">
        <f aca="false">$I$324*($D$324*(1+IF($C$324&lt;=0,0,MAX($C$324*Inputs!$C$16/12,Inputs!$C$8)))+$D$324*(1+Inputs!$C$11*(Inputs!$C$16-Inputs!$C$12)/12)+$D$324*(1+Inputs!$C$11*(Inputs!$C$16-Inputs!$C$13)/12)+Inputs!$C$14)</f>
        <v>16122</v>
      </c>
      <c r="K326" s="40" t="n">
        <f aca="false">IRR($N$329:$AY$329,0.005)</f>
        <v>0.00695117492528847</v>
      </c>
      <c r="L326" s="41" t="n">
        <f aca="false">(1+$K$326)^12-1</f>
        <v>0.086678202695534</v>
      </c>
    </row>
    <row r="327" customFormat="false" ht="15" hidden="false" customHeight="false" outlineLevel="0" collapsed="false">
      <c r="B327" s="9" t="s">
        <v>185</v>
      </c>
      <c r="N327" s="40" t="n">
        <f aca="false">0</f>
        <v>0</v>
      </c>
      <c r="O327" s="40" t="n">
        <f aca="false">$E$324*(CHOOSE($L$324,Timing!D$7,Timing!D$8)-CHOOSE($L$324,Timing!C$7,Timing!C$8))</f>
        <v>0.1182</v>
      </c>
      <c r="P327" s="40" t="n">
        <f aca="false">$E$324*(CHOOSE($L$324,Timing!E$7,Timing!E$8)-CHOOSE($L$324,Timing!D$7,Timing!D$8))</f>
        <v>0.0985</v>
      </c>
      <c r="Q327" s="40" t="n">
        <f aca="false">$E$324*(CHOOSE($L$324,Timing!F$7,Timing!F$8)-CHOOSE($L$324,Timing!E$7,Timing!E$8))</f>
        <v>0.08865</v>
      </c>
      <c r="R327" s="40" t="n">
        <f aca="false">$E$324*(CHOOSE($L$324,Timing!G$7,Timing!G$8)-CHOOSE($L$324,Timing!F$7,Timing!F$8))</f>
        <v>0.06895</v>
      </c>
      <c r="S327" s="40" t="n">
        <f aca="false">$E$324*(CHOOSE($L$324,Timing!H$7,Timing!H$8)-CHOOSE($L$324,Timing!G$7,Timing!G$8))</f>
        <v>0.06895</v>
      </c>
      <c r="T327" s="40" t="n">
        <f aca="false">$E$324*(CHOOSE($L$324,Timing!I$7,Timing!I$8)-CHOOSE($L$324,Timing!H$7,Timing!H$8))</f>
        <v>0.06895</v>
      </c>
      <c r="U327" s="40" t="n">
        <f aca="false">$E$324*(CHOOSE($L$324,Timing!J$7,Timing!J$8)-CHOOSE($L$324,Timing!I$7,Timing!I$8))</f>
        <v>0.0426833333333333</v>
      </c>
      <c r="V327" s="40" t="n">
        <f aca="false">$E$324*(CHOOSE($L$324,Timing!K$7,Timing!K$8)-CHOOSE($L$324,Timing!J$7,Timing!J$8))</f>
        <v>0.0426833333333333</v>
      </c>
      <c r="W327" s="40" t="n">
        <f aca="false">$E$324*(CHOOSE($L$324,Timing!L$7,Timing!L$8)-CHOOSE($L$324,Timing!K$7,Timing!K$8))</f>
        <v>0.0426833333333333</v>
      </c>
      <c r="X327" s="40" t="n">
        <f aca="false">$E$324*(CHOOSE($L$324,Timing!M$7,Timing!M$8)-CHOOSE($L$324,Timing!L$7,Timing!L$8))</f>
        <v>0.0361166666666666</v>
      </c>
      <c r="Y327" s="40" t="n">
        <f aca="false">$E$324*(CHOOSE($L$324,Timing!N$7,Timing!N$8)-CHOOSE($L$324,Timing!M$7,Timing!M$8))</f>
        <v>0.0361166666666667</v>
      </c>
      <c r="Z327" s="40" t="n">
        <f aca="false">$E$324*(CHOOSE($L$324,Timing!O$7,Timing!O$8)-CHOOSE($L$324,Timing!N$7,Timing!N$8))</f>
        <v>0.0361166666666666</v>
      </c>
      <c r="AA327" s="40" t="n">
        <f aca="false">$E$324*(CHOOSE($L$324,Timing!P$7,Timing!P$8)-CHOOSE($L$324,Timing!O$7,Timing!O$8))</f>
        <v>0.0229833333333333</v>
      </c>
      <c r="AB327" s="40" t="n">
        <f aca="false">$E$324*(CHOOSE($L$324,Timing!Q$7,Timing!Q$8)-CHOOSE($L$324,Timing!P$7,Timing!P$8))</f>
        <v>0.0229833333333333</v>
      </c>
      <c r="AC327" s="40" t="n">
        <f aca="false">$E$324*(CHOOSE($L$324,Timing!R$7,Timing!R$8)-CHOOSE($L$324,Timing!Q$7,Timing!Q$8))</f>
        <v>0.0229833333333334</v>
      </c>
      <c r="AD327" s="40" t="n">
        <f aca="false">$E$324*(CHOOSE($L$324,Timing!S$7,Timing!S$8)-CHOOSE($L$324,Timing!R$7,Timing!R$8))</f>
        <v>0.0229833333333333</v>
      </c>
      <c r="AE327" s="40" t="n">
        <f aca="false">$E$324*(CHOOSE($L$324,Timing!T$7,Timing!T$8)-CHOOSE($L$324,Timing!S$7,Timing!S$8))</f>
        <v>0.0229833333333333</v>
      </c>
      <c r="AF327" s="40" t="n">
        <f aca="false">$E$324*(CHOOSE($L$324,Timing!U$7,Timing!U$8)-CHOOSE($L$324,Timing!T$7,Timing!T$8))</f>
        <v>0.0229833333333333</v>
      </c>
      <c r="AG327" s="40" t="n">
        <f aca="false">$E$324*(CHOOSE($L$324,Timing!V$7,Timing!V$8)-CHOOSE($L$324,Timing!U$7,Timing!U$8))</f>
        <v>0.0164166666666667</v>
      </c>
      <c r="AH327" s="40" t="n">
        <f aca="false">$E$324*(CHOOSE($L$324,Timing!W$7,Timing!W$8)-CHOOSE($L$324,Timing!V$7,Timing!V$8))</f>
        <v>0.0164166666666666</v>
      </c>
      <c r="AI327" s="40" t="n">
        <f aca="false">$E$324*(CHOOSE($L$324,Timing!X$7,Timing!X$8)-CHOOSE($L$324,Timing!W$7,Timing!W$8))</f>
        <v>0.0164166666666666</v>
      </c>
      <c r="AJ327" s="40" t="n">
        <f aca="false">$E$324*(CHOOSE($L$324,Timing!Y$7,Timing!Y$8)-CHOOSE($L$324,Timing!X$7,Timing!X$8))</f>
        <v>0.0164166666666667</v>
      </c>
      <c r="AK327" s="40" t="n">
        <f aca="false">$E$324*(CHOOSE($L$324,Timing!Z$7,Timing!Z$8)-CHOOSE($L$324,Timing!Y$7,Timing!Y$8))</f>
        <v>0.0164166666666667</v>
      </c>
      <c r="AL327" s="40" t="n">
        <f aca="false">$E$324*(CHOOSE($L$324,Timing!AA$7,Timing!AA$8)-CHOOSE($L$324,Timing!Z$7,Timing!Z$8))</f>
        <v>0.0164166666666666</v>
      </c>
    </row>
    <row r="328" customFormat="false" ht="15" hidden="false" customHeight="false" outlineLevel="0" collapsed="false">
      <c r="B328" s="9" t="s">
        <v>186</v>
      </c>
      <c r="N328" s="42" t="n">
        <f aca="false">0</f>
        <v>0</v>
      </c>
      <c r="O328" s="42" t="n">
        <f aca="false">$D$324*(1+IF($C$324&lt;=0,0,MAX($C$324*O$5/12,Inputs!$C$8)))+$I$324*(O$5&gt;Inputs!$C$12)*$D$324*(1+Inputs!$C$11*(O$5-Inputs!$C$12)/12)</f>
        <v>4410</v>
      </c>
      <c r="P328" s="42" t="n">
        <f aca="false">$D$324*(1+IF($C$324&lt;=0,0,MAX($C$324*P$5/12,Inputs!$C$8)))+$I$324*(P$5&gt;Inputs!$C$12)*$D$324*(1+Inputs!$C$11*(P$5-Inputs!$C$12)/12)</f>
        <v>4410</v>
      </c>
      <c r="Q328" s="42" t="n">
        <f aca="false">$D$324*(1+IF($C$324&lt;=0,0,MAX($C$324*Q$5/12,Inputs!$C$8)))+$I$324*(Q$5&gt;Inputs!$C$12)*$D$324*(1+Inputs!$C$11*(Q$5-Inputs!$C$12)/12)</f>
        <v>4410</v>
      </c>
      <c r="R328" s="42" t="n">
        <f aca="false">$D$324*(1+IF($C$324&lt;=0,0,MAX($C$324*R$5/12,Inputs!$C$8)))+$I$324*(R$5&gt;Inputs!$C$12)*$D$324*(1+Inputs!$C$11*(R$5-Inputs!$C$12)/12)</f>
        <v>4410</v>
      </c>
      <c r="S328" s="42" t="n">
        <f aca="false">$D$324*(1+IF($C$324&lt;=0,0,MAX($C$324*S$5/12,Inputs!$C$8)))+$I$324*(S$5&gt;Inputs!$C$12)*$D$324*(1+Inputs!$C$11*(S$5-Inputs!$C$12)/12)</f>
        <v>4410</v>
      </c>
      <c r="T328" s="42" t="n">
        <f aca="false">$D$324*(1+IF($C$324&lt;=0,0,MAX($C$324*T$5/12,Inputs!$C$8)))+$I$324*(T$5&gt;Inputs!$C$12)*$D$324*(1+Inputs!$C$11*(T$5-Inputs!$C$12)/12)</f>
        <v>4410</v>
      </c>
      <c r="U328" s="42" t="n">
        <f aca="false">$D$324*(1+IF($C$324&lt;=0,0,MAX($C$324*U$5/12,Inputs!$C$8)))+$I$324*(U$5&gt;Inputs!$C$12)*$D$324*(1+Inputs!$C$11*(U$5-Inputs!$C$12)/12)</f>
        <v>4410</v>
      </c>
      <c r="V328" s="42" t="n">
        <f aca="false">$D$324*(1+IF($C$324&lt;=0,0,MAX($C$324*V$5/12,Inputs!$C$8)))+$I$324*(V$5&gt;Inputs!$C$12)*$D$324*(1+Inputs!$C$11*(V$5-Inputs!$C$12)/12)</f>
        <v>4410</v>
      </c>
      <c r="W328" s="42" t="n">
        <f aca="false">$D$324*(1+IF($C$324&lt;=0,0,MAX($C$324*W$5/12,Inputs!$C$8)))+$I$324*(W$5&gt;Inputs!$C$12)*$D$324*(1+Inputs!$C$11*(W$5-Inputs!$C$12)/12)</f>
        <v>4410</v>
      </c>
      <c r="X328" s="42" t="n">
        <f aca="false">$D$324*(1+IF($C$324&lt;=0,0,MAX($C$324*X$5/12,Inputs!$C$8)))+$I$324*(X$5&gt;Inputs!$C$12)*$D$324*(1+Inputs!$C$11*(X$5-Inputs!$C$12)/12)</f>
        <v>4410</v>
      </c>
      <c r="Y328" s="42" t="n">
        <f aca="false">$D$324*(1+IF($C$324&lt;=0,0,MAX($C$324*Y$5/12,Inputs!$C$8)))+$I$324*(Y$5&gt;Inputs!$C$12)*$D$324*(1+Inputs!$C$11*(Y$5-Inputs!$C$12)/12)</f>
        <v>4410</v>
      </c>
      <c r="Z328" s="42" t="n">
        <f aca="false">$D$324*(1+IF($C$324&lt;=0,0,MAX($C$324*Z$5/12,Inputs!$C$8)))+$I$324*(Z$5&gt;Inputs!$C$12)*$D$324*(1+Inputs!$C$11*(Z$5-Inputs!$C$12)/12)</f>
        <v>4410</v>
      </c>
      <c r="AA328" s="42" t="n">
        <f aca="false">$D$324*(1+IF($C$324&lt;=0,0,MAX($C$324*AA$5/12,Inputs!$C$8)))+$I$324*(AA$5&gt;Inputs!$C$12)*$D$324*(1+Inputs!$C$11*(AA$5-Inputs!$C$12)/12)</f>
        <v>8673</v>
      </c>
      <c r="AB328" s="42" t="n">
        <f aca="false">$D$324*(1+IF($C$324&lt;=0,0,MAX($C$324*AB$5/12,Inputs!$C$8)))+$I$324*(AB$5&gt;Inputs!$C$12)*$D$324*(1+Inputs!$C$11*(AB$5-Inputs!$C$12)/12)</f>
        <v>8736</v>
      </c>
      <c r="AC328" s="42" t="n">
        <f aca="false">$D$324*(1+IF($C$324&lt;=0,0,MAX($C$324*AC$5/12,Inputs!$C$8)))+$I$324*(AC$5&gt;Inputs!$C$12)*$D$324*(1+Inputs!$C$11*(AC$5-Inputs!$C$12)/12)</f>
        <v>8799</v>
      </c>
      <c r="AD328" s="42" t="n">
        <f aca="false">$D$324*(1+IF($C$324&lt;=0,0,MAX($C$324*AD$5/12,Inputs!$C$8)))+$I$324*(AD$5&gt;Inputs!$C$12)*$D$324*(1+Inputs!$C$11*(AD$5-Inputs!$C$12)/12)</f>
        <v>8862</v>
      </c>
      <c r="AE328" s="42" t="n">
        <f aca="false">$D$324*(1+IF($C$324&lt;=0,0,MAX($C$324*AE$5/12,Inputs!$C$8)))+$I$324*(AE$5&gt;Inputs!$C$12)*$D$324*(1+Inputs!$C$11*(AE$5-Inputs!$C$12)/12)</f>
        <v>8925</v>
      </c>
      <c r="AF328" s="42" t="n">
        <f aca="false">$D$324*(1+IF($C$324&lt;=0,0,MAX($C$324*AF$5/12,Inputs!$C$8)))+$I$324*(AF$5&gt;Inputs!$C$12)*$D$324*(1+Inputs!$C$11*(AF$5-Inputs!$C$12)/12)</f>
        <v>8988</v>
      </c>
      <c r="AG328" s="42" t="n">
        <f aca="false">$D$324*(1+IF($C$324&lt;=0,0,MAX($C$324*AG$5/12,Inputs!$C$8)))+$I$324*(AG$5&gt;Inputs!$C$12)*$D$324*(1+Inputs!$C$11*(AG$5-Inputs!$C$12)/12)</f>
        <v>9051</v>
      </c>
      <c r="AH328" s="42" t="n">
        <f aca="false">$D$324*(1+IF($C$324&lt;=0,0,MAX($C$324*AH$5/12,Inputs!$C$8)))+$I$324*(AH$5&gt;Inputs!$C$12)*$D$324*(1+Inputs!$C$11*(AH$5-Inputs!$C$12)/12)</f>
        <v>9114</v>
      </c>
      <c r="AI328" s="42" t="n">
        <f aca="false">$D$324*(1+IF($C$324&lt;=0,0,MAX($C$324*AI$5/12,Inputs!$C$8)))+$I$324*(AI$5&gt;Inputs!$C$12)*$D$324*(1+Inputs!$C$11*(AI$5-Inputs!$C$12)/12)</f>
        <v>9177</v>
      </c>
      <c r="AJ328" s="42" t="n">
        <f aca="false">$D$324*(1+IF($C$324&lt;=0,0,MAX($C$324*AJ$5/12,Inputs!$C$8)))+$I$324*(AJ$5&gt;Inputs!$C$12)*$D$324*(1+Inputs!$C$11*(AJ$5-Inputs!$C$12)/12)</f>
        <v>9240</v>
      </c>
      <c r="AK328" s="42" t="n">
        <f aca="false">$D$324*(1+IF($C$324&lt;=0,0,MAX($C$324*AK$5/12,Inputs!$C$8)))+$I$324*(AK$5&gt;Inputs!$C$12)*$D$324*(1+Inputs!$C$11*(AK$5-Inputs!$C$12)/12)</f>
        <v>9303</v>
      </c>
      <c r="AL328" s="42" t="n">
        <f aca="false">$D$324*(1+IF($C$324&lt;=0,0,MAX($C$324*AL$5/12,Inputs!$C$8)))+$I$324*(AL$5&gt;Inputs!$C$12)*$D$324*(1+Inputs!$C$11*(AL$5-Inputs!$C$12)/12)</f>
        <v>9366</v>
      </c>
    </row>
    <row r="329" customFormat="false" ht="15" hidden="false" customHeight="false" outlineLevel="0" collapsed="false">
      <c r="B329" s="31" t="s">
        <v>187</v>
      </c>
      <c r="N329" s="42" t="n">
        <f aca="false">-($D$324+$J$324)*(N$5=0)+IF(AND(N$5-$K$324&gt;=1,N$5-$K$324&lt;=Inputs!$C$13),INDEX($N$327:$AL$327,1,N$5-$K$324+1)*INDEX($N$328:$AL$328,1,N$5-$K$324+1),0)-$I$324*((N$5=Inputs!$C$12)*$C$326*$D$324+(N$5=Inputs!$C$13)*$D$326*($D$324+Inputs!$C$14))+$I$324*((N$5=Inputs!$C$15+$K$324)*$E$326*$I$326+(N$5=Inputs!$C$16+$K$324)*$F$326*$J$326+(N$5=Inputs!$C$17)*$G$326*$H$324*$H$326)</f>
        <v>-4210</v>
      </c>
      <c r="O329" s="42" t="n">
        <f aca="false">-($D$324+$J$324)*(O$5=0)+IF(AND(O$5-$K$324&gt;=1,O$5-$K$324&lt;=Inputs!$C$13),INDEX($N$327:$AL$327,1,O$5-$K$324+1)*INDEX($N$328:$AL$328,1,O$5-$K$324+1),0)-$I$324*((O$5=Inputs!$C$12)*$C$326*$D$324+(O$5=Inputs!$C$13)*$D$326*($D$324+Inputs!$C$14))+$I$324*((O$5=Inputs!$C$15+$K$324)*$E$326*$I$326+(O$5=Inputs!$C$16+$K$324)*$F$326*$J$326+(O$5=Inputs!$C$17)*$G$326*$H$324*$H$326)</f>
        <v>521.262</v>
      </c>
      <c r="P329" s="42" t="n">
        <f aca="false">-($D$324+$J$324)*(P$5=0)+IF(AND(P$5-$K$324&gt;=1,P$5-$K$324&lt;=Inputs!$C$13),INDEX($N$327:$AL$327,1,P$5-$K$324+1)*INDEX($N$328:$AL$328,1,P$5-$K$324+1),0)-$I$324*((P$5=Inputs!$C$12)*$C$326*$D$324+(P$5=Inputs!$C$13)*$D$326*($D$324+Inputs!$C$14))+$I$324*((P$5=Inputs!$C$15+$K$324)*$E$326*$I$326+(P$5=Inputs!$C$16+$K$324)*$F$326*$J$326+(P$5=Inputs!$C$17)*$G$326*$H$324*$H$326)</f>
        <v>434.385</v>
      </c>
      <c r="Q329" s="42" t="n">
        <f aca="false">-($D$324+$J$324)*(Q$5=0)+IF(AND(Q$5-$K$324&gt;=1,Q$5-$K$324&lt;=Inputs!$C$13),INDEX($N$327:$AL$327,1,Q$5-$K$324+1)*INDEX($N$328:$AL$328,1,Q$5-$K$324+1),0)-$I$324*((Q$5=Inputs!$C$12)*$C$326*$D$324+(Q$5=Inputs!$C$13)*$D$326*($D$324+Inputs!$C$14))+$I$324*((Q$5=Inputs!$C$15+$K$324)*$E$326*$I$326+(Q$5=Inputs!$C$16+$K$324)*$F$326*$J$326+(Q$5=Inputs!$C$17)*$G$326*$H$324*$H$326)</f>
        <v>390.9465</v>
      </c>
      <c r="R329" s="42" t="n">
        <f aca="false">-($D$324+$J$324)*(R$5=0)+IF(AND(R$5-$K$324&gt;=1,R$5-$K$324&lt;=Inputs!$C$13),INDEX($N$327:$AL$327,1,R$5-$K$324+1)*INDEX($N$328:$AL$328,1,R$5-$K$324+1),0)-$I$324*((R$5=Inputs!$C$12)*$C$326*$D$324+(R$5=Inputs!$C$13)*$D$326*($D$324+Inputs!$C$14))+$I$324*((R$5=Inputs!$C$15+$K$324)*$E$326*$I$326+(R$5=Inputs!$C$16+$K$324)*$F$326*$J$326+(R$5=Inputs!$C$17)*$G$326*$H$324*$H$326)</f>
        <v>304.0695</v>
      </c>
      <c r="S329" s="42" t="n">
        <f aca="false">-($D$324+$J$324)*(S$5=0)+IF(AND(S$5-$K$324&gt;=1,S$5-$K$324&lt;=Inputs!$C$13),INDEX($N$327:$AL$327,1,S$5-$K$324+1)*INDEX($N$328:$AL$328,1,S$5-$K$324+1),0)-$I$324*((S$5=Inputs!$C$12)*$C$326*$D$324+(S$5=Inputs!$C$13)*$D$326*($D$324+Inputs!$C$14))+$I$324*((S$5=Inputs!$C$15+$K$324)*$E$326*$I$326+(S$5=Inputs!$C$16+$K$324)*$F$326*$J$326+(S$5=Inputs!$C$17)*$G$326*$H$324*$H$326)</f>
        <v>304.0695</v>
      </c>
      <c r="T329" s="42" t="n">
        <f aca="false">-($D$324+$J$324)*(T$5=0)+IF(AND(T$5-$K$324&gt;=1,T$5-$K$324&lt;=Inputs!$C$13),INDEX($N$327:$AL$327,1,T$5-$K$324+1)*INDEX($N$328:$AL$328,1,T$5-$K$324+1),0)-$I$324*((T$5=Inputs!$C$12)*$C$326*$D$324+(T$5=Inputs!$C$13)*$D$326*($D$324+Inputs!$C$14))+$I$324*((T$5=Inputs!$C$15+$K$324)*$E$326*$I$326+(T$5=Inputs!$C$16+$K$324)*$F$326*$J$326+(T$5=Inputs!$C$17)*$G$326*$H$324*$H$326)</f>
        <v>304.0695</v>
      </c>
      <c r="U329" s="42" t="n">
        <f aca="false">-($D$324+$J$324)*(U$5=0)+IF(AND(U$5-$K$324&gt;=1,U$5-$K$324&lt;=Inputs!$C$13),INDEX($N$327:$AL$327,1,U$5-$K$324+1)*INDEX($N$328:$AL$328,1,U$5-$K$324+1),0)-$I$324*((U$5=Inputs!$C$12)*$C$326*$D$324+(U$5=Inputs!$C$13)*$D$326*($D$324+Inputs!$C$14))+$I$324*((U$5=Inputs!$C$15+$K$324)*$E$326*$I$326+(U$5=Inputs!$C$16+$K$324)*$F$326*$J$326+(U$5=Inputs!$C$17)*$G$326*$H$324*$H$326)</f>
        <v>188.2335</v>
      </c>
      <c r="V329" s="42" t="n">
        <f aca="false">-($D$324+$J$324)*(V$5=0)+IF(AND(V$5-$K$324&gt;=1,V$5-$K$324&lt;=Inputs!$C$13),INDEX($N$327:$AL$327,1,V$5-$K$324+1)*INDEX($N$328:$AL$328,1,V$5-$K$324+1),0)-$I$324*((V$5=Inputs!$C$12)*$C$326*$D$324+(V$5=Inputs!$C$13)*$D$326*($D$324+Inputs!$C$14))+$I$324*((V$5=Inputs!$C$15+$K$324)*$E$326*$I$326+(V$5=Inputs!$C$16+$K$324)*$F$326*$J$326+(V$5=Inputs!$C$17)*$G$326*$H$324*$H$326)</f>
        <v>188.2335</v>
      </c>
      <c r="W329" s="42" t="n">
        <f aca="false">-($D$324+$J$324)*(W$5=0)+IF(AND(W$5-$K$324&gt;=1,W$5-$K$324&lt;=Inputs!$C$13),INDEX($N$327:$AL$327,1,W$5-$K$324+1)*INDEX($N$328:$AL$328,1,W$5-$K$324+1),0)-$I$324*((W$5=Inputs!$C$12)*$C$326*$D$324+(W$5=Inputs!$C$13)*$D$326*($D$324+Inputs!$C$14))+$I$324*((W$5=Inputs!$C$15+$K$324)*$E$326*$I$326+(W$5=Inputs!$C$16+$K$324)*$F$326*$J$326+(W$5=Inputs!$C$17)*$G$326*$H$324*$H$326)</f>
        <v>188.2335</v>
      </c>
      <c r="X329" s="42" t="n">
        <f aca="false">-($D$324+$J$324)*(X$5=0)+IF(AND(X$5-$K$324&gt;=1,X$5-$K$324&lt;=Inputs!$C$13),INDEX($N$327:$AL$327,1,X$5-$K$324+1)*INDEX($N$328:$AL$328,1,X$5-$K$324+1),0)-$I$324*((X$5=Inputs!$C$12)*$C$326*$D$324+(X$5=Inputs!$C$13)*$D$326*($D$324+Inputs!$C$14))+$I$324*((X$5=Inputs!$C$15+$K$324)*$E$326*$I$326+(X$5=Inputs!$C$16+$K$324)*$F$326*$J$326+(X$5=Inputs!$C$17)*$G$326*$H$324*$H$326)</f>
        <v>159.2745</v>
      </c>
      <c r="Y329" s="42" t="n">
        <f aca="false">-($D$324+$J$324)*(Y$5=0)+IF(AND(Y$5-$K$324&gt;=1,Y$5-$K$324&lt;=Inputs!$C$13),INDEX($N$327:$AL$327,1,Y$5-$K$324+1)*INDEX($N$328:$AL$328,1,Y$5-$K$324+1),0)-$I$324*((Y$5=Inputs!$C$12)*$C$326*$D$324+(Y$5=Inputs!$C$13)*$D$326*($D$324+Inputs!$C$14))+$I$324*((Y$5=Inputs!$C$15+$K$324)*$E$326*$I$326+(Y$5=Inputs!$C$16+$K$324)*$F$326*$J$326+(Y$5=Inputs!$C$17)*$G$326*$H$324*$H$326)</f>
        <v>159.2745</v>
      </c>
      <c r="Z329" s="42" t="n">
        <f aca="false">-($D$324+$J$324)*(Z$5=0)+IF(AND(Z$5-$K$324&gt;=1,Z$5-$K$324&lt;=Inputs!$C$13),INDEX($N$327:$AL$327,1,Z$5-$K$324+1)*INDEX($N$328:$AL$328,1,Z$5-$K$324+1),0)-$I$324*((Z$5=Inputs!$C$12)*$C$326*$D$324+(Z$5=Inputs!$C$13)*$D$326*($D$324+Inputs!$C$14))+$I$324*((Z$5=Inputs!$C$15+$K$324)*$E$326*$I$326+(Z$5=Inputs!$C$16+$K$324)*$F$326*$J$326+(Z$5=Inputs!$C$17)*$G$326*$H$324*$H$326)</f>
        <v>-896.6055</v>
      </c>
      <c r="AA329" s="42" t="n">
        <f aca="false">-($D$324+$J$324)*(AA$5=0)+IF(AND(AA$5-$K$324&gt;=1,AA$5-$K$324&lt;=Inputs!$C$13),INDEX($N$327:$AL$327,1,AA$5-$K$324+1)*INDEX($N$328:$AL$328,1,AA$5-$K$324+1),0)-$I$324*((AA$5=Inputs!$C$12)*$C$326*$D$324+(AA$5=Inputs!$C$13)*$D$326*($D$324+Inputs!$C$14))+$I$324*((AA$5=Inputs!$C$15+$K$324)*$E$326*$I$326+(AA$5=Inputs!$C$16+$K$324)*$F$326*$J$326+(AA$5=Inputs!$C$17)*$G$326*$H$324*$H$326)</f>
        <v>199.33445</v>
      </c>
      <c r="AB329" s="42" t="n">
        <f aca="false">-($D$324+$J$324)*(AB$5=0)+IF(AND(AB$5-$K$324&gt;=1,AB$5-$K$324&lt;=Inputs!$C$13),INDEX($N$327:$AL$327,1,AB$5-$K$324+1)*INDEX($N$328:$AL$328,1,AB$5-$K$324+1),0)-$I$324*((AB$5=Inputs!$C$12)*$C$326*$D$324+(AB$5=Inputs!$C$13)*$D$326*($D$324+Inputs!$C$14))+$I$324*((AB$5=Inputs!$C$15+$K$324)*$E$326*$I$326+(AB$5=Inputs!$C$16+$K$324)*$F$326*$J$326+(AB$5=Inputs!$C$17)*$G$326*$H$324*$H$326)</f>
        <v>200.7824</v>
      </c>
      <c r="AC329" s="42" t="n">
        <f aca="false">-($D$324+$J$324)*(AC$5=0)+IF(AND(AC$5-$K$324&gt;=1,AC$5-$K$324&lt;=Inputs!$C$13),INDEX($N$327:$AL$327,1,AC$5-$K$324+1)*INDEX($N$328:$AL$328,1,AC$5-$K$324+1),0)-$I$324*((AC$5=Inputs!$C$12)*$C$326*$D$324+(AC$5=Inputs!$C$13)*$D$326*($D$324+Inputs!$C$14))+$I$324*((AC$5=Inputs!$C$15+$K$324)*$E$326*$I$326+(AC$5=Inputs!$C$16+$K$324)*$F$326*$J$326+(AC$5=Inputs!$C$17)*$G$326*$H$324*$H$326)</f>
        <v>202.230350000001</v>
      </c>
      <c r="AD329" s="42" t="n">
        <f aca="false">-($D$324+$J$324)*(AD$5=0)+IF(AND(AD$5-$K$324&gt;=1,AD$5-$K$324&lt;=Inputs!$C$13),INDEX($N$327:$AL$327,1,AD$5-$K$324+1)*INDEX($N$328:$AL$328,1,AD$5-$K$324+1),0)-$I$324*((AD$5=Inputs!$C$12)*$C$326*$D$324+(AD$5=Inputs!$C$13)*$D$326*($D$324+Inputs!$C$14))+$I$324*((AD$5=Inputs!$C$15+$K$324)*$E$326*$I$326+(AD$5=Inputs!$C$16+$K$324)*$F$326*$J$326+(AD$5=Inputs!$C$17)*$G$326*$H$324*$H$326)</f>
        <v>203.6783</v>
      </c>
      <c r="AE329" s="42" t="n">
        <f aca="false">-($D$324+$J$324)*(AE$5=0)+IF(AND(AE$5-$K$324&gt;=1,AE$5-$K$324&lt;=Inputs!$C$13),INDEX($N$327:$AL$327,1,AE$5-$K$324+1)*INDEX($N$328:$AL$328,1,AE$5-$K$324+1),0)-$I$324*((AE$5=Inputs!$C$12)*$C$326*$D$324+(AE$5=Inputs!$C$13)*$D$326*($D$324+Inputs!$C$14))+$I$324*((AE$5=Inputs!$C$15+$K$324)*$E$326*$I$326+(AE$5=Inputs!$C$16+$K$324)*$F$326*$J$326+(AE$5=Inputs!$C$17)*$G$326*$H$324*$H$326)</f>
        <v>205.12625</v>
      </c>
      <c r="AF329" s="42" t="n">
        <f aca="false">-($D$324+$J$324)*(AF$5=0)+IF(AND(AF$5-$K$324&gt;=1,AF$5-$K$324&lt;=Inputs!$C$13),INDEX($N$327:$AL$327,1,AF$5-$K$324+1)*INDEX($N$328:$AL$328,1,AF$5-$K$324+1),0)-$I$324*((AF$5=Inputs!$C$12)*$C$326*$D$324+(AF$5=Inputs!$C$13)*$D$326*($D$324+Inputs!$C$14))+$I$324*((AF$5=Inputs!$C$15+$K$324)*$E$326*$I$326+(AF$5=Inputs!$C$16+$K$324)*$F$326*$J$326+(AF$5=Inputs!$C$17)*$G$326*$H$324*$H$326)</f>
        <v>206.5742</v>
      </c>
      <c r="AG329" s="42" t="n">
        <f aca="false">-($D$324+$J$324)*(AG$5=0)+IF(AND(AG$5-$K$324&gt;=1,AG$5-$K$324&lt;=Inputs!$C$13),INDEX($N$327:$AL$327,1,AG$5-$K$324+1)*INDEX($N$328:$AL$328,1,AG$5-$K$324+1),0)-$I$324*((AG$5=Inputs!$C$12)*$C$326*$D$324+(AG$5=Inputs!$C$13)*$D$326*($D$324+Inputs!$C$14))+$I$324*((AG$5=Inputs!$C$15+$K$324)*$E$326*$I$326+(AG$5=Inputs!$C$16+$K$324)*$F$326*$J$326+(AG$5=Inputs!$C$17)*$G$326*$H$324*$H$326)</f>
        <v>148.58725</v>
      </c>
      <c r="AH329" s="42" t="n">
        <f aca="false">-($D$324+$J$324)*(AH$5=0)+IF(AND(AH$5-$K$324&gt;=1,AH$5-$K$324&lt;=Inputs!$C$13),INDEX($N$327:$AL$327,1,AH$5-$K$324+1)*INDEX($N$328:$AL$328,1,AH$5-$K$324+1),0)-$I$324*((AH$5=Inputs!$C$12)*$C$326*$D$324+(AH$5=Inputs!$C$13)*$D$326*($D$324+Inputs!$C$14))+$I$324*((AH$5=Inputs!$C$15+$K$324)*$E$326*$I$326+(AH$5=Inputs!$C$16+$K$324)*$F$326*$J$326+(AH$5=Inputs!$C$17)*$G$326*$H$324*$H$326)</f>
        <v>149.621499999999</v>
      </c>
      <c r="AI329" s="42" t="n">
        <f aca="false">-($D$324+$J$324)*(AI$5=0)+IF(AND(AI$5-$K$324&gt;=1,AI$5-$K$324&lt;=Inputs!$C$13),INDEX($N$327:$AL$327,1,AI$5-$K$324+1)*INDEX($N$328:$AL$328,1,AI$5-$K$324+1),0)-$I$324*((AI$5=Inputs!$C$12)*$C$326*$D$324+(AI$5=Inputs!$C$13)*$D$326*($D$324+Inputs!$C$14))+$I$324*((AI$5=Inputs!$C$15+$K$324)*$E$326*$I$326+(AI$5=Inputs!$C$16+$K$324)*$F$326*$J$326+(AI$5=Inputs!$C$17)*$G$326*$H$324*$H$326)</f>
        <v>150.655749999999</v>
      </c>
      <c r="AJ329" s="42" t="n">
        <f aca="false">-($D$324+$J$324)*(AJ$5=0)+IF(AND(AJ$5-$K$324&gt;=1,AJ$5-$K$324&lt;=Inputs!$C$13),INDEX($N$327:$AL$327,1,AJ$5-$K$324+1)*INDEX($N$328:$AL$328,1,AJ$5-$K$324+1),0)-$I$324*((AJ$5=Inputs!$C$12)*$C$326*$D$324+(AJ$5=Inputs!$C$13)*$D$326*($D$324+Inputs!$C$14))+$I$324*((AJ$5=Inputs!$C$15+$K$324)*$E$326*$I$326+(AJ$5=Inputs!$C$16+$K$324)*$F$326*$J$326+(AJ$5=Inputs!$C$17)*$G$326*$H$324*$H$326)</f>
        <v>151.69</v>
      </c>
      <c r="AK329" s="42" t="n">
        <f aca="false">-($D$324+$J$324)*(AK$5=0)+IF(AND(AK$5-$K$324&gt;=1,AK$5-$K$324&lt;=Inputs!$C$13),INDEX($N$327:$AL$327,1,AK$5-$K$324+1)*INDEX($N$328:$AL$328,1,AK$5-$K$324+1),0)-$I$324*((AK$5=Inputs!$C$12)*$C$326*$D$324+(AK$5=Inputs!$C$13)*$D$326*($D$324+Inputs!$C$14))+$I$324*((AK$5=Inputs!$C$15+$K$324)*$E$326*$I$326+(AK$5=Inputs!$C$16+$K$324)*$F$326*$J$326+(AK$5=Inputs!$C$17)*$G$326*$H$324*$H$326)</f>
        <v>152.72425</v>
      </c>
      <c r="AL329" s="42" t="n">
        <f aca="false">-($D$324+$J$324)*(AL$5=0)+IF(AND(AL$5-$K$324&gt;=1,AL$5-$K$324&lt;=Inputs!$C$13),INDEX($N$327:$AL$327,1,AL$5-$K$324+1)*INDEX($N$328:$AL$328,1,AL$5-$K$324+1),0)-$I$324*((AL$5=Inputs!$C$12)*$C$326*$D$324+(AL$5=Inputs!$C$13)*$D$326*($D$324+Inputs!$C$14))+$I$324*((AL$5=Inputs!$C$15+$K$324)*$E$326*$I$326+(AL$5=Inputs!$C$16+$K$324)*$F$326*$J$326+(AL$5=Inputs!$C$17)*$G$326*$H$324*$H$326)</f>
        <v>63.7584999999993</v>
      </c>
      <c r="AM329" s="42" t="n">
        <f aca="false">-($D$324+$J$324)*(AM$5=0)+IF(AND(AM$5-$K$324&gt;=1,AM$5-$K$324&lt;=Inputs!$C$13),INDEX($N$327:$AL$327,1,AM$5-$K$324+1)*INDEX($N$328:$AL$328,1,AM$5-$K$324+1),0)-$I$324*((AM$5=Inputs!$C$12)*$C$326*$D$324+(AM$5=Inputs!$C$13)*$D$326*($D$324+Inputs!$C$14))+$I$324*((AM$5=Inputs!$C$15+$K$324)*$E$326*$I$326+(AM$5=Inputs!$C$16+$K$324)*$F$326*$J$326+(AM$5=Inputs!$C$17)*$G$326*$H$324*$H$326)</f>
        <v>0</v>
      </c>
      <c r="AN329" s="42" t="n">
        <f aca="false">-($D$324+$J$324)*(AN$5=0)+IF(AND(AN$5-$K$324&gt;=1,AN$5-$K$324&lt;=Inputs!$C$13),INDEX($N$327:$AL$327,1,AN$5-$K$324+1)*INDEX($N$328:$AL$328,1,AN$5-$K$324+1),0)-$I$324*((AN$5=Inputs!$C$12)*$C$326*$D$324+(AN$5=Inputs!$C$13)*$D$326*($D$324+Inputs!$C$14))+$I$324*((AN$5=Inputs!$C$15+$K$324)*$E$326*$I$326+(AN$5=Inputs!$C$16+$K$324)*$F$326*$J$326+(AN$5=Inputs!$C$17)*$G$326*$H$324*$H$326)</f>
        <v>0</v>
      </c>
      <c r="AO329" s="42" t="n">
        <f aca="false">-($D$324+$J$324)*(AO$5=0)+IF(AND(AO$5-$K$324&gt;=1,AO$5-$K$324&lt;=Inputs!$C$13),INDEX($N$327:$AL$327,1,AO$5-$K$324+1)*INDEX($N$328:$AL$328,1,AO$5-$K$324+1),0)-$I$324*((AO$5=Inputs!$C$12)*$C$326*$D$324+(AO$5=Inputs!$C$13)*$D$326*($D$324+Inputs!$C$14))+$I$324*((AO$5=Inputs!$C$15+$K$324)*$E$326*$I$326+(AO$5=Inputs!$C$16+$K$324)*$F$326*$J$326+(AO$5=Inputs!$C$17)*$G$326*$H$324*$H$326)</f>
        <v>188.928</v>
      </c>
      <c r="AP329" s="42" t="n">
        <f aca="false">-($D$324+$J$324)*(AP$5=0)+IF(AND(AP$5-$K$324&gt;=1,AP$5-$K$324&lt;=Inputs!$C$13),INDEX($N$327:$AL$327,1,AP$5-$K$324+1)*INDEX($N$328:$AL$328,1,AP$5-$K$324+1),0)-$I$324*((AP$5=Inputs!$C$12)*$C$326*$D$324+(AP$5=Inputs!$C$13)*$D$326*($D$324+Inputs!$C$14))+$I$324*((AP$5=Inputs!$C$15+$K$324)*$E$326*$I$326+(AP$5=Inputs!$C$16+$K$324)*$F$326*$J$326+(AP$5=Inputs!$C$17)*$G$326*$H$324*$H$326)</f>
        <v>0</v>
      </c>
      <c r="AQ329" s="42" t="n">
        <f aca="false">-($D$324+$J$324)*(AQ$5=0)+IF(AND(AQ$5-$K$324&gt;=1,AQ$5-$K$324&lt;=Inputs!$C$13),INDEX($N$327:$AL$327,1,AQ$5-$K$324+1)*INDEX($N$328:$AL$328,1,AQ$5-$K$324+1),0)-$I$324*((AQ$5=Inputs!$C$12)*$C$326*$D$324+(AQ$5=Inputs!$C$13)*$D$326*($D$324+Inputs!$C$14))+$I$324*((AQ$5=Inputs!$C$15+$K$324)*$E$326*$I$326+(AQ$5=Inputs!$C$16+$K$324)*$F$326*$J$326+(AQ$5=Inputs!$C$17)*$G$326*$H$324*$H$326)</f>
        <v>0</v>
      </c>
      <c r="AR329" s="42" t="n">
        <f aca="false">-($D$324+$J$324)*(AR$5=0)+IF(AND(AR$5-$K$324&gt;=1,AR$5-$K$324&lt;=Inputs!$C$13),INDEX($N$327:$AL$327,1,AR$5-$K$324+1)*INDEX($N$328:$AL$328,1,AR$5-$K$324+1),0)-$I$324*((AR$5=Inputs!$C$12)*$C$326*$D$324+(AR$5=Inputs!$C$13)*$D$326*($D$324+Inputs!$C$14))+$I$324*((AR$5=Inputs!$C$15+$K$324)*$E$326*$I$326+(AR$5=Inputs!$C$16+$K$324)*$F$326*$J$326+(AR$5=Inputs!$C$17)*$G$326*$H$324*$H$326)</f>
        <v>45.9477</v>
      </c>
      <c r="AS329" s="42" t="n">
        <f aca="false">-($D$324+$J$324)*(AS$5=0)+IF(AND(AS$5-$K$324&gt;=1,AS$5-$K$324&lt;=Inputs!$C$13),INDEX($N$327:$AL$327,1,AS$5-$K$324+1)*INDEX($N$328:$AL$328,1,AS$5-$K$324+1),0)-$I$324*((AS$5=Inputs!$C$12)*$C$326*$D$324+(AS$5=Inputs!$C$13)*$D$326*($D$324+Inputs!$C$14))+$I$324*((AS$5=Inputs!$C$15+$K$324)*$E$326*$I$326+(AS$5=Inputs!$C$16+$K$324)*$F$326*$J$326+(AS$5=Inputs!$C$17)*$G$326*$H$324*$H$326)</f>
        <v>0</v>
      </c>
      <c r="AT329" s="42" t="n">
        <f aca="false">-($D$324+$J$324)*(AT$5=0)+IF(AND(AT$5-$K$324&gt;=1,AT$5-$K$324&lt;=Inputs!$C$13),INDEX($N$327:$AL$327,1,AT$5-$K$324+1)*INDEX($N$328:$AL$328,1,AT$5-$K$324+1),0)-$I$324*((AT$5=Inputs!$C$12)*$C$326*$D$324+(AT$5=Inputs!$C$13)*$D$326*($D$324+Inputs!$C$14))+$I$324*((AT$5=Inputs!$C$15+$K$324)*$E$326*$I$326+(AT$5=Inputs!$C$16+$K$324)*$F$326*$J$326+(AT$5=Inputs!$C$17)*$G$326*$H$324*$H$326)</f>
        <v>0</v>
      </c>
      <c r="AU329" s="42" t="n">
        <f aca="false">-($D$324+$J$324)*(AU$5=0)+IF(AND(AU$5-$K$324&gt;=1,AU$5-$K$324&lt;=Inputs!$C$13),INDEX($N$327:$AL$327,1,AU$5-$K$324+1)*INDEX($N$328:$AL$328,1,AU$5-$K$324+1),0)-$I$324*((AU$5=Inputs!$C$12)*$C$326*$D$324+(AU$5=Inputs!$C$13)*$D$326*($D$324+Inputs!$C$14))+$I$324*((AU$5=Inputs!$C$15+$K$324)*$E$326*$I$326+(AU$5=Inputs!$C$16+$K$324)*$F$326*$J$326+(AU$5=Inputs!$C$17)*$G$326*$H$324*$H$326)</f>
        <v>0</v>
      </c>
      <c r="AV329" s="42" t="n">
        <f aca="false">-($D$324+$J$324)*(AV$5=0)+IF(AND(AV$5-$K$324&gt;=1,AV$5-$K$324&lt;=Inputs!$C$13),INDEX($N$327:$AL$327,1,AV$5-$K$324+1)*INDEX($N$328:$AL$328,1,AV$5-$K$324+1),0)-$I$324*((AV$5=Inputs!$C$12)*$C$326*$D$324+(AV$5=Inputs!$C$13)*$D$326*($D$324+Inputs!$C$14))+$I$324*((AV$5=Inputs!$C$15+$K$324)*$E$326*$I$326+(AV$5=Inputs!$C$16+$K$324)*$F$326*$J$326+(AV$5=Inputs!$C$17)*$G$326*$H$324*$H$326)</f>
        <v>0</v>
      </c>
      <c r="AW329" s="42" t="n">
        <f aca="false">-($D$324+$J$324)*(AW$5=0)+IF(AND(AW$5-$K$324&gt;=1,AW$5-$K$324&lt;=Inputs!$C$13),INDEX($N$327:$AL$327,1,AW$5-$K$324+1)*INDEX($N$328:$AL$328,1,AW$5-$K$324+1),0)-$I$324*((AW$5=Inputs!$C$12)*$C$326*$D$324+(AW$5=Inputs!$C$13)*$D$326*($D$324+Inputs!$C$14))+$I$324*((AW$5=Inputs!$C$15+$K$324)*$E$326*$I$326+(AW$5=Inputs!$C$16+$K$324)*$F$326*$J$326+(AW$5=Inputs!$C$17)*$G$326*$H$324*$H$326)</f>
        <v>0</v>
      </c>
      <c r="AX329" s="42" t="n">
        <f aca="false">-($D$324+$J$324)*(AX$5=0)+IF(AND(AX$5-$K$324&gt;=1,AX$5-$K$324&lt;=Inputs!$C$13),INDEX($N$327:$AL$327,1,AX$5-$K$324+1)*INDEX($N$328:$AL$328,1,AX$5-$K$324+1),0)-$I$324*((AX$5=Inputs!$C$12)*$C$326*$D$324+(AX$5=Inputs!$C$13)*$D$326*($D$324+Inputs!$C$14))+$I$324*((AX$5=Inputs!$C$15+$K$324)*$E$326*$I$326+(AX$5=Inputs!$C$16+$K$324)*$F$326*$J$326+(AX$5=Inputs!$C$17)*$G$326*$H$324*$H$326)</f>
        <v>1.94400000000001</v>
      </c>
      <c r="AY329" s="42" t="n">
        <f aca="false">-($D$324+$J$324)*(AY$5=0)+IF(AND(AY$5-$K$324&gt;=1,AY$5-$K$324&lt;=Inputs!$C$13),INDEX($N$327:$AL$327,1,AY$5-$K$324+1)*INDEX($N$328:$AL$328,1,AY$5-$K$324+1),0)-$I$324*((AY$5=Inputs!$C$12)*$C$326*$D$324+(AY$5=Inputs!$C$13)*$D$326*($D$324+Inputs!$C$14))+$I$324*((AY$5=Inputs!$C$15+$K$324)*$E$326*$I$326+(AY$5=Inputs!$C$16+$K$324)*$F$326*$J$326+(AY$5=Inputs!$C$17)*$G$326*$H$324*$H$326)</f>
        <v>0</v>
      </c>
    </row>
    <row r="331" customFormat="false" ht="15" hidden="false" customHeight="false" outlineLevel="0" collapsed="false">
      <c r="B331" s="7" t="s">
        <v>277</v>
      </c>
      <c r="C331" s="8"/>
      <c r="D331" s="8"/>
      <c r="E331" s="8"/>
      <c r="F331" s="8"/>
      <c r="G331" s="8"/>
      <c r="H331" s="8"/>
      <c r="I331" s="8"/>
      <c r="J331" s="8"/>
      <c r="K331" s="8"/>
      <c r="L331" s="8"/>
    </row>
    <row r="332" customFormat="false" ht="30" hidden="false" customHeight="true" outlineLevel="0" collapsed="false">
      <c r="B332" s="37"/>
      <c r="C332" s="38" t="s">
        <v>169</v>
      </c>
      <c r="D332" s="38" t="s">
        <v>170</v>
      </c>
      <c r="E332" s="38" t="s">
        <v>171</v>
      </c>
      <c r="F332" s="38" t="s">
        <v>43</v>
      </c>
      <c r="G332" s="38" t="s">
        <v>44</v>
      </c>
      <c r="H332" s="38" t="s">
        <v>45</v>
      </c>
      <c r="I332" s="38" t="s">
        <v>172</v>
      </c>
      <c r="J332" s="38" t="s">
        <v>90</v>
      </c>
      <c r="K332" s="38" t="s">
        <v>89</v>
      </c>
      <c r="L332" s="38" t="s">
        <v>173</v>
      </c>
    </row>
    <row r="333" customFormat="false" ht="15" hidden="false" customHeight="false" outlineLevel="0" collapsed="false">
      <c r="B333" s="39" t="s">
        <v>174</v>
      </c>
      <c r="C333" s="26" t="n">
        <f aca="false">Inputs!$F$40*Inputs!$E$62</f>
        <v>0.07</v>
      </c>
      <c r="D333" s="30" t="n">
        <f aca="false">Inputs!$E$40</f>
        <v>3600</v>
      </c>
      <c r="E333" s="26" t="n">
        <f aca="false">IF(Inputs!$G$40=1,Inputs!$F$27,MIN(1,MAX(0,INDEX(Inputs!$F$23:$F$27,MATCH(Inputs!$C$40,Inputs!$B$23:$B$27,0))+INDEX(Inputs!$C$48:$C$51,MATCH(Inputs!$D$62,Inputs!$B$48:$B$51,0)))))</f>
        <v>0.93</v>
      </c>
      <c r="F333" s="25" t="n">
        <f aca="false">IF(Inputs!$G$40=1,Inputs!$G$27,INDEX(Inputs!$G$23:$G$27,MATCH(Inputs!$C$40,Inputs!$B$23:$B$27,0)))</f>
        <v>0.6</v>
      </c>
      <c r="G333" s="25" t="n">
        <f aca="false">IF(Inputs!$G$40=1,Inputs!$H$27,INDEX(Inputs!$H$23:$H$27,MATCH(Inputs!$C$40,Inputs!$B$23:$B$27,0)))*INDEX(Inputs!$D$48:$D$51,MATCH(Inputs!$D$62,Inputs!$B$48:$B$51,0))</f>
        <v>0.85</v>
      </c>
      <c r="H333" s="25" t="n">
        <f aca="false">MAX(0,IF(Inputs!$G$40=1,Inputs!$I$27,INDEX(Inputs!$I$23:$I$27,MATCH(Inputs!$C$40,Inputs!$B$23:$B$27,0)))+INDEX(Inputs!$E$48:$E$51,MATCH(Inputs!$D$62,Inputs!$B$48:$B$51,0)))</f>
        <v>0.9</v>
      </c>
      <c r="I333" s="22" t="n">
        <f aca="false">IF(Inputs!$G$40=1,0,INDEX(Inputs!$J$23:$J$27,MATCH(Inputs!$C$40,Inputs!$B$23:$B$27,0)))</f>
        <v>1</v>
      </c>
      <c r="J333" s="23" t="n">
        <f aca="false">Inputs!$G$62</f>
        <v>10</v>
      </c>
      <c r="K333" s="22" t="n">
        <f aca="false">Inputs!$F$62</f>
        <v>0</v>
      </c>
      <c r="L333" s="22" t="n">
        <f aca="false">Inputs!$C$62</f>
        <v>1</v>
      </c>
    </row>
    <row r="334" customFormat="false" ht="30" hidden="false" customHeight="true" outlineLevel="0" collapsed="false">
      <c r="B334" s="37"/>
      <c r="C334" s="38" t="s">
        <v>175</v>
      </c>
      <c r="D334" s="38" t="s">
        <v>176</v>
      </c>
      <c r="E334" s="38" t="s">
        <v>177</v>
      </c>
      <c r="F334" s="38" t="s">
        <v>178</v>
      </c>
      <c r="G334" s="38" t="s">
        <v>112</v>
      </c>
      <c r="H334" s="38" t="s">
        <v>179</v>
      </c>
      <c r="I334" s="38" t="s">
        <v>180</v>
      </c>
      <c r="J334" s="38" t="s">
        <v>181</v>
      </c>
      <c r="K334" s="38" t="s">
        <v>182</v>
      </c>
      <c r="L334" s="38" t="s">
        <v>183</v>
      </c>
    </row>
    <row r="335" customFormat="false" ht="15" hidden="false" customHeight="false" outlineLevel="0" collapsed="false">
      <c r="B335" s="39" t="s">
        <v>184</v>
      </c>
      <c r="C335" s="40" t="n">
        <f aca="false">1-$E$333*CHOOSE($L$333,INDEX(Timing!$C$7:$AA$7,1,Inputs!$C$12+1),INDEX(Timing!$C$8:$AA$8,1,Inputs!$C$12+1))</f>
        <v>0.2932</v>
      </c>
      <c r="D335" s="40" t="n">
        <f aca="false">1-$E$333*CHOOSE($L$333,INDEX(Timing!$C$7:$AA$7,1,Inputs!$C$13+1),INDEX(Timing!$C$8:$AA$8,1,Inputs!$C$13+1))</f>
        <v>0.07</v>
      </c>
      <c r="E335" s="40" t="n">
        <f aca="false">$I$333*$D$335*$F$333</f>
        <v>0.042</v>
      </c>
      <c r="F335" s="40" t="n">
        <f aca="false">$I$333*($D$335-$E$335)*$G$333</f>
        <v>0.0238</v>
      </c>
      <c r="G335" s="40" t="n">
        <f aca="false">$I$333*($D$335-$E$335-$F$335)</f>
        <v>0.0042</v>
      </c>
      <c r="H335" s="23" t="n">
        <f aca="false">$I$333*(3*$D$333+Inputs!$C$14)</f>
        <v>12600</v>
      </c>
      <c r="I335" s="23" t="n">
        <f aca="false">$I$333*($D$333*(1+IF($C$333&lt;=0,0,MAX($C$333*Inputs!$C$15/12,Inputs!$C$8)))+$D$333*(1+Inputs!$C$11*(Inputs!$C$15-Inputs!$C$12)/12)+$D$333*(1+Inputs!$C$11*(Inputs!$C$15-Inputs!$C$13)/12)+Inputs!$C$14)</f>
        <v>14139</v>
      </c>
      <c r="J335" s="23" t="n">
        <f aca="false">$I$333*($D$333*(1+IF($C$333&lt;=0,0,MAX($C$333*Inputs!$C$16/12,Inputs!$C$8)))+$D$333*(1+Inputs!$C$11*(Inputs!$C$16-Inputs!$C$12)/12)+$D$333*(1+Inputs!$C$11*(Inputs!$C$16-Inputs!$C$13)/12)+Inputs!$C$14)</f>
        <v>14526</v>
      </c>
      <c r="K335" s="40" t="n">
        <f aca="false">IRR($N$338:$AY$338,0.005)</f>
        <v>0.00808323237610842</v>
      </c>
      <c r="L335" s="41" t="n">
        <f aca="false">(1+$K$335)^12-1</f>
        <v>0.101429472380079</v>
      </c>
    </row>
    <row r="336" customFormat="false" ht="15" hidden="false" customHeight="false" outlineLevel="0" collapsed="false">
      <c r="B336" s="9" t="s">
        <v>185</v>
      </c>
      <c r="N336" s="40" t="n">
        <f aca="false">0</f>
        <v>0</v>
      </c>
      <c r="O336" s="40" t="n">
        <f aca="false">$E$333*(CHOOSE($L$333,Timing!D$7,Timing!D$8)-CHOOSE($L$333,Timing!C$7,Timing!C$8))</f>
        <v>0.1116</v>
      </c>
      <c r="P336" s="40" t="n">
        <f aca="false">$E$333*(CHOOSE($L$333,Timing!E$7,Timing!E$8)-CHOOSE($L$333,Timing!D$7,Timing!D$8))</f>
        <v>0.093</v>
      </c>
      <c r="Q336" s="40" t="n">
        <f aca="false">$E$333*(CHOOSE($L$333,Timing!F$7,Timing!F$8)-CHOOSE($L$333,Timing!E$7,Timing!E$8))</f>
        <v>0.0837</v>
      </c>
      <c r="R336" s="40" t="n">
        <f aca="false">$E$333*(CHOOSE($L$333,Timing!G$7,Timing!G$8)-CHOOSE($L$333,Timing!F$7,Timing!F$8))</f>
        <v>0.0651</v>
      </c>
      <c r="S336" s="40" t="n">
        <f aca="false">$E$333*(CHOOSE($L$333,Timing!H$7,Timing!H$8)-CHOOSE($L$333,Timing!G$7,Timing!G$8))</f>
        <v>0.0651</v>
      </c>
      <c r="T336" s="40" t="n">
        <f aca="false">$E$333*(CHOOSE($L$333,Timing!I$7,Timing!I$8)-CHOOSE($L$333,Timing!H$7,Timing!H$8))</f>
        <v>0.0651</v>
      </c>
      <c r="U336" s="40" t="n">
        <f aca="false">$E$333*(CHOOSE($L$333,Timing!J$7,Timing!J$8)-CHOOSE($L$333,Timing!I$7,Timing!I$8))</f>
        <v>0.0403</v>
      </c>
      <c r="V336" s="40" t="n">
        <f aca="false">$E$333*(CHOOSE($L$333,Timing!K$7,Timing!K$8)-CHOOSE($L$333,Timing!J$7,Timing!J$8))</f>
        <v>0.0403</v>
      </c>
      <c r="W336" s="40" t="n">
        <f aca="false">$E$333*(CHOOSE($L$333,Timing!L$7,Timing!L$8)-CHOOSE($L$333,Timing!K$7,Timing!K$8))</f>
        <v>0.0403</v>
      </c>
      <c r="X336" s="40" t="n">
        <f aca="false">$E$333*(CHOOSE($L$333,Timing!M$7,Timing!M$8)-CHOOSE($L$333,Timing!L$7,Timing!L$8))</f>
        <v>0.0341</v>
      </c>
      <c r="Y336" s="40" t="n">
        <f aca="false">$E$333*(CHOOSE($L$333,Timing!N$7,Timing!N$8)-CHOOSE($L$333,Timing!M$7,Timing!M$8))</f>
        <v>0.0341000000000001</v>
      </c>
      <c r="Z336" s="40" t="n">
        <f aca="false">$E$333*(CHOOSE($L$333,Timing!O$7,Timing!O$8)-CHOOSE($L$333,Timing!N$7,Timing!N$8))</f>
        <v>0.0341</v>
      </c>
      <c r="AA336" s="40" t="n">
        <f aca="false">$E$333*(CHOOSE($L$333,Timing!P$7,Timing!P$8)-CHOOSE($L$333,Timing!O$7,Timing!O$8))</f>
        <v>0.0217</v>
      </c>
      <c r="AB336" s="40" t="n">
        <f aca="false">$E$333*(CHOOSE($L$333,Timing!Q$7,Timing!Q$8)-CHOOSE($L$333,Timing!P$7,Timing!P$8))</f>
        <v>0.0217</v>
      </c>
      <c r="AC336" s="40" t="n">
        <f aca="false">$E$333*(CHOOSE($L$333,Timing!R$7,Timing!R$8)-CHOOSE($L$333,Timing!Q$7,Timing!Q$8))</f>
        <v>0.0217000000000001</v>
      </c>
      <c r="AD336" s="40" t="n">
        <f aca="false">$E$333*(CHOOSE($L$333,Timing!S$7,Timing!S$8)-CHOOSE($L$333,Timing!R$7,Timing!R$8))</f>
        <v>0.0217</v>
      </c>
      <c r="AE336" s="40" t="n">
        <f aca="false">$E$333*(CHOOSE($L$333,Timing!T$7,Timing!T$8)-CHOOSE($L$333,Timing!S$7,Timing!S$8))</f>
        <v>0.0217</v>
      </c>
      <c r="AF336" s="40" t="n">
        <f aca="false">$E$333*(CHOOSE($L$333,Timing!U$7,Timing!U$8)-CHOOSE($L$333,Timing!T$7,Timing!T$8))</f>
        <v>0.0217</v>
      </c>
      <c r="AG336" s="40" t="n">
        <f aca="false">$E$333*(CHOOSE($L$333,Timing!V$7,Timing!V$8)-CHOOSE($L$333,Timing!U$7,Timing!U$8))</f>
        <v>0.0155</v>
      </c>
      <c r="AH336" s="40" t="n">
        <f aca="false">$E$333*(CHOOSE($L$333,Timing!W$7,Timing!W$8)-CHOOSE($L$333,Timing!V$7,Timing!V$8))</f>
        <v>0.0154999999999999</v>
      </c>
      <c r="AI336" s="40" t="n">
        <f aca="false">$E$333*(CHOOSE($L$333,Timing!X$7,Timing!X$8)-CHOOSE($L$333,Timing!W$7,Timing!W$8))</f>
        <v>0.0154999999999999</v>
      </c>
      <c r="AJ336" s="40" t="n">
        <f aca="false">$E$333*(CHOOSE($L$333,Timing!Y$7,Timing!Y$8)-CHOOSE($L$333,Timing!X$7,Timing!X$8))</f>
        <v>0.0155</v>
      </c>
      <c r="AK336" s="40" t="n">
        <f aca="false">$E$333*(CHOOSE($L$333,Timing!Z$7,Timing!Z$8)-CHOOSE($L$333,Timing!Y$7,Timing!Y$8))</f>
        <v>0.0155</v>
      </c>
      <c r="AL336" s="40" t="n">
        <f aca="false">$E$333*(CHOOSE($L$333,Timing!AA$7,Timing!AA$8)-CHOOSE($L$333,Timing!Z$7,Timing!Z$8))</f>
        <v>0.0154999999999999</v>
      </c>
    </row>
    <row r="337" customFormat="false" ht="15" hidden="false" customHeight="false" outlineLevel="0" collapsed="false">
      <c r="B337" s="9" t="s">
        <v>186</v>
      </c>
      <c r="N337" s="42" t="n">
        <f aca="false">0</f>
        <v>0</v>
      </c>
      <c r="O337" s="42" t="n">
        <f aca="false">$D$333*(1+IF($C$333&lt;=0,0,MAX($C$333*O$5/12,Inputs!$C$8)))+$I$333*(O$5&gt;Inputs!$C$12)*$D$333*(1+Inputs!$C$11*(O$5-Inputs!$C$12)/12)</f>
        <v>3780</v>
      </c>
      <c r="P337" s="42" t="n">
        <f aca="false">$D$333*(1+IF($C$333&lt;=0,0,MAX($C$333*P$5/12,Inputs!$C$8)))+$I$333*(P$5&gt;Inputs!$C$12)*$D$333*(1+Inputs!$C$11*(P$5-Inputs!$C$12)/12)</f>
        <v>3780</v>
      </c>
      <c r="Q337" s="42" t="n">
        <f aca="false">$D$333*(1+IF($C$333&lt;=0,0,MAX($C$333*Q$5/12,Inputs!$C$8)))+$I$333*(Q$5&gt;Inputs!$C$12)*$D$333*(1+Inputs!$C$11*(Q$5-Inputs!$C$12)/12)</f>
        <v>3780</v>
      </c>
      <c r="R337" s="42" t="n">
        <f aca="false">$D$333*(1+IF($C$333&lt;=0,0,MAX($C$333*R$5/12,Inputs!$C$8)))+$I$333*(R$5&gt;Inputs!$C$12)*$D$333*(1+Inputs!$C$11*(R$5-Inputs!$C$12)/12)</f>
        <v>3780</v>
      </c>
      <c r="S337" s="42" t="n">
        <f aca="false">$D$333*(1+IF($C$333&lt;=0,0,MAX($C$333*S$5/12,Inputs!$C$8)))+$I$333*(S$5&gt;Inputs!$C$12)*$D$333*(1+Inputs!$C$11*(S$5-Inputs!$C$12)/12)</f>
        <v>3780</v>
      </c>
      <c r="T337" s="42" t="n">
        <f aca="false">$D$333*(1+IF($C$333&lt;=0,0,MAX($C$333*T$5/12,Inputs!$C$8)))+$I$333*(T$5&gt;Inputs!$C$12)*$D$333*(1+Inputs!$C$11*(T$5-Inputs!$C$12)/12)</f>
        <v>3780</v>
      </c>
      <c r="U337" s="42" t="n">
        <f aca="false">$D$333*(1+IF($C$333&lt;=0,0,MAX($C$333*U$5/12,Inputs!$C$8)))+$I$333*(U$5&gt;Inputs!$C$12)*$D$333*(1+Inputs!$C$11*(U$5-Inputs!$C$12)/12)</f>
        <v>3780</v>
      </c>
      <c r="V337" s="42" t="n">
        <f aca="false">$D$333*(1+IF($C$333&lt;=0,0,MAX($C$333*V$5/12,Inputs!$C$8)))+$I$333*(V$5&gt;Inputs!$C$12)*$D$333*(1+Inputs!$C$11*(V$5-Inputs!$C$12)/12)</f>
        <v>3780</v>
      </c>
      <c r="W337" s="42" t="n">
        <f aca="false">$D$333*(1+IF($C$333&lt;=0,0,MAX($C$333*W$5/12,Inputs!$C$8)))+$I$333*(W$5&gt;Inputs!$C$12)*$D$333*(1+Inputs!$C$11*(W$5-Inputs!$C$12)/12)</f>
        <v>3789</v>
      </c>
      <c r="X337" s="42" t="n">
        <f aca="false">$D$333*(1+IF($C$333&lt;=0,0,MAX($C$333*X$5/12,Inputs!$C$8)))+$I$333*(X$5&gt;Inputs!$C$12)*$D$333*(1+Inputs!$C$11*(X$5-Inputs!$C$12)/12)</f>
        <v>3810</v>
      </c>
      <c r="Y337" s="42" t="n">
        <f aca="false">$D$333*(1+IF($C$333&lt;=0,0,MAX($C$333*Y$5/12,Inputs!$C$8)))+$I$333*(Y$5&gt;Inputs!$C$12)*$D$333*(1+Inputs!$C$11*(Y$5-Inputs!$C$12)/12)</f>
        <v>3831</v>
      </c>
      <c r="Z337" s="42" t="n">
        <f aca="false">$D$333*(1+IF($C$333&lt;=0,0,MAX($C$333*Z$5/12,Inputs!$C$8)))+$I$333*(Z$5&gt;Inputs!$C$12)*$D$333*(1+Inputs!$C$11*(Z$5-Inputs!$C$12)/12)</f>
        <v>3852</v>
      </c>
      <c r="AA337" s="42" t="n">
        <f aca="false">$D$333*(1+IF($C$333&lt;=0,0,MAX($C$333*AA$5/12,Inputs!$C$8)))+$I$333*(AA$5&gt;Inputs!$C$12)*$D$333*(1+Inputs!$C$11*(AA$5-Inputs!$C$12)/12)</f>
        <v>7527</v>
      </c>
      <c r="AB337" s="42" t="n">
        <f aca="false">$D$333*(1+IF($C$333&lt;=0,0,MAX($C$333*AB$5/12,Inputs!$C$8)))+$I$333*(AB$5&gt;Inputs!$C$12)*$D$333*(1+Inputs!$C$11*(AB$5-Inputs!$C$12)/12)</f>
        <v>7602</v>
      </c>
      <c r="AC337" s="42" t="n">
        <f aca="false">$D$333*(1+IF($C$333&lt;=0,0,MAX($C$333*AC$5/12,Inputs!$C$8)))+$I$333*(AC$5&gt;Inputs!$C$12)*$D$333*(1+Inputs!$C$11*(AC$5-Inputs!$C$12)/12)</f>
        <v>7677</v>
      </c>
      <c r="AD337" s="42" t="n">
        <f aca="false">$D$333*(1+IF($C$333&lt;=0,0,MAX($C$333*AD$5/12,Inputs!$C$8)))+$I$333*(AD$5&gt;Inputs!$C$12)*$D$333*(1+Inputs!$C$11*(AD$5-Inputs!$C$12)/12)</f>
        <v>7752</v>
      </c>
      <c r="AE337" s="42" t="n">
        <f aca="false">$D$333*(1+IF($C$333&lt;=0,0,MAX($C$333*AE$5/12,Inputs!$C$8)))+$I$333*(AE$5&gt;Inputs!$C$12)*$D$333*(1+Inputs!$C$11*(AE$5-Inputs!$C$12)/12)</f>
        <v>7827</v>
      </c>
      <c r="AF337" s="42" t="n">
        <f aca="false">$D$333*(1+IF($C$333&lt;=0,0,MAX($C$333*AF$5/12,Inputs!$C$8)))+$I$333*(AF$5&gt;Inputs!$C$12)*$D$333*(1+Inputs!$C$11*(AF$5-Inputs!$C$12)/12)</f>
        <v>7902</v>
      </c>
      <c r="AG337" s="42" t="n">
        <f aca="false">$D$333*(1+IF($C$333&lt;=0,0,MAX($C$333*AG$5/12,Inputs!$C$8)))+$I$333*(AG$5&gt;Inputs!$C$12)*$D$333*(1+Inputs!$C$11*(AG$5-Inputs!$C$12)/12)</f>
        <v>7977</v>
      </c>
      <c r="AH337" s="42" t="n">
        <f aca="false">$D$333*(1+IF($C$333&lt;=0,0,MAX($C$333*AH$5/12,Inputs!$C$8)))+$I$333*(AH$5&gt;Inputs!$C$12)*$D$333*(1+Inputs!$C$11*(AH$5-Inputs!$C$12)/12)</f>
        <v>8052</v>
      </c>
      <c r="AI337" s="42" t="n">
        <f aca="false">$D$333*(1+IF($C$333&lt;=0,0,MAX($C$333*AI$5/12,Inputs!$C$8)))+$I$333*(AI$5&gt;Inputs!$C$12)*$D$333*(1+Inputs!$C$11*(AI$5-Inputs!$C$12)/12)</f>
        <v>8127</v>
      </c>
      <c r="AJ337" s="42" t="n">
        <f aca="false">$D$333*(1+IF($C$333&lt;=0,0,MAX($C$333*AJ$5/12,Inputs!$C$8)))+$I$333*(AJ$5&gt;Inputs!$C$12)*$D$333*(1+Inputs!$C$11*(AJ$5-Inputs!$C$12)/12)</f>
        <v>8202</v>
      </c>
      <c r="AK337" s="42" t="n">
        <f aca="false">$D$333*(1+IF($C$333&lt;=0,0,MAX($C$333*AK$5/12,Inputs!$C$8)))+$I$333*(AK$5&gt;Inputs!$C$12)*$D$333*(1+Inputs!$C$11*(AK$5-Inputs!$C$12)/12)</f>
        <v>8277</v>
      </c>
      <c r="AL337" s="42" t="n">
        <f aca="false">$D$333*(1+IF($C$333&lt;=0,0,MAX($C$333*AL$5/12,Inputs!$C$8)))+$I$333*(AL$5&gt;Inputs!$C$12)*$D$333*(1+Inputs!$C$11*(AL$5-Inputs!$C$12)/12)</f>
        <v>8352</v>
      </c>
    </row>
    <row r="338" customFormat="false" ht="15" hidden="false" customHeight="false" outlineLevel="0" collapsed="false">
      <c r="B338" s="31" t="s">
        <v>187</v>
      </c>
      <c r="N338" s="42" t="n">
        <f aca="false">-($D$333+$J$333)*(N$5=0)+IF(AND(N$5-$K$333&gt;=1,N$5-$K$333&lt;=Inputs!$C$13),INDEX($N$336:$AL$336,1,N$5-$K$333+1)*INDEX($N$337:$AL$337,1,N$5-$K$333+1),0)-$I$333*((N$5=Inputs!$C$12)*$C$335*$D$333+(N$5=Inputs!$C$13)*$D$335*($D$333+Inputs!$C$14))+$I$333*((N$5=Inputs!$C$15+$K$333)*$E$335*$I$335+(N$5=Inputs!$C$16+$K$333)*$F$335*$J$335+(N$5=Inputs!$C$17)*$G$335*$H$333*$H$335)</f>
        <v>-3610</v>
      </c>
      <c r="O338" s="42" t="n">
        <f aca="false">-($D$333+$J$333)*(O$5=0)+IF(AND(O$5-$K$333&gt;=1,O$5-$K$333&lt;=Inputs!$C$13),INDEX($N$336:$AL$336,1,O$5-$K$333+1)*INDEX($N$337:$AL$337,1,O$5-$K$333+1),0)-$I$333*((O$5=Inputs!$C$12)*$C$335*$D$333+(O$5=Inputs!$C$13)*$D$335*($D$333+Inputs!$C$14))+$I$333*((O$5=Inputs!$C$15+$K$333)*$E$335*$I$335+(O$5=Inputs!$C$16+$K$333)*$F$335*$J$335+(O$5=Inputs!$C$17)*$G$335*$H$333*$H$335)</f>
        <v>421.848</v>
      </c>
      <c r="P338" s="42" t="n">
        <f aca="false">-($D$333+$J$333)*(P$5=0)+IF(AND(P$5-$K$333&gt;=1,P$5-$K$333&lt;=Inputs!$C$13),INDEX($N$336:$AL$336,1,P$5-$K$333+1)*INDEX($N$337:$AL$337,1,P$5-$K$333+1),0)-$I$333*((P$5=Inputs!$C$12)*$C$335*$D$333+(P$5=Inputs!$C$13)*$D$335*($D$333+Inputs!$C$14))+$I$333*((P$5=Inputs!$C$15+$K$333)*$E$335*$I$335+(P$5=Inputs!$C$16+$K$333)*$F$335*$J$335+(P$5=Inputs!$C$17)*$G$335*$H$333*$H$335)</f>
        <v>351.54</v>
      </c>
      <c r="Q338" s="42" t="n">
        <f aca="false">-($D$333+$J$333)*(Q$5=0)+IF(AND(Q$5-$K$333&gt;=1,Q$5-$K$333&lt;=Inputs!$C$13),INDEX($N$336:$AL$336,1,Q$5-$K$333+1)*INDEX($N$337:$AL$337,1,Q$5-$K$333+1),0)-$I$333*((Q$5=Inputs!$C$12)*$C$335*$D$333+(Q$5=Inputs!$C$13)*$D$335*($D$333+Inputs!$C$14))+$I$333*((Q$5=Inputs!$C$15+$K$333)*$E$335*$I$335+(Q$5=Inputs!$C$16+$K$333)*$F$335*$J$335+(Q$5=Inputs!$C$17)*$G$335*$H$333*$H$335)</f>
        <v>316.386</v>
      </c>
      <c r="R338" s="42" t="n">
        <f aca="false">-($D$333+$J$333)*(R$5=0)+IF(AND(R$5-$K$333&gt;=1,R$5-$K$333&lt;=Inputs!$C$13),INDEX($N$336:$AL$336,1,R$5-$K$333+1)*INDEX($N$337:$AL$337,1,R$5-$K$333+1),0)-$I$333*((R$5=Inputs!$C$12)*$C$335*$D$333+(R$5=Inputs!$C$13)*$D$335*($D$333+Inputs!$C$14))+$I$333*((R$5=Inputs!$C$15+$K$333)*$E$335*$I$335+(R$5=Inputs!$C$16+$K$333)*$F$335*$J$335+(R$5=Inputs!$C$17)*$G$335*$H$333*$H$335)</f>
        <v>246.078</v>
      </c>
      <c r="S338" s="42" t="n">
        <f aca="false">-($D$333+$J$333)*(S$5=0)+IF(AND(S$5-$K$333&gt;=1,S$5-$K$333&lt;=Inputs!$C$13),INDEX($N$336:$AL$336,1,S$5-$K$333+1)*INDEX($N$337:$AL$337,1,S$5-$K$333+1),0)-$I$333*((S$5=Inputs!$C$12)*$C$335*$D$333+(S$5=Inputs!$C$13)*$D$335*($D$333+Inputs!$C$14))+$I$333*((S$5=Inputs!$C$15+$K$333)*$E$335*$I$335+(S$5=Inputs!$C$16+$K$333)*$F$335*$J$335+(S$5=Inputs!$C$17)*$G$335*$H$333*$H$335)</f>
        <v>246.078</v>
      </c>
      <c r="T338" s="42" t="n">
        <f aca="false">-($D$333+$J$333)*(T$5=0)+IF(AND(T$5-$K$333&gt;=1,T$5-$K$333&lt;=Inputs!$C$13),INDEX($N$336:$AL$336,1,T$5-$K$333+1)*INDEX($N$337:$AL$337,1,T$5-$K$333+1),0)-$I$333*((T$5=Inputs!$C$12)*$C$335*$D$333+(T$5=Inputs!$C$13)*$D$335*($D$333+Inputs!$C$14))+$I$333*((T$5=Inputs!$C$15+$K$333)*$E$335*$I$335+(T$5=Inputs!$C$16+$K$333)*$F$335*$J$335+(T$5=Inputs!$C$17)*$G$335*$H$333*$H$335)</f>
        <v>246.078</v>
      </c>
      <c r="U338" s="42" t="n">
        <f aca="false">-($D$333+$J$333)*(U$5=0)+IF(AND(U$5-$K$333&gt;=1,U$5-$K$333&lt;=Inputs!$C$13),INDEX($N$336:$AL$336,1,U$5-$K$333+1)*INDEX($N$337:$AL$337,1,U$5-$K$333+1),0)-$I$333*((U$5=Inputs!$C$12)*$C$335*$D$333+(U$5=Inputs!$C$13)*$D$335*($D$333+Inputs!$C$14))+$I$333*((U$5=Inputs!$C$15+$K$333)*$E$335*$I$335+(U$5=Inputs!$C$16+$K$333)*$F$335*$J$335+(U$5=Inputs!$C$17)*$G$335*$H$333*$H$335)</f>
        <v>152.334</v>
      </c>
      <c r="V338" s="42" t="n">
        <f aca="false">-($D$333+$J$333)*(V$5=0)+IF(AND(V$5-$K$333&gt;=1,V$5-$K$333&lt;=Inputs!$C$13),INDEX($N$336:$AL$336,1,V$5-$K$333+1)*INDEX($N$337:$AL$337,1,V$5-$K$333+1),0)-$I$333*((V$5=Inputs!$C$12)*$C$335*$D$333+(V$5=Inputs!$C$13)*$D$335*($D$333+Inputs!$C$14))+$I$333*((V$5=Inputs!$C$15+$K$333)*$E$335*$I$335+(V$5=Inputs!$C$16+$K$333)*$F$335*$J$335+(V$5=Inputs!$C$17)*$G$335*$H$333*$H$335)</f>
        <v>152.334</v>
      </c>
      <c r="W338" s="42" t="n">
        <f aca="false">-($D$333+$J$333)*(W$5=0)+IF(AND(W$5-$K$333&gt;=1,W$5-$K$333&lt;=Inputs!$C$13),INDEX($N$336:$AL$336,1,W$5-$K$333+1)*INDEX($N$337:$AL$337,1,W$5-$K$333+1),0)-$I$333*((W$5=Inputs!$C$12)*$C$335*$D$333+(W$5=Inputs!$C$13)*$D$335*($D$333+Inputs!$C$14))+$I$333*((W$5=Inputs!$C$15+$K$333)*$E$335*$I$335+(W$5=Inputs!$C$16+$K$333)*$F$335*$J$335+(W$5=Inputs!$C$17)*$G$335*$H$333*$H$335)</f>
        <v>152.6967</v>
      </c>
      <c r="X338" s="42" t="n">
        <f aca="false">-($D$333+$J$333)*(X$5=0)+IF(AND(X$5-$K$333&gt;=1,X$5-$K$333&lt;=Inputs!$C$13),INDEX($N$336:$AL$336,1,X$5-$K$333+1)*INDEX($N$337:$AL$337,1,X$5-$K$333+1),0)-$I$333*((X$5=Inputs!$C$12)*$C$335*$D$333+(X$5=Inputs!$C$13)*$D$335*($D$333+Inputs!$C$14))+$I$333*((X$5=Inputs!$C$15+$K$333)*$E$335*$I$335+(X$5=Inputs!$C$16+$K$333)*$F$335*$J$335+(X$5=Inputs!$C$17)*$G$335*$H$333*$H$335)</f>
        <v>129.921</v>
      </c>
      <c r="Y338" s="42" t="n">
        <f aca="false">-($D$333+$J$333)*(Y$5=0)+IF(AND(Y$5-$K$333&gt;=1,Y$5-$K$333&lt;=Inputs!$C$13),INDEX($N$336:$AL$336,1,Y$5-$K$333+1)*INDEX($N$337:$AL$337,1,Y$5-$K$333+1),0)-$I$333*((Y$5=Inputs!$C$12)*$C$335*$D$333+(Y$5=Inputs!$C$13)*$D$335*($D$333+Inputs!$C$14))+$I$333*((Y$5=Inputs!$C$15+$K$333)*$E$335*$I$335+(Y$5=Inputs!$C$16+$K$333)*$F$335*$J$335+(Y$5=Inputs!$C$17)*$G$335*$H$333*$H$335)</f>
        <v>130.6371</v>
      </c>
      <c r="Z338" s="42" t="n">
        <f aca="false">-($D$333+$J$333)*(Z$5=0)+IF(AND(Z$5-$K$333&gt;=1,Z$5-$K$333&lt;=Inputs!$C$13),INDEX($N$336:$AL$336,1,Z$5-$K$333+1)*INDEX($N$337:$AL$337,1,Z$5-$K$333+1),0)-$I$333*((Z$5=Inputs!$C$12)*$C$335*$D$333+(Z$5=Inputs!$C$13)*$D$335*($D$333+Inputs!$C$14))+$I$333*((Z$5=Inputs!$C$15+$K$333)*$E$335*$I$335+(Z$5=Inputs!$C$16+$K$333)*$F$335*$J$335+(Z$5=Inputs!$C$17)*$G$335*$H$333*$H$335)</f>
        <v>-924.1668</v>
      </c>
      <c r="AA338" s="42" t="n">
        <f aca="false">-($D$333+$J$333)*(AA$5=0)+IF(AND(AA$5-$K$333&gt;=1,AA$5-$K$333&lt;=Inputs!$C$13),INDEX($N$336:$AL$336,1,AA$5-$K$333+1)*INDEX($N$337:$AL$337,1,AA$5-$K$333+1),0)-$I$333*((AA$5=Inputs!$C$12)*$C$335*$D$333+(AA$5=Inputs!$C$13)*$D$335*($D$333+Inputs!$C$14))+$I$333*((AA$5=Inputs!$C$15+$K$333)*$E$335*$I$335+(AA$5=Inputs!$C$16+$K$333)*$F$335*$J$335+(AA$5=Inputs!$C$17)*$G$335*$H$333*$H$335)</f>
        <v>163.3359</v>
      </c>
      <c r="AB338" s="42" t="n">
        <f aca="false">-($D$333+$J$333)*(AB$5=0)+IF(AND(AB$5-$K$333&gt;=1,AB$5-$K$333&lt;=Inputs!$C$13),INDEX($N$336:$AL$336,1,AB$5-$K$333+1)*INDEX($N$337:$AL$337,1,AB$5-$K$333+1),0)-$I$333*((AB$5=Inputs!$C$12)*$C$335*$D$333+(AB$5=Inputs!$C$13)*$D$335*($D$333+Inputs!$C$14))+$I$333*((AB$5=Inputs!$C$15+$K$333)*$E$335*$I$335+(AB$5=Inputs!$C$16+$K$333)*$F$335*$J$335+(AB$5=Inputs!$C$17)*$G$335*$H$333*$H$335)</f>
        <v>164.9634</v>
      </c>
      <c r="AC338" s="42" t="n">
        <f aca="false">-($D$333+$J$333)*(AC$5=0)+IF(AND(AC$5-$K$333&gt;=1,AC$5-$K$333&lt;=Inputs!$C$13),INDEX($N$336:$AL$336,1,AC$5-$K$333+1)*INDEX($N$337:$AL$337,1,AC$5-$K$333+1),0)-$I$333*((AC$5=Inputs!$C$12)*$C$335*$D$333+(AC$5=Inputs!$C$13)*$D$335*($D$333+Inputs!$C$14))+$I$333*((AC$5=Inputs!$C$15+$K$333)*$E$335*$I$335+(AC$5=Inputs!$C$16+$K$333)*$F$335*$J$335+(AC$5=Inputs!$C$17)*$G$335*$H$333*$H$335)</f>
        <v>166.590900000001</v>
      </c>
      <c r="AD338" s="42" t="n">
        <f aca="false">-($D$333+$J$333)*(AD$5=0)+IF(AND(AD$5-$K$333&gt;=1,AD$5-$K$333&lt;=Inputs!$C$13),INDEX($N$336:$AL$336,1,AD$5-$K$333+1)*INDEX($N$337:$AL$337,1,AD$5-$K$333+1),0)-$I$333*((AD$5=Inputs!$C$12)*$C$335*$D$333+(AD$5=Inputs!$C$13)*$D$335*($D$333+Inputs!$C$14))+$I$333*((AD$5=Inputs!$C$15+$K$333)*$E$335*$I$335+(AD$5=Inputs!$C$16+$K$333)*$F$335*$J$335+(AD$5=Inputs!$C$17)*$G$335*$H$333*$H$335)</f>
        <v>168.2184</v>
      </c>
      <c r="AE338" s="42" t="n">
        <f aca="false">-($D$333+$J$333)*(AE$5=0)+IF(AND(AE$5-$K$333&gt;=1,AE$5-$K$333&lt;=Inputs!$C$13),INDEX($N$336:$AL$336,1,AE$5-$K$333+1)*INDEX($N$337:$AL$337,1,AE$5-$K$333+1),0)-$I$333*((AE$5=Inputs!$C$12)*$C$335*$D$333+(AE$5=Inputs!$C$13)*$D$335*($D$333+Inputs!$C$14))+$I$333*((AE$5=Inputs!$C$15+$K$333)*$E$335*$I$335+(AE$5=Inputs!$C$16+$K$333)*$F$335*$J$335+(AE$5=Inputs!$C$17)*$G$335*$H$333*$H$335)</f>
        <v>169.8459</v>
      </c>
      <c r="AF338" s="42" t="n">
        <f aca="false">-($D$333+$J$333)*(AF$5=0)+IF(AND(AF$5-$K$333&gt;=1,AF$5-$K$333&lt;=Inputs!$C$13),INDEX($N$336:$AL$336,1,AF$5-$K$333+1)*INDEX($N$337:$AL$337,1,AF$5-$K$333+1),0)-$I$333*((AF$5=Inputs!$C$12)*$C$335*$D$333+(AF$5=Inputs!$C$13)*$D$335*($D$333+Inputs!$C$14))+$I$333*((AF$5=Inputs!$C$15+$K$333)*$E$335*$I$335+(AF$5=Inputs!$C$16+$K$333)*$F$335*$J$335+(AF$5=Inputs!$C$17)*$G$335*$H$333*$H$335)</f>
        <v>171.4734</v>
      </c>
      <c r="AG338" s="42" t="n">
        <f aca="false">-($D$333+$J$333)*(AG$5=0)+IF(AND(AG$5-$K$333&gt;=1,AG$5-$K$333&lt;=Inputs!$C$13),INDEX($N$336:$AL$336,1,AG$5-$K$333+1)*INDEX($N$337:$AL$337,1,AG$5-$K$333+1),0)-$I$333*((AG$5=Inputs!$C$12)*$C$335*$D$333+(AG$5=Inputs!$C$13)*$D$335*($D$333+Inputs!$C$14))+$I$333*((AG$5=Inputs!$C$15+$K$333)*$E$335*$I$335+(AG$5=Inputs!$C$16+$K$333)*$F$335*$J$335+(AG$5=Inputs!$C$17)*$G$335*$H$333*$H$335)</f>
        <v>123.6435</v>
      </c>
      <c r="AH338" s="42" t="n">
        <f aca="false">-($D$333+$J$333)*(AH$5=0)+IF(AND(AH$5-$K$333&gt;=1,AH$5-$K$333&lt;=Inputs!$C$13),INDEX($N$336:$AL$336,1,AH$5-$K$333+1)*INDEX($N$337:$AL$337,1,AH$5-$K$333+1),0)-$I$333*((AH$5=Inputs!$C$12)*$C$335*$D$333+(AH$5=Inputs!$C$13)*$D$335*($D$333+Inputs!$C$14))+$I$333*((AH$5=Inputs!$C$15+$K$333)*$E$335*$I$335+(AH$5=Inputs!$C$16+$K$333)*$F$335*$J$335+(AH$5=Inputs!$C$17)*$G$335*$H$333*$H$335)</f>
        <v>124.806</v>
      </c>
      <c r="AI338" s="42" t="n">
        <f aca="false">-($D$333+$J$333)*(AI$5=0)+IF(AND(AI$5-$K$333&gt;=1,AI$5-$K$333&lt;=Inputs!$C$13),INDEX($N$336:$AL$336,1,AI$5-$K$333+1)*INDEX($N$337:$AL$337,1,AI$5-$K$333+1),0)-$I$333*((AI$5=Inputs!$C$12)*$C$335*$D$333+(AI$5=Inputs!$C$13)*$D$335*($D$333+Inputs!$C$14))+$I$333*((AI$5=Inputs!$C$15+$K$333)*$E$335*$I$335+(AI$5=Inputs!$C$16+$K$333)*$F$335*$J$335+(AI$5=Inputs!$C$17)*$G$335*$H$333*$H$335)</f>
        <v>125.9685</v>
      </c>
      <c r="AJ338" s="42" t="n">
        <f aca="false">-($D$333+$J$333)*(AJ$5=0)+IF(AND(AJ$5-$K$333&gt;=1,AJ$5-$K$333&lt;=Inputs!$C$13),INDEX($N$336:$AL$336,1,AJ$5-$K$333+1)*INDEX($N$337:$AL$337,1,AJ$5-$K$333+1),0)-$I$333*((AJ$5=Inputs!$C$12)*$C$335*$D$333+(AJ$5=Inputs!$C$13)*$D$335*($D$333+Inputs!$C$14))+$I$333*((AJ$5=Inputs!$C$15+$K$333)*$E$335*$I$335+(AJ$5=Inputs!$C$16+$K$333)*$F$335*$J$335+(AJ$5=Inputs!$C$17)*$G$335*$H$333*$H$335)</f>
        <v>127.131</v>
      </c>
      <c r="AK338" s="42" t="n">
        <f aca="false">-($D$333+$J$333)*(AK$5=0)+IF(AND(AK$5-$K$333&gt;=1,AK$5-$K$333&lt;=Inputs!$C$13),INDEX($N$336:$AL$336,1,AK$5-$K$333+1)*INDEX($N$337:$AL$337,1,AK$5-$K$333+1),0)-$I$333*((AK$5=Inputs!$C$12)*$C$335*$D$333+(AK$5=Inputs!$C$13)*$D$335*($D$333+Inputs!$C$14))+$I$333*((AK$5=Inputs!$C$15+$K$333)*$E$335*$I$335+(AK$5=Inputs!$C$16+$K$333)*$F$335*$J$335+(AK$5=Inputs!$C$17)*$G$335*$H$333*$H$335)</f>
        <v>128.2935</v>
      </c>
      <c r="AL338" s="42" t="n">
        <f aca="false">-($D$333+$J$333)*(AL$5=0)+IF(AND(AL$5-$K$333&gt;=1,AL$5-$K$333&lt;=Inputs!$C$13),INDEX($N$336:$AL$336,1,AL$5-$K$333+1)*INDEX($N$337:$AL$337,1,AL$5-$K$333+1),0)-$I$333*((AL$5=Inputs!$C$12)*$C$335*$D$333+(AL$5=Inputs!$C$13)*$D$335*($D$333+Inputs!$C$14))+$I$333*((AL$5=Inputs!$C$15+$K$333)*$E$335*$I$335+(AL$5=Inputs!$C$16+$K$333)*$F$335*$J$335+(AL$5=Inputs!$C$17)*$G$335*$H$333*$H$335)</f>
        <v>-248.544</v>
      </c>
      <c r="AM338" s="42" t="n">
        <f aca="false">-($D$333+$J$333)*(AM$5=0)+IF(AND(AM$5-$K$333&gt;=1,AM$5-$K$333&lt;=Inputs!$C$13),INDEX($N$336:$AL$336,1,AM$5-$K$333+1)*INDEX($N$337:$AL$337,1,AM$5-$K$333+1),0)-$I$333*((AM$5=Inputs!$C$12)*$C$335*$D$333+(AM$5=Inputs!$C$13)*$D$335*($D$333+Inputs!$C$14))+$I$333*((AM$5=Inputs!$C$15+$K$333)*$E$335*$I$335+(AM$5=Inputs!$C$16+$K$333)*$F$335*$J$335+(AM$5=Inputs!$C$17)*$G$335*$H$333*$H$335)</f>
        <v>0</v>
      </c>
      <c r="AN338" s="42" t="n">
        <f aca="false">-($D$333+$J$333)*(AN$5=0)+IF(AND(AN$5-$K$333&gt;=1,AN$5-$K$333&lt;=Inputs!$C$13),INDEX($N$336:$AL$336,1,AN$5-$K$333+1)*INDEX($N$337:$AL$337,1,AN$5-$K$333+1),0)-$I$333*((AN$5=Inputs!$C$12)*$C$335*$D$333+(AN$5=Inputs!$C$13)*$D$335*($D$333+Inputs!$C$14))+$I$333*((AN$5=Inputs!$C$15+$K$333)*$E$335*$I$335+(AN$5=Inputs!$C$16+$K$333)*$F$335*$J$335+(AN$5=Inputs!$C$17)*$G$335*$H$333*$H$335)</f>
        <v>0</v>
      </c>
      <c r="AO338" s="42" t="n">
        <f aca="false">-($D$333+$J$333)*(AO$5=0)+IF(AND(AO$5-$K$333&gt;=1,AO$5-$K$333&lt;=Inputs!$C$13),INDEX($N$336:$AL$336,1,AO$5-$K$333+1)*INDEX($N$337:$AL$337,1,AO$5-$K$333+1),0)-$I$333*((AO$5=Inputs!$C$12)*$C$335*$D$333+(AO$5=Inputs!$C$13)*$D$335*($D$333+Inputs!$C$14))+$I$333*((AO$5=Inputs!$C$15+$K$333)*$E$335*$I$335+(AO$5=Inputs!$C$16+$K$333)*$F$335*$J$335+(AO$5=Inputs!$C$17)*$G$335*$H$333*$H$335)</f>
        <v>593.838</v>
      </c>
      <c r="AP338" s="42" t="n">
        <f aca="false">-($D$333+$J$333)*(AP$5=0)+IF(AND(AP$5-$K$333&gt;=1,AP$5-$K$333&lt;=Inputs!$C$13),INDEX($N$336:$AL$336,1,AP$5-$K$333+1)*INDEX($N$337:$AL$337,1,AP$5-$K$333+1),0)-$I$333*((AP$5=Inputs!$C$12)*$C$335*$D$333+(AP$5=Inputs!$C$13)*$D$335*($D$333+Inputs!$C$14))+$I$333*((AP$5=Inputs!$C$15+$K$333)*$E$335*$I$335+(AP$5=Inputs!$C$16+$K$333)*$F$335*$J$335+(AP$5=Inputs!$C$17)*$G$335*$H$333*$H$335)</f>
        <v>0</v>
      </c>
      <c r="AQ338" s="42" t="n">
        <f aca="false">-($D$333+$J$333)*(AQ$5=0)+IF(AND(AQ$5-$K$333&gt;=1,AQ$5-$K$333&lt;=Inputs!$C$13),INDEX($N$336:$AL$336,1,AQ$5-$K$333+1)*INDEX($N$337:$AL$337,1,AQ$5-$K$333+1),0)-$I$333*((AQ$5=Inputs!$C$12)*$C$335*$D$333+(AQ$5=Inputs!$C$13)*$D$335*($D$333+Inputs!$C$14))+$I$333*((AQ$5=Inputs!$C$15+$K$333)*$E$335*$I$335+(AQ$5=Inputs!$C$16+$K$333)*$F$335*$J$335+(AQ$5=Inputs!$C$17)*$G$335*$H$333*$H$335)</f>
        <v>0</v>
      </c>
      <c r="AR338" s="42" t="n">
        <f aca="false">-($D$333+$J$333)*(AR$5=0)+IF(AND(AR$5-$K$333&gt;=1,AR$5-$K$333&lt;=Inputs!$C$13),INDEX($N$336:$AL$336,1,AR$5-$K$333+1)*INDEX($N$337:$AL$337,1,AR$5-$K$333+1),0)-$I$333*((AR$5=Inputs!$C$12)*$C$335*$D$333+(AR$5=Inputs!$C$13)*$D$335*($D$333+Inputs!$C$14))+$I$333*((AR$5=Inputs!$C$15+$K$333)*$E$335*$I$335+(AR$5=Inputs!$C$16+$K$333)*$F$335*$J$335+(AR$5=Inputs!$C$17)*$G$335*$H$333*$H$335)</f>
        <v>345.7188</v>
      </c>
      <c r="AS338" s="42" t="n">
        <f aca="false">-($D$333+$J$333)*(AS$5=0)+IF(AND(AS$5-$K$333&gt;=1,AS$5-$K$333&lt;=Inputs!$C$13),INDEX($N$336:$AL$336,1,AS$5-$K$333+1)*INDEX($N$337:$AL$337,1,AS$5-$K$333+1),0)-$I$333*((AS$5=Inputs!$C$12)*$C$335*$D$333+(AS$5=Inputs!$C$13)*$D$335*($D$333+Inputs!$C$14))+$I$333*((AS$5=Inputs!$C$15+$K$333)*$E$335*$I$335+(AS$5=Inputs!$C$16+$K$333)*$F$335*$J$335+(AS$5=Inputs!$C$17)*$G$335*$H$333*$H$335)</f>
        <v>0</v>
      </c>
      <c r="AT338" s="42" t="n">
        <f aca="false">-($D$333+$J$333)*(AT$5=0)+IF(AND(AT$5-$K$333&gt;=1,AT$5-$K$333&lt;=Inputs!$C$13),INDEX($N$336:$AL$336,1,AT$5-$K$333+1)*INDEX($N$337:$AL$337,1,AT$5-$K$333+1),0)-$I$333*((AT$5=Inputs!$C$12)*$C$335*$D$333+(AT$5=Inputs!$C$13)*$D$335*($D$333+Inputs!$C$14))+$I$333*((AT$5=Inputs!$C$15+$K$333)*$E$335*$I$335+(AT$5=Inputs!$C$16+$K$333)*$F$335*$J$335+(AT$5=Inputs!$C$17)*$G$335*$H$333*$H$335)</f>
        <v>0</v>
      </c>
      <c r="AU338" s="42" t="n">
        <f aca="false">-($D$333+$J$333)*(AU$5=0)+IF(AND(AU$5-$K$333&gt;=1,AU$5-$K$333&lt;=Inputs!$C$13),INDEX($N$336:$AL$336,1,AU$5-$K$333+1)*INDEX($N$337:$AL$337,1,AU$5-$K$333+1),0)-$I$333*((AU$5=Inputs!$C$12)*$C$335*$D$333+(AU$5=Inputs!$C$13)*$D$335*($D$333+Inputs!$C$14))+$I$333*((AU$5=Inputs!$C$15+$K$333)*$E$335*$I$335+(AU$5=Inputs!$C$16+$K$333)*$F$335*$J$335+(AU$5=Inputs!$C$17)*$G$335*$H$333*$H$335)</f>
        <v>0</v>
      </c>
      <c r="AV338" s="42" t="n">
        <f aca="false">-($D$333+$J$333)*(AV$5=0)+IF(AND(AV$5-$K$333&gt;=1,AV$5-$K$333&lt;=Inputs!$C$13),INDEX($N$336:$AL$336,1,AV$5-$K$333+1)*INDEX($N$337:$AL$337,1,AV$5-$K$333+1),0)-$I$333*((AV$5=Inputs!$C$12)*$C$335*$D$333+(AV$5=Inputs!$C$13)*$D$335*($D$333+Inputs!$C$14))+$I$333*((AV$5=Inputs!$C$15+$K$333)*$E$335*$I$335+(AV$5=Inputs!$C$16+$K$333)*$F$335*$J$335+(AV$5=Inputs!$C$17)*$G$335*$H$333*$H$335)</f>
        <v>0</v>
      </c>
      <c r="AW338" s="42" t="n">
        <f aca="false">-($D$333+$J$333)*(AW$5=0)+IF(AND(AW$5-$K$333&gt;=1,AW$5-$K$333&lt;=Inputs!$C$13),INDEX($N$336:$AL$336,1,AW$5-$K$333+1)*INDEX($N$337:$AL$337,1,AW$5-$K$333+1),0)-$I$333*((AW$5=Inputs!$C$12)*$C$335*$D$333+(AW$5=Inputs!$C$13)*$D$335*($D$333+Inputs!$C$14))+$I$333*((AW$5=Inputs!$C$15+$K$333)*$E$335*$I$335+(AW$5=Inputs!$C$16+$K$333)*$F$335*$J$335+(AW$5=Inputs!$C$17)*$G$335*$H$333*$H$335)</f>
        <v>0</v>
      </c>
      <c r="AX338" s="42" t="n">
        <f aca="false">-($D$333+$J$333)*(AX$5=0)+IF(AND(AX$5-$K$333&gt;=1,AX$5-$K$333&lt;=Inputs!$C$13),INDEX($N$336:$AL$336,1,AX$5-$K$333+1)*INDEX($N$337:$AL$337,1,AX$5-$K$333+1),0)-$I$333*((AX$5=Inputs!$C$12)*$C$335*$D$333+(AX$5=Inputs!$C$13)*$D$335*($D$333+Inputs!$C$14))+$I$333*((AX$5=Inputs!$C$15+$K$333)*$E$335*$I$335+(AX$5=Inputs!$C$16+$K$333)*$F$335*$J$335+(AX$5=Inputs!$C$17)*$G$335*$H$333*$H$335)</f>
        <v>47.628</v>
      </c>
      <c r="AY338" s="42" t="n">
        <f aca="false">-($D$333+$J$333)*(AY$5=0)+IF(AND(AY$5-$K$333&gt;=1,AY$5-$K$333&lt;=Inputs!$C$13),INDEX($N$336:$AL$336,1,AY$5-$K$333+1)*INDEX($N$337:$AL$337,1,AY$5-$K$333+1),0)-$I$333*((AY$5=Inputs!$C$12)*$C$335*$D$333+(AY$5=Inputs!$C$13)*$D$335*($D$333+Inputs!$C$14))+$I$333*((AY$5=Inputs!$C$15+$K$333)*$E$335*$I$335+(AY$5=Inputs!$C$16+$K$333)*$F$335*$J$335+(AY$5=Inputs!$C$17)*$G$335*$H$333*$H$335)</f>
        <v>0</v>
      </c>
    </row>
    <row r="340" customFormat="false" ht="15" hidden="false" customHeight="false" outlineLevel="0" collapsed="false">
      <c r="B340" s="7" t="s">
        <v>278</v>
      </c>
      <c r="C340" s="8"/>
      <c r="D340" s="8"/>
      <c r="E340" s="8"/>
      <c r="F340" s="8"/>
      <c r="G340" s="8"/>
      <c r="H340" s="8"/>
      <c r="I340" s="8"/>
      <c r="J340" s="8"/>
      <c r="K340" s="8"/>
      <c r="L340" s="8"/>
    </row>
    <row r="341" customFormat="false" ht="30" hidden="false" customHeight="true" outlineLevel="0" collapsed="false">
      <c r="B341" s="37"/>
      <c r="C341" s="38" t="s">
        <v>169</v>
      </c>
      <c r="D341" s="38" t="s">
        <v>170</v>
      </c>
      <c r="E341" s="38" t="s">
        <v>171</v>
      </c>
      <c r="F341" s="38" t="s">
        <v>43</v>
      </c>
      <c r="G341" s="38" t="s">
        <v>44</v>
      </c>
      <c r="H341" s="38" t="s">
        <v>45</v>
      </c>
      <c r="I341" s="38" t="s">
        <v>172</v>
      </c>
      <c r="J341" s="38" t="s">
        <v>90</v>
      </c>
      <c r="K341" s="38" t="s">
        <v>89</v>
      </c>
      <c r="L341" s="38" t="s">
        <v>173</v>
      </c>
    </row>
    <row r="342" customFormat="false" ht="15" hidden="false" customHeight="false" outlineLevel="0" collapsed="false">
      <c r="B342" s="39" t="s">
        <v>174</v>
      </c>
      <c r="C342" s="26" t="n">
        <f aca="false">Inputs!$F$41*Inputs!$E$62</f>
        <v>0.09</v>
      </c>
      <c r="D342" s="30" t="n">
        <f aca="false">Inputs!$E$41</f>
        <v>9500</v>
      </c>
      <c r="E342" s="26" t="n">
        <f aca="false">IF(Inputs!$G$41=1,Inputs!$F$27,MIN(1,MAX(0,INDEX(Inputs!$F$23:$F$27,MATCH(Inputs!$C$41,Inputs!$B$23:$B$27,0))+INDEX(Inputs!$C$48:$C$51,MATCH(Inputs!$D$62,Inputs!$B$48:$B$51,0)))))</f>
        <v>0.9</v>
      </c>
      <c r="F342" s="25" t="n">
        <f aca="false">IF(Inputs!$G$41=1,Inputs!$G$27,INDEX(Inputs!$G$23:$G$27,MATCH(Inputs!$C$41,Inputs!$B$23:$B$27,0)))</f>
        <v>0.6</v>
      </c>
      <c r="G342" s="25" t="n">
        <f aca="false">IF(Inputs!$G$41=1,Inputs!$H$27,INDEX(Inputs!$H$23:$H$27,MATCH(Inputs!$C$41,Inputs!$B$23:$B$27,0)))*INDEX(Inputs!$D$48:$D$51,MATCH(Inputs!$D$62,Inputs!$B$48:$B$51,0))</f>
        <v>0.8</v>
      </c>
      <c r="H342" s="25" t="n">
        <f aca="false">MAX(0,IF(Inputs!$G$41=1,Inputs!$I$27,INDEX(Inputs!$I$23:$I$27,MATCH(Inputs!$C$41,Inputs!$B$23:$B$27,0)))+INDEX(Inputs!$E$48:$E$51,MATCH(Inputs!$D$62,Inputs!$B$48:$B$51,0)))</f>
        <v>0.9</v>
      </c>
      <c r="I342" s="22" t="n">
        <f aca="false">IF(Inputs!$G$41=1,0,INDEX(Inputs!$J$23:$J$27,MATCH(Inputs!$C$41,Inputs!$B$23:$B$27,0)))</f>
        <v>1</v>
      </c>
      <c r="J342" s="23" t="n">
        <f aca="false">Inputs!$G$62</f>
        <v>10</v>
      </c>
      <c r="K342" s="22" t="n">
        <f aca="false">Inputs!$F$62</f>
        <v>0</v>
      </c>
      <c r="L342" s="22" t="n">
        <f aca="false">Inputs!$C$62</f>
        <v>1</v>
      </c>
    </row>
    <row r="343" customFormat="false" ht="30" hidden="false" customHeight="true" outlineLevel="0" collapsed="false">
      <c r="B343" s="37"/>
      <c r="C343" s="38" t="s">
        <v>175</v>
      </c>
      <c r="D343" s="38" t="s">
        <v>176</v>
      </c>
      <c r="E343" s="38" t="s">
        <v>177</v>
      </c>
      <c r="F343" s="38" t="s">
        <v>178</v>
      </c>
      <c r="G343" s="38" t="s">
        <v>112</v>
      </c>
      <c r="H343" s="38" t="s">
        <v>179</v>
      </c>
      <c r="I343" s="38" t="s">
        <v>180</v>
      </c>
      <c r="J343" s="38" t="s">
        <v>181</v>
      </c>
      <c r="K343" s="38" t="s">
        <v>182</v>
      </c>
      <c r="L343" s="38" t="s">
        <v>183</v>
      </c>
    </row>
    <row r="344" customFormat="false" ht="15" hidden="false" customHeight="false" outlineLevel="0" collapsed="false">
      <c r="B344" s="39" t="s">
        <v>184</v>
      </c>
      <c r="C344" s="40" t="n">
        <f aca="false">1-$E$342*CHOOSE($L$342,INDEX(Timing!$C$7:$AA$7,1,Inputs!$C$12+1),INDEX(Timing!$C$8:$AA$8,1,Inputs!$C$12+1))</f>
        <v>0.316</v>
      </c>
      <c r="D344" s="40" t="n">
        <f aca="false">1-$E$342*CHOOSE($L$342,INDEX(Timing!$C$7:$AA$7,1,Inputs!$C$13+1),INDEX(Timing!$C$8:$AA$8,1,Inputs!$C$13+1))</f>
        <v>0.1</v>
      </c>
      <c r="E344" s="40" t="n">
        <f aca="false">$I$342*$D$344*$F$342</f>
        <v>0.06</v>
      </c>
      <c r="F344" s="40" t="n">
        <f aca="false">$I$342*($D$344-$E$344)*$G$342</f>
        <v>0.032</v>
      </c>
      <c r="G344" s="40" t="n">
        <f aca="false">$I$342*($D$344-$E$344-$F$344)</f>
        <v>0.008</v>
      </c>
      <c r="H344" s="23" t="n">
        <f aca="false">$I$342*(3*$D$342+Inputs!$C$14)</f>
        <v>30300</v>
      </c>
      <c r="I344" s="23" t="n">
        <f aca="false">$I$342*($D$342*(1+IF($C$342&lt;=0,0,MAX($C$342*Inputs!$C$15/12,Inputs!$C$8)))+$D$342*(1+Inputs!$C$11*(Inputs!$C$15-Inputs!$C$12)/12)+$D$342*(1+Inputs!$C$11*(Inputs!$C$15-Inputs!$C$13)/12)+Inputs!$C$14)</f>
        <v>34788.75</v>
      </c>
      <c r="J344" s="23" t="n">
        <f aca="false">$I$342*($D$342*(1+IF($C$342&lt;=0,0,MAX($C$342*Inputs!$C$16/12,Inputs!$C$8)))+$D$342*(1+Inputs!$C$11*(Inputs!$C$16-Inputs!$C$12)/12)+$D$342*(1+Inputs!$C$11*(Inputs!$C$16-Inputs!$C$13)/12)+Inputs!$C$14)</f>
        <v>35857.5</v>
      </c>
      <c r="K344" s="40" t="n">
        <f aca="false">IRR($N$347:$AY$347,0.005)</f>
        <v>0.00898259949858861</v>
      </c>
      <c r="L344" s="41" t="n">
        <f aca="false">(1+$K$344)^12-1</f>
        <v>0.113279263194346</v>
      </c>
    </row>
    <row r="345" customFormat="false" ht="15" hidden="false" customHeight="false" outlineLevel="0" collapsed="false">
      <c r="B345" s="9" t="s">
        <v>185</v>
      </c>
      <c r="N345" s="40" t="n">
        <f aca="false">0</f>
        <v>0</v>
      </c>
      <c r="O345" s="40" t="n">
        <f aca="false">$E$342*(CHOOSE($L$342,Timing!D$7,Timing!D$8)-CHOOSE($L$342,Timing!C$7,Timing!C$8))</f>
        <v>0.108</v>
      </c>
      <c r="P345" s="40" t="n">
        <f aca="false">$E$342*(CHOOSE($L$342,Timing!E$7,Timing!E$8)-CHOOSE($L$342,Timing!D$7,Timing!D$8))</f>
        <v>0.09</v>
      </c>
      <c r="Q345" s="40" t="n">
        <f aca="false">$E$342*(CHOOSE($L$342,Timing!F$7,Timing!F$8)-CHOOSE($L$342,Timing!E$7,Timing!E$8))</f>
        <v>0.081</v>
      </c>
      <c r="R345" s="40" t="n">
        <f aca="false">$E$342*(CHOOSE($L$342,Timing!G$7,Timing!G$8)-CHOOSE($L$342,Timing!F$7,Timing!F$8))</f>
        <v>0.063</v>
      </c>
      <c r="S345" s="40" t="n">
        <f aca="false">$E$342*(CHOOSE($L$342,Timing!H$7,Timing!H$8)-CHOOSE($L$342,Timing!G$7,Timing!G$8))</f>
        <v>0.063</v>
      </c>
      <c r="T345" s="40" t="n">
        <f aca="false">$E$342*(CHOOSE($L$342,Timing!I$7,Timing!I$8)-CHOOSE($L$342,Timing!H$7,Timing!H$8))</f>
        <v>0.063</v>
      </c>
      <c r="U345" s="40" t="n">
        <f aca="false">$E$342*(CHOOSE($L$342,Timing!J$7,Timing!J$8)-CHOOSE($L$342,Timing!I$7,Timing!I$8))</f>
        <v>0.039</v>
      </c>
      <c r="V345" s="40" t="n">
        <f aca="false">$E$342*(CHOOSE($L$342,Timing!K$7,Timing!K$8)-CHOOSE($L$342,Timing!J$7,Timing!J$8))</f>
        <v>0.039</v>
      </c>
      <c r="W345" s="40" t="n">
        <f aca="false">$E$342*(CHOOSE($L$342,Timing!L$7,Timing!L$8)-CHOOSE($L$342,Timing!K$7,Timing!K$8))</f>
        <v>0.039</v>
      </c>
      <c r="X345" s="40" t="n">
        <f aca="false">$E$342*(CHOOSE($L$342,Timing!M$7,Timing!M$8)-CHOOSE($L$342,Timing!L$7,Timing!L$8))</f>
        <v>0.033</v>
      </c>
      <c r="Y345" s="40" t="n">
        <f aca="false">$E$342*(CHOOSE($L$342,Timing!N$7,Timing!N$8)-CHOOSE($L$342,Timing!M$7,Timing!M$8))</f>
        <v>0.0330000000000001</v>
      </c>
      <c r="Z345" s="40" t="n">
        <f aca="false">$E$342*(CHOOSE($L$342,Timing!O$7,Timing!O$8)-CHOOSE($L$342,Timing!N$7,Timing!N$8))</f>
        <v>0.033</v>
      </c>
      <c r="AA345" s="40" t="n">
        <f aca="false">$E$342*(CHOOSE($L$342,Timing!P$7,Timing!P$8)-CHOOSE($L$342,Timing!O$7,Timing!O$8))</f>
        <v>0.021</v>
      </c>
      <c r="AB345" s="40" t="n">
        <f aca="false">$E$342*(CHOOSE($L$342,Timing!Q$7,Timing!Q$8)-CHOOSE($L$342,Timing!P$7,Timing!P$8))</f>
        <v>0.021</v>
      </c>
      <c r="AC345" s="40" t="n">
        <f aca="false">$E$342*(CHOOSE($L$342,Timing!R$7,Timing!R$8)-CHOOSE($L$342,Timing!Q$7,Timing!Q$8))</f>
        <v>0.0210000000000001</v>
      </c>
      <c r="AD345" s="40" t="n">
        <f aca="false">$E$342*(CHOOSE($L$342,Timing!S$7,Timing!S$8)-CHOOSE($L$342,Timing!R$7,Timing!R$8))</f>
        <v>0.021</v>
      </c>
      <c r="AE345" s="40" t="n">
        <f aca="false">$E$342*(CHOOSE($L$342,Timing!T$7,Timing!T$8)-CHOOSE($L$342,Timing!S$7,Timing!S$8))</f>
        <v>0.021</v>
      </c>
      <c r="AF345" s="40" t="n">
        <f aca="false">$E$342*(CHOOSE($L$342,Timing!U$7,Timing!U$8)-CHOOSE($L$342,Timing!T$7,Timing!T$8))</f>
        <v>0.021</v>
      </c>
      <c r="AG345" s="40" t="n">
        <f aca="false">$E$342*(CHOOSE($L$342,Timing!V$7,Timing!V$8)-CHOOSE($L$342,Timing!U$7,Timing!U$8))</f>
        <v>0.015</v>
      </c>
      <c r="AH345" s="40" t="n">
        <f aca="false">$E$342*(CHOOSE($L$342,Timing!W$7,Timing!W$8)-CHOOSE($L$342,Timing!V$7,Timing!V$8))</f>
        <v>0.0149999999999999</v>
      </c>
      <c r="AI345" s="40" t="n">
        <f aca="false">$E$342*(CHOOSE($L$342,Timing!X$7,Timing!X$8)-CHOOSE($L$342,Timing!W$7,Timing!W$8))</f>
        <v>0.0149999999999999</v>
      </c>
      <c r="AJ345" s="40" t="n">
        <f aca="false">$E$342*(CHOOSE($L$342,Timing!Y$7,Timing!Y$8)-CHOOSE($L$342,Timing!X$7,Timing!X$8))</f>
        <v>0.015</v>
      </c>
      <c r="AK345" s="40" t="n">
        <f aca="false">$E$342*(CHOOSE($L$342,Timing!Z$7,Timing!Z$8)-CHOOSE($L$342,Timing!Y$7,Timing!Y$8))</f>
        <v>0.015</v>
      </c>
      <c r="AL345" s="40" t="n">
        <f aca="false">$E$342*(CHOOSE($L$342,Timing!AA$7,Timing!AA$8)-CHOOSE($L$342,Timing!Z$7,Timing!Z$8))</f>
        <v>0.0149999999999999</v>
      </c>
    </row>
    <row r="346" customFormat="false" ht="15" hidden="false" customHeight="false" outlineLevel="0" collapsed="false">
      <c r="B346" s="9" t="s">
        <v>186</v>
      </c>
      <c r="N346" s="42" t="n">
        <f aca="false">0</f>
        <v>0</v>
      </c>
      <c r="O346" s="42" t="n">
        <f aca="false">$D$342*(1+IF($C$342&lt;=0,0,MAX($C$342*O$5/12,Inputs!$C$8)))+$I$342*(O$5&gt;Inputs!$C$12)*$D$342*(1+Inputs!$C$11*(O$5-Inputs!$C$12)/12)</f>
        <v>9975</v>
      </c>
      <c r="P346" s="42" t="n">
        <f aca="false">$D$342*(1+IF($C$342&lt;=0,0,MAX($C$342*P$5/12,Inputs!$C$8)))+$I$342*(P$5&gt;Inputs!$C$12)*$D$342*(1+Inputs!$C$11*(P$5-Inputs!$C$12)/12)</f>
        <v>9975</v>
      </c>
      <c r="Q346" s="42" t="n">
        <f aca="false">$D$342*(1+IF($C$342&lt;=0,0,MAX($C$342*Q$5/12,Inputs!$C$8)))+$I$342*(Q$5&gt;Inputs!$C$12)*$D$342*(1+Inputs!$C$11*(Q$5-Inputs!$C$12)/12)</f>
        <v>9975</v>
      </c>
      <c r="R346" s="42" t="n">
        <f aca="false">$D$342*(1+IF($C$342&lt;=0,0,MAX($C$342*R$5/12,Inputs!$C$8)))+$I$342*(R$5&gt;Inputs!$C$12)*$D$342*(1+Inputs!$C$11*(R$5-Inputs!$C$12)/12)</f>
        <v>9975</v>
      </c>
      <c r="S346" s="42" t="n">
        <f aca="false">$D$342*(1+IF($C$342&lt;=0,0,MAX($C$342*S$5/12,Inputs!$C$8)))+$I$342*(S$5&gt;Inputs!$C$12)*$D$342*(1+Inputs!$C$11*(S$5-Inputs!$C$12)/12)</f>
        <v>9975</v>
      </c>
      <c r="T346" s="42" t="n">
        <f aca="false">$D$342*(1+IF($C$342&lt;=0,0,MAX($C$342*T$5/12,Inputs!$C$8)))+$I$342*(T$5&gt;Inputs!$C$12)*$D$342*(1+Inputs!$C$11*(T$5-Inputs!$C$12)/12)</f>
        <v>9975</v>
      </c>
      <c r="U346" s="42" t="n">
        <f aca="false">$D$342*(1+IF($C$342&lt;=0,0,MAX($C$342*U$5/12,Inputs!$C$8)))+$I$342*(U$5&gt;Inputs!$C$12)*$D$342*(1+Inputs!$C$11*(U$5-Inputs!$C$12)/12)</f>
        <v>9998.75</v>
      </c>
      <c r="V346" s="42" t="n">
        <f aca="false">$D$342*(1+IF($C$342&lt;=0,0,MAX($C$342*V$5/12,Inputs!$C$8)))+$I$342*(V$5&gt;Inputs!$C$12)*$D$342*(1+Inputs!$C$11*(V$5-Inputs!$C$12)/12)</f>
        <v>10070</v>
      </c>
      <c r="W346" s="42" t="n">
        <f aca="false">$D$342*(1+IF($C$342&lt;=0,0,MAX($C$342*W$5/12,Inputs!$C$8)))+$I$342*(W$5&gt;Inputs!$C$12)*$D$342*(1+Inputs!$C$11*(W$5-Inputs!$C$12)/12)</f>
        <v>10141.25</v>
      </c>
      <c r="X346" s="42" t="n">
        <f aca="false">$D$342*(1+IF($C$342&lt;=0,0,MAX($C$342*X$5/12,Inputs!$C$8)))+$I$342*(X$5&gt;Inputs!$C$12)*$D$342*(1+Inputs!$C$11*(X$5-Inputs!$C$12)/12)</f>
        <v>10212.5</v>
      </c>
      <c r="Y346" s="42" t="n">
        <f aca="false">$D$342*(1+IF($C$342&lt;=0,0,MAX($C$342*Y$5/12,Inputs!$C$8)))+$I$342*(Y$5&gt;Inputs!$C$12)*$D$342*(1+Inputs!$C$11*(Y$5-Inputs!$C$12)/12)</f>
        <v>10283.75</v>
      </c>
      <c r="Z346" s="42" t="n">
        <f aca="false">$D$342*(1+IF($C$342&lt;=0,0,MAX($C$342*Z$5/12,Inputs!$C$8)))+$I$342*(Z$5&gt;Inputs!$C$12)*$D$342*(1+Inputs!$C$11*(Z$5-Inputs!$C$12)/12)</f>
        <v>10355</v>
      </c>
      <c r="AA346" s="42" t="n">
        <f aca="false">$D$342*(1+IF($C$342&lt;=0,0,MAX($C$342*AA$5/12,Inputs!$C$8)))+$I$342*(AA$5&gt;Inputs!$C$12)*$D$342*(1+Inputs!$C$11*(AA$5-Inputs!$C$12)/12)</f>
        <v>20068.75</v>
      </c>
      <c r="AB346" s="42" t="n">
        <f aca="false">$D$342*(1+IF($C$342&lt;=0,0,MAX($C$342*AB$5/12,Inputs!$C$8)))+$I$342*(AB$5&gt;Inputs!$C$12)*$D$342*(1+Inputs!$C$11*(AB$5-Inputs!$C$12)/12)</f>
        <v>20282.5</v>
      </c>
      <c r="AC346" s="42" t="n">
        <f aca="false">$D$342*(1+IF($C$342&lt;=0,0,MAX($C$342*AC$5/12,Inputs!$C$8)))+$I$342*(AC$5&gt;Inputs!$C$12)*$D$342*(1+Inputs!$C$11*(AC$5-Inputs!$C$12)/12)</f>
        <v>20496.25</v>
      </c>
      <c r="AD346" s="42" t="n">
        <f aca="false">$D$342*(1+IF($C$342&lt;=0,0,MAX($C$342*AD$5/12,Inputs!$C$8)))+$I$342*(AD$5&gt;Inputs!$C$12)*$D$342*(1+Inputs!$C$11*(AD$5-Inputs!$C$12)/12)</f>
        <v>20710</v>
      </c>
      <c r="AE346" s="42" t="n">
        <f aca="false">$D$342*(1+IF($C$342&lt;=0,0,MAX($C$342*AE$5/12,Inputs!$C$8)))+$I$342*(AE$5&gt;Inputs!$C$12)*$D$342*(1+Inputs!$C$11*(AE$5-Inputs!$C$12)/12)</f>
        <v>20923.75</v>
      </c>
      <c r="AF346" s="42" t="n">
        <f aca="false">$D$342*(1+IF($C$342&lt;=0,0,MAX($C$342*AF$5/12,Inputs!$C$8)))+$I$342*(AF$5&gt;Inputs!$C$12)*$D$342*(1+Inputs!$C$11*(AF$5-Inputs!$C$12)/12)</f>
        <v>21137.5</v>
      </c>
      <c r="AG346" s="42" t="n">
        <f aca="false">$D$342*(1+IF($C$342&lt;=0,0,MAX($C$342*AG$5/12,Inputs!$C$8)))+$I$342*(AG$5&gt;Inputs!$C$12)*$D$342*(1+Inputs!$C$11*(AG$5-Inputs!$C$12)/12)</f>
        <v>21351.25</v>
      </c>
      <c r="AH346" s="42" t="n">
        <f aca="false">$D$342*(1+IF($C$342&lt;=0,0,MAX($C$342*AH$5/12,Inputs!$C$8)))+$I$342*(AH$5&gt;Inputs!$C$12)*$D$342*(1+Inputs!$C$11*(AH$5-Inputs!$C$12)/12)</f>
        <v>21565</v>
      </c>
      <c r="AI346" s="42" t="n">
        <f aca="false">$D$342*(1+IF($C$342&lt;=0,0,MAX($C$342*AI$5/12,Inputs!$C$8)))+$I$342*(AI$5&gt;Inputs!$C$12)*$D$342*(1+Inputs!$C$11*(AI$5-Inputs!$C$12)/12)</f>
        <v>21778.75</v>
      </c>
      <c r="AJ346" s="42" t="n">
        <f aca="false">$D$342*(1+IF($C$342&lt;=0,0,MAX($C$342*AJ$5/12,Inputs!$C$8)))+$I$342*(AJ$5&gt;Inputs!$C$12)*$D$342*(1+Inputs!$C$11*(AJ$5-Inputs!$C$12)/12)</f>
        <v>21992.5</v>
      </c>
      <c r="AK346" s="42" t="n">
        <f aca="false">$D$342*(1+IF($C$342&lt;=0,0,MAX($C$342*AK$5/12,Inputs!$C$8)))+$I$342*(AK$5&gt;Inputs!$C$12)*$D$342*(1+Inputs!$C$11*(AK$5-Inputs!$C$12)/12)</f>
        <v>22206.25</v>
      </c>
      <c r="AL346" s="42" t="n">
        <f aca="false">$D$342*(1+IF($C$342&lt;=0,0,MAX($C$342*AL$5/12,Inputs!$C$8)))+$I$342*(AL$5&gt;Inputs!$C$12)*$D$342*(1+Inputs!$C$11*(AL$5-Inputs!$C$12)/12)</f>
        <v>22420</v>
      </c>
    </row>
    <row r="347" customFormat="false" ht="15" hidden="false" customHeight="false" outlineLevel="0" collapsed="false">
      <c r="B347" s="31" t="s">
        <v>187</v>
      </c>
      <c r="N347" s="42" t="n">
        <f aca="false">-($D$342+$J$342)*(N$5=0)+IF(AND(N$5-$K$342&gt;=1,N$5-$K$342&lt;=Inputs!$C$13),INDEX($N$345:$AL$345,1,N$5-$K$342+1)*INDEX($N$346:$AL$346,1,N$5-$K$342+1),0)-$I$342*((N$5=Inputs!$C$12)*$C$344*$D$342+(N$5=Inputs!$C$13)*$D$344*($D$342+Inputs!$C$14))+$I$342*((N$5=Inputs!$C$15+$K$342)*$E$344*$I$344+(N$5=Inputs!$C$16+$K$342)*$F$344*$J$344+(N$5=Inputs!$C$17)*$G$344*$H$342*$H$344)</f>
        <v>-9510</v>
      </c>
      <c r="O347" s="42" t="n">
        <f aca="false">-($D$342+$J$342)*(O$5=0)+IF(AND(O$5-$K$342&gt;=1,O$5-$K$342&lt;=Inputs!$C$13),INDEX($N$345:$AL$345,1,O$5-$K$342+1)*INDEX($N$346:$AL$346,1,O$5-$K$342+1),0)-$I$342*((O$5=Inputs!$C$12)*$C$344*$D$342+(O$5=Inputs!$C$13)*$D$344*($D$342+Inputs!$C$14))+$I$342*((O$5=Inputs!$C$15+$K$342)*$E$344*$I$344+(O$5=Inputs!$C$16+$K$342)*$F$344*$J$344+(O$5=Inputs!$C$17)*$G$344*$H$342*$H$344)</f>
        <v>1077.3</v>
      </c>
      <c r="P347" s="42" t="n">
        <f aca="false">-($D$342+$J$342)*(P$5=0)+IF(AND(P$5-$K$342&gt;=1,P$5-$K$342&lt;=Inputs!$C$13),INDEX($N$345:$AL$345,1,P$5-$K$342+1)*INDEX($N$346:$AL$346,1,P$5-$K$342+1),0)-$I$342*((P$5=Inputs!$C$12)*$C$344*$D$342+(P$5=Inputs!$C$13)*$D$344*($D$342+Inputs!$C$14))+$I$342*((P$5=Inputs!$C$15+$K$342)*$E$344*$I$344+(P$5=Inputs!$C$16+$K$342)*$F$344*$J$344+(P$5=Inputs!$C$17)*$G$344*$H$342*$H$344)</f>
        <v>897.75</v>
      </c>
      <c r="Q347" s="42" t="n">
        <f aca="false">-($D$342+$J$342)*(Q$5=0)+IF(AND(Q$5-$K$342&gt;=1,Q$5-$K$342&lt;=Inputs!$C$13),INDEX($N$345:$AL$345,1,Q$5-$K$342+1)*INDEX($N$346:$AL$346,1,Q$5-$K$342+1),0)-$I$342*((Q$5=Inputs!$C$12)*$C$344*$D$342+(Q$5=Inputs!$C$13)*$D$344*($D$342+Inputs!$C$14))+$I$342*((Q$5=Inputs!$C$15+$K$342)*$E$344*$I$344+(Q$5=Inputs!$C$16+$K$342)*$F$344*$J$344+(Q$5=Inputs!$C$17)*$G$344*$H$342*$H$344)</f>
        <v>807.975</v>
      </c>
      <c r="R347" s="42" t="n">
        <f aca="false">-($D$342+$J$342)*(R$5=0)+IF(AND(R$5-$K$342&gt;=1,R$5-$K$342&lt;=Inputs!$C$13),INDEX($N$345:$AL$345,1,R$5-$K$342+1)*INDEX($N$346:$AL$346,1,R$5-$K$342+1),0)-$I$342*((R$5=Inputs!$C$12)*$C$344*$D$342+(R$5=Inputs!$C$13)*$D$344*($D$342+Inputs!$C$14))+$I$342*((R$5=Inputs!$C$15+$K$342)*$E$344*$I$344+(R$5=Inputs!$C$16+$K$342)*$F$344*$J$344+(R$5=Inputs!$C$17)*$G$344*$H$342*$H$344)</f>
        <v>628.425</v>
      </c>
      <c r="S347" s="42" t="n">
        <f aca="false">-($D$342+$J$342)*(S$5=0)+IF(AND(S$5-$K$342&gt;=1,S$5-$K$342&lt;=Inputs!$C$13),INDEX($N$345:$AL$345,1,S$5-$K$342+1)*INDEX($N$346:$AL$346,1,S$5-$K$342+1),0)-$I$342*((S$5=Inputs!$C$12)*$C$344*$D$342+(S$5=Inputs!$C$13)*$D$344*($D$342+Inputs!$C$14))+$I$342*((S$5=Inputs!$C$15+$K$342)*$E$344*$I$344+(S$5=Inputs!$C$16+$K$342)*$F$344*$J$344+(S$5=Inputs!$C$17)*$G$344*$H$342*$H$344)</f>
        <v>628.425</v>
      </c>
      <c r="T347" s="42" t="n">
        <f aca="false">-($D$342+$J$342)*(T$5=0)+IF(AND(T$5-$K$342&gt;=1,T$5-$K$342&lt;=Inputs!$C$13),INDEX($N$345:$AL$345,1,T$5-$K$342+1)*INDEX($N$346:$AL$346,1,T$5-$K$342+1),0)-$I$342*((T$5=Inputs!$C$12)*$C$344*$D$342+(T$5=Inputs!$C$13)*$D$344*($D$342+Inputs!$C$14))+$I$342*((T$5=Inputs!$C$15+$K$342)*$E$344*$I$344+(T$5=Inputs!$C$16+$K$342)*$F$344*$J$344+(T$5=Inputs!$C$17)*$G$344*$H$342*$H$344)</f>
        <v>628.425</v>
      </c>
      <c r="U347" s="42" t="n">
        <f aca="false">-($D$342+$J$342)*(U$5=0)+IF(AND(U$5-$K$342&gt;=1,U$5-$K$342&lt;=Inputs!$C$13),INDEX($N$345:$AL$345,1,U$5-$K$342+1)*INDEX($N$346:$AL$346,1,U$5-$K$342+1),0)-$I$342*((U$5=Inputs!$C$12)*$C$344*$D$342+(U$5=Inputs!$C$13)*$D$344*($D$342+Inputs!$C$14))+$I$342*((U$5=Inputs!$C$15+$K$342)*$E$344*$I$344+(U$5=Inputs!$C$16+$K$342)*$F$344*$J$344+(U$5=Inputs!$C$17)*$G$344*$H$342*$H$344)</f>
        <v>389.95125</v>
      </c>
      <c r="V347" s="42" t="n">
        <f aca="false">-($D$342+$J$342)*(V$5=0)+IF(AND(V$5-$K$342&gt;=1,V$5-$K$342&lt;=Inputs!$C$13),INDEX($N$345:$AL$345,1,V$5-$K$342+1)*INDEX($N$346:$AL$346,1,V$5-$K$342+1),0)-$I$342*((V$5=Inputs!$C$12)*$C$344*$D$342+(V$5=Inputs!$C$13)*$D$344*($D$342+Inputs!$C$14))+$I$342*((V$5=Inputs!$C$15+$K$342)*$E$344*$I$344+(V$5=Inputs!$C$16+$K$342)*$F$344*$J$344+(V$5=Inputs!$C$17)*$G$344*$H$342*$H$344)</f>
        <v>392.73</v>
      </c>
      <c r="W347" s="42" t="n">
        <f aca="false">-($D$342+$J$342)*(W$5=0)+IF(AND(W$5-$K$342&gt;=1,W$5-$K$342&lt;=Inputs!$C$13),INDEX($N$345:$AL$345,1,W$5-$K$342+1)*INDEX($N$346:$AL$346,1,W$5-$K$342+1),0)-$I$342*((W$5=Inputs!$C$12)*$C$344*$D$342+(W$5=Inputs!$C$13)*$D$344*($D$342+Inputs!$C$14))+$I$342*((W$5=Inputs!$C$15+$K$342)*$E$344*$I$344+(W$5=Inputs!$C$16+$K$342)*$F$344*$J$344+(W$5=Inputs!$C$17)*$G$344*$H$342*$H$344)</f>
        <v>395.50875</v>
      </c>
      <c r="X347" s="42" t="n">
        <f aca="false">-($D$342+$J$342)*(X$5=0)+IF(AND(X$5-$K$342&gt;=1,X$5-$K$342&lt;=Inputs!$C$13),INDEX($N$345:$AL$345,1,X$5-$K$342+1)*INDEX($N$346:$AL$346,1,X$5-$K$342+1),0)-$I$342*((X$5=Inputs!$C$12)*$C$344*$D$342+(X$5=Inputs!$C$13)*$D$344*($D$342+Inputs!$C$14))+$I$342*((X$5=Inputs!$C$15+$K$342)*$E$344*$I$344+(X$5=Inputs!$C$16+$K$342)*$F$344*$J$344+(X$5=Inputs!$C$17)*$G$344*$H$342*$H$344)</f>
        <v>337.0125</v>
      </c>
      <c r="Y347" s="42" t="n">
        <f aca="false">-($D$342+$J$342)*(Y$5=0)+IF(AND(Y$5-$K$342&gt;=1,Y$5-$K$342&lt;=Inputs!$C$13),INDEX($N$345:$AL$345,1,Y$5-$K$342+1)*INDEX($N$346:$AL$346,1,Y$5-$K$342+1),0)-$I$342*((Y$5=Inputs!$C$12)*$C$344*$D$342+(Y$5=Inputs!$C$13)*$D$344*($D$342+Inputs!$C$14))+$I$342*((Y$5=Inputs!$C$15+$K$342)*$E$344*$I$344+(Y$5=Inputs!$C$16+$K$342)*$F$344*$J$344+(Y$5=Inputs!$C$17)*$G$344*$H$342*$H$344)</f>
        <v>339.363750000001</v>
      </c>
      <c r="Z347" s="42" t="n">
        <f aca="false">-($D$342+$J$342)*(Z$5=0)+IF(AND(Z$5-$K$342&gt;=1,Z$5-$K$342&lt;=Inputs!$C$13),INDEX($N$345:$AL$345,1,Z$5-$K$342+1)*INDEX($N$346:$AL$346,1,Z$5-$K$342+1),0)-$I$342*((Z$5=Inputs!$C$12)*$C$344*$D$342+(Z$5=Inputs!$C$13)*$D$344*($D$342+Inputs!$C$14))+$I$342*((Z$5=Inputs!$C$15+$K$342)*$E$344*$I$344+(Z$5=Inputs!$C$16+$K$342)*$F$344*$J$344+(Z$5=Inputs!$C$17)*$G$344*$H$342*$H$344)</f>
        <v>-2660.285</v>
      </c>
      <c r="AA347" s="42" t="n">
        <f aca="false">-($D$342+$J$342)*(AA$5=0)+IF(AND(AA$5-$K$342&gt;=1,AA$5-$K$342&lt;=Inputs!$C$13),INDEX($N$345:$AL$345,1,AA$5-$K$342+1)*INDEX($N$346:$AL$346,1,AA$5-$K$342+1),0)-$I$342*((AA$5=Inputs!$C$12)*$C$344*$D$342+(AA$5=Inputs!$C$13)*$D$344*($D$342+Inputs!$C$14))+$I$342*((AA$5=Inputs!$C$15+$K$342)*$E$344*$I$344+(AA$5=Inputs!$C$16+$K$342)*$F$344*$J$344+(AA$5=Inputs!$C$17)*$G$344*$H$342*$H$344)</f>
        <v>421.44375</v>
      </c>
      <c r="AB347" s="42" t="n">
        <f aca="false">-($D$342+$J$342)*(AB$5=0)+IF(AND(AB$5-$K$342&gt;=1,AB$5-$K$342&lt;=Inputs!$C$13),INDEX($N$345:$AL$345,1,AB$5-$K$342+1)*INDEX($N$346:$AL$346,1,AB$5-$K$342+1),0)-$I$342*((AB$5=Inputs!$C$12)*$C$344*$D$342+(AB$5=Inputs!$C$13)*$D$344*($D$342+Inputs!$C$14))+$I$342*((AB$5=Inputs!$C$15+$K$342)*$E$344*$I$344+(AB$5=Inputs!$C$16+$K$342)*$F$344*$J$344+(AB$5=Inputs!$C$17)*$G$344*$H$342*$H$344)</f>
        <v>425.9325</v>
      </c>
      <c r="AC347" s="42" t="n">
        <f aca="false">-($D$342+$J$342)*(AC$5=0)+IF(AND(AC$5-$K$342&gt;=1,AC$5-$K$342&lt;=Inputs!$C$13),INDEX($N$345:$AL$345,1,AC$5-$K$342+1)*INDEX($N$346:$AL$346,1,AC$5-$K$342+1),0)-$I$342*((AC$5=Inputs!$C$12)*$C$344*$D$342+(AC$5=Inputs!$C$13)*$D$344*($D$342+Inputs!$C$14))+$I$342*((AC$5=Inputs!$C$15+$K$342)*$E$344*$I$344+(AC$5=Inputs!$C$16+$K$342)*$F$344*$J$344+(AC$5=Inputs!$C$17)*$G$344*$H$342*$H$344)</f>
        <v>430.421250000002</v>
      </c>
      <c r="AD347" s="42" t="n">
        <f aca="false">-($D$342+$J$342)*(AD$5=0)+IF(AND(AD$5-$K$342&gt;=1,AD$5-$K$342&lt;=Inputs!$C$13),INDEX($N$345:$AL$345,1,AD$5-$K$342+1)*INDEX($N$346:$AL$346,1,AD$5-$K$342+1),0)-$I$342*((AD$5=Inputs!$C$12)*$C$344*$D$342+(AD$5=Inputs!$C$13)*$D$344*($D$342+Inputs!$C$14))+$I$342*((AD$5=Inputs!$C$15+$K$342)*$E$344*$I$344+(AD$5=Inputs!$C$16+$K$342)*$F$344*$J$344+(AD$5=Inputs!$C$17)*$G$344*$H$342*$H$344)</f>
        <v>434.91</v>
      </c>
      <c r="AE347" s="42" t="n">
        <f aca="false">-($D$342+$J$342)*(AE$5=0)+IF(AND(AE$5-$K$342&gt;=1,AE$5-$K$342&lt;=Inputs!$C$13),INDEX($N$345:$AL$345,1,AE$5-$K$342+1)*INDEX($N$346:$AL$346,1,AE$5-$K$342+1),0)-$I$342*((AE$5=Inputs!$C$12)*$C$344*$D$342+(AE$5=Inputs!$C$13)*$D$344*($D$342+Inputs!$C$14))+$I$342*((AE$5=Inputs!$C$15+$K$342)*$E$344*$I$344+(AE$5=Inputs!$C$16+$K$342)*$F$344*$J$344+(AE$5=Inputs!$C$17)*$G$344*$H$342*$H$344)</f>
        <v>439.39875</v>
      </c>
      <c r="AF347" s="42" t="n">
        <f aca="false">-($D$342+$J$342)*(AF$5=0)+IF(AND(AF$5-$K$342&gt;=1,AF$5-$K$342&lt;=Inputs!$C$13),INDEX($N$345:$AL$345,1,AF$5-$K$342+1)*INDEX($N$346:$AL$346,1,AF$5-$K$342+1),0)-$I$342*((AF$5=Inputs!$C$12)*$C$344*$D$342+(AF$5=Inputs!$C$13)*$D$344*($D$342+Inputs!$C$14))+$I$342*((AF$5=Inputs!$C$15+$K$342)*$E$344*$I$344+(AF$5=Inputs!$C$16+$K$342)*$F$344*$J$344+(AF$5=Inputs!$C$17)*$G$344*$H$342*$H$344)</f>
        <v>443.8875</v>
      </c>
      <c r="AG347" s="42" t="n">
        <f aca="false">-($D$342+$J$342)*(AG$5=0)+IF(AND(AG$5-$K$342&gt;=1,AG$5-$K$342&lt;=Inputs!$C$13),INDEX($N$345:$AL$345,1,AG$5-$K$342+1)*INDEX($N$346:$AL$346,1,AG$5-$K$342+1),0)-$I$342*((AG$5=Inputs!$C$12)*$C$344*$D$342+(AG$5=Inputs!$C$13)*$D$344*($D$342+Inputs!$C$14))+$I$342*((AG$5=Inputs!$C$15+$K$342)*$E$344*$I$344+(AG$5=Inputs!$C$16+$K$342)*$F$344*$J$344+(AG$5=Inputs!$C$17)*$G$344*$H$342*$H$344)</f>
        <v>320.268750000001</v>
      </c>
      <c r="AH347" s="42" t="n">
        <f aca="false">-($D$342+$J$342)*(AH$5=0)+IF(AND(AH$5-$K$342&gt;=1,AH$5-$K$342&lt;=Inputs!$C$13),INDEX($N$345:$AL$345,1,AH$5-$K$342+1)*INDEX($N$346:$AL$346,1,AH$5-$K$342+1),0)-$I$342*((AH$5=Inputs!$C$12)*$C$344*$D$342+(AH$5=Inputs!$C$13)*$D$344*($D$342+Inputs!$C$14))+$I$342*((AH$5=Inputs!$C$15+$K$342)*$E$344*$I$344+(AH$5=Inputs!$C$16+$K$342)*$F$344*$J$344+(AH$5=Inputs!$C$17)*$G$344*$H$342*$H$344)</f>
        <v>323.474999999999</v>
      </c>
      <c r="AI347" s="42" t="n">
        <f aca="false">-($D$342+$J$342)*(AI$5=0)+IF(AND(AI$5-$K$342&gt;=1,AI$5-$K$342&lt;=Inputs!$C$13),INDEX($N$345:$AL$345,1,AI$5-$K$342+1)*INDEX($N$346:$AL$346,1,AI$5-$K$342+1),0)-$I$342*((AI$5=Inputs!$C$12)*$C$344*$D$342+(AI$5=Inputs!$C$13)*$D$344*($D$342+Inputs!$C$14))+$I$342*((AI$5=Inputs!$C$15+$K$342)*$E$344*$I$344+(AI$5=Inputs!$C$16+$K$342)*$F$344*$J$344+(AI$5=Inputs!$C$17)*$G$344*$H$342*$H$344)</f>
        <v>326.681249999999</v>
      </c>
      <c r="AJ347" s="42" t="n">
        <f aca="false">-($D$342+$J$342)*(AJ$5=0)+IF(AND(AJ$5-$K$342&gt;=1,AJ$5-$K$342&lt;=Inputs!$C$13),INDEX($N$345:$AL$345,1,AJ$5-$K$342+1)*INDEX($N$346:$AL$346,1,AJ$5-$K$342+1),0)-$I$342*((AJ$5=Inputs!$C$12)*$C$344*$D$342+(AJ$5=Inputs!$C$13)*$D$344*($D$342+Inputs!$C$14))+$I$342*((AJ$5=Inputs!$C$15+$K$342)*$E$344*$I$344+(AJ$5=Inputs!$C$16+$K$342)*$F$344*$J$344+(AJ$5=Inputs!$C$17)*$G$344*$H$342*$H$344)</f>
        <v>329.887500000001</v>
      </c>
      <c r="AK347" s="42" t="n">
        <f aca="false">-($D$342+$J$342)*(AK$5=0)+IF(AND(AK$5-$K$342&gt;=1,AK$5-$K$342&lt;=Inputs!$C$13),INDEX($N$345:$AL$345,1,AK$5-$K$342+1)*INDEX($N$346:$AL$346,1,AK$5-$K$342+1),0)-$I$342*((AK$5=Inputs!$C$12)*$C$344*$D$342+(AK$5=Inputs!$C$13)*$D$344*($D$342+Inputs!$C$14))+$I$342*((AK$5=Inputs!$C$15+$K$342)*$E$344*$I$344+(AK$5=Inputs!$C$16+$K$342)*$F$344*$J$344+(AK$5=Inputs!$C$17)*$G$344*$H$342*$H$344)</f>
        <v>333.093750000001</v>
      </c>
      <c r="AL347" s="42" t="n">
        <f aca="false">-($D$342+$J$342)*(AL$5=0)+IF(AND(AL$5-$K$342&gt;=1,AL$5-$K$342&lt;=Inputs!$C$13),INDEX($N$345:$AL$345,1,AL$5-$K$342+1)*INDEX($N$346:$AL$346,1,AL$5-$K$342+1),0)-$I$342*((AL$5=Inputs!$C$12)*$C$344*$D$342+(AL$5=Inputs!$C$13)*$D$344*($D$342+Inputs!$C$14))+$I$342*((AL$5=Inputs!$C$15+$K$342)*$E$344*$I$344+(AL$5=Inputs!$C$16+$K$342)*$F$344*$J$344+(AL$5=Inputs!$C$17)*$G$344*$H$342*$H$344)</f>
        <v>-793.700000000001</v>
      </c>
      <c r="AM347" s="42" t="n">
        <f aca="false">-($D$342+$J$342)*(AM$5=0)+IF(AND(AM$5-$K$342&gt;=1,AM$5-$K$342&lt;=Inputs!$C$13),INDEX($N$345:$AL$345,1,AM$5-$K$342+1)*INDEX($N$346:$AL$346,1,AM$5-$K$342+1),0)-$I$342*((AM$5=Inputs!$C$12)*$C$344*$D$342+(AM$5=Inputs!$C$13)*$D$344*($D$342+Inputs!$C$14))+$I$342*((AM$5=Inputs!$C$15+$K$342)*$E$344*$I$344+(AM$5=Inputs!$C$16+$K$342)*$F$344*$J$344+(AM$5=Inputs!$C$17)*$G$344*$H$342*$H$344)</f>
        <v>0</v>
      </c>
      <c r="AN347" s="42" t="n">
        <f aca="false">-($D$342+$J$342)*(AN$5=0)+IF(AND(AN$5-$K$342&gt;=1,AN$5-$K$342&lt;=Inputs!$C$13),INDEX($N$345:$AL$345,1,AN$5-$K$342+1)*INDEX($N$346:$AL$346,1,AN$5-$K$342+1),0)-$I$342*((AN$5=Inputs!$C$12)*$C$344*$D$342+(AN$5=Inputs!$C$13)*$D$344*($D$342+Inputs!$C$14))+$I$342*((AN$5=Inputs!$C$15+$K$342)*$E$344*$I$344+(AN$5=Inputs!$C$16+$K$342)*$F$344*$J$344+(AN$5=Inputs!$C$17)*$G$344*$H$342*$H$344)</f>
        <v>0</v>
      </c>
      <c r="AO347" s="42" t="n">
        <f aca="false">-($D$342+$J$342)*(AO$5=0)+IF(AND(AO$5-$K$342&gt;=1,AO$5-$K$342&lt;=Inputs!$C$13),INDEX($N$345:$AL$345,1,AO$5-$K$342+1)*INDEX($N$346:$AL$346,1,AO$5-$K$342+1),0)-$I$342*((AO$5=Inputs!$C$12)*$C$344*$D$342+(AO$5=Inputs!$C$13)*$D$344*($D$342+Inputs!$C$14))+$I$342*((AO$5=Inputs!$C$15+$K$342)*$E$344*$I$344+(AO$5=Inputs!$C$16+$K$342)*$F$344*$J$344+(AO$5=Inputs!$C$17)*$G$344*$H$342*$H$344)</f>
        <v>2087.325</v>
      </c>
      <c r="AP347" s="42" t="n">
        <f aca="false">-($D$342+$J$342)*(AP$5=0)+IF(AND(AP$5-$K$342&gt;=1,AP$5-$K$342&lt;=Inputs!$C$13),INDEX($N$345:$AL$345,1,AP$5-$K$342+1)*INDEX($N$346:$AL$346,1,AP$5-$K$342+1),0)-$I$342*((AP$5=Inputs!$C$12)*$C$344*$D$342+(AP$5=Inputs!$C$13)*$D$344*($D$342+Inputs!$C$14))+$I$342*((AP$5=Inputs!$C$15+$K$342)*$E$344*$I$344+(AP$5=Inputs!$C$16+$K$342)*$F$344*$J$344+(AP$5=Inputs!$C$17)*$G$344*$H$342*$H$344)</f>
        <v>0</v>
      </c>
      <c r="AQ347" s="42" t="n">
        <f aca="false">-($D$342+$J$342)*(AQ$5=0)+IF(AND(AQ$5-$K$342&gt;=1,AQ$5-$K$342&lt;=Inputs!$C$13),INDEX($N$345:$AL$345,1,AQ$5-$K$342+1)*INDEX($N$346:$AL$346,1,AQ$5-$K$342+1),0)-$I$342*((AQ$5=Inputs!$C$12)*$C$344*$D$342+(AQ$5=Inputs!$C$13)*$D$344*($D$342+Inputs!$C$14))+$I$342*((AQ$5=Inputs!$C$15+$K$342)*$E$344*$I$344+(AQ$5=Inputs!$C$16+$K$342)*$F$344*$J$344+(AQ$5=Inputs!$C$17)*$G$344*$H$342*$H$344)</f>
        <v>0</v>
      </c>
      <c r="AR347" s="42" t="n">
        <f aca="false">-($D$342+$J$342)*(AR$5=0)+IF(AND(AR$5-$K$342&gt;=1,AR$5-$K$342&lt;=Inputs!$C$13),INDEX($N$345:$AL$345,1,AR$5-$K$342+1)*INDEX($N$346:$AL$346,1,AR$5-$K$342+1),0)-$I$342*((AR$5=Inputs!$C$12)*$C$344*$D$342+(AR$5=Inputs!$C$13)*$D$344*($D$342+Inputs!$C$14))+$I$342*((AR$5=Inputs!$C$15+$K$342)*$E$344*$I$344+(AR$5=Inputs!$C$16+$K$342)*$F$344*$J$344+(AR$5=Inputs!$C$17)*$G$344*$H$342*$H$344)</f>
        <v>1147.44</v>
      </c>
      <c r="AS347" s="42" t="n">
        <f aca="false">-($D$342+$J$342)*(AS$5=0)+IF(AND(AS$5-$K$342&gt;=1,AS$5-$K$342&lt;=Inputs!$C$13),INDEX($N$345:$AL$345,1,AS$5-$K$342+1)*INDEX($N$346:$AL$346,1,AS$5-$K$342+1),0)-$I$342*((AS$5=Inputs!$C$12)*$C$344*$D$342+(AS$5=Inputs!$C$13)*$D$344*($D$342+Inputs!$C$14))+$I$342*((AS$5=Inputs!$C$15+$K$342)*$E$344*$I$344+(AS$5=Inputs!$C$16+$K$342)*$F$344*$J$344+(AS$5=Inputs!$C$17)*$G$344*$H$342*$H$344)</f>
        <v>0</v>
      </c>
      <c r="AT347" s="42" t="n">
        <f aca="false">-($D$342+$J$342)*(AT$5=0)+IF(AND(AT$5-$K$342&gt;=1,AT$5-$K$342&lt;=Inputs!$C$13),INDEX($N$345:$AL$345,1,AT$5-$K$342+1)*INDEX($N$346:$AL$346,1,AT$5-$K$342+1),0)-$I$342*((AT$5=Inputs!$C$12)*$C$344*$D$342+(AT$5=Inputs!$C$13)*$D$344*($D$342+Inputs!$C$14))+$I$342*((AT$5=Inputs!$C$15+$K$342)*$E$344*$I$344+(AT$5=Inputs!$C$16+$K$342)*$F$344*$J$344+(AT$5=Inputs!$C$17)*$G$344*$H$342*$H$344)</f>
        <v>0</v>
      </c>
      <c r="AU347" s="42" t="n">
        <f aca="false">-($D$342+$J$342)*(AU$5=0)+IF(AND(AU$5-$K$342&gt;=1,AU$5-$K$342&lt;=Inputs!$C$13),INDEX($N$345:$AL$345,1,AU$5-$K$342+1)*INDEX($N$346:$AL$346,1,AU$5-$K$342+1),0)-$I$342*((AU$5=Inputs!$C$12)*$C$344*$D$342+(AU$5=Inputs!$C$13)*$D$344*($D$342+Inputs!$C$14))+$I$342*((AU$5=Inputs!$C$15+$K$342)*$E$344*$I$344+(AU$5=Inputs!$C$16+$K$342)*$F$344*$J$344+(AU$5=Inputs!$C$17)*$G$344*$H$342*$H$344)</f>
        <v>0</v>
      </c>
      <c r="AV347" s="42" t="n">
        <f aca="false">-($D$342+$J$342)*(AV$5=0)+IF(AND(AV$5-$K$342&gt;=1,AV$5-$K$342&lt;=Inputs!$C$13),INDEX($N$345:$AL$345,1,AV$5-$K$342+1)*INDEX($N$346:$AL$346,1,AV$5-$K$342+1),0)-$I$342*((AV$5=Inputs!$C$12)*$C$344*$D$342+(AV$5=Inputs!$C$13)*$D$344*($D$342+Inputs!$C$14))+$I$342*((AV$5=Inputs!$C$15+$K$342)*$E$344*$I$344+(AV$5=Inputs!$C$16+$K$342)*$F$344*$J$344+(AV$5=Inputs!$C$17)*$G$344*$H$342*$H$344)</f>
        <v>0</v>
      </c>
      <c r="AW347" s="42" t="n">
        <f aca="false">-($D$342+$J$342)*(AW$5=0)+IF(AND(AW$5-$K$342&gt;=1,AW$5-$K$342&lt;=Inputs!$C$13),INDEX($N$345:$AL$345,1,AW$5-$K$342+1)*INDEX($N$346:$AL$346,1,AW$5-$K$342+1),0)-$I$342*((AW$5=Inputs!$C$12)*$C$344*$D$342+(AW$5=Inputs!$C$13)*$D$344*($D$342+Inputs!$C$14))+$I$342*((AW$5=Inputs!$C$15+$K$342)*$E$344*$I$344+(AW$5=Inputs!$C$16+$K$342)*$F$344*$J$344+(AW$5=Inputs!$C$17)*$G$344*$H$342*$H$344)</f>
        <v>0</v>
      </c>
      <c r="AX347" s="42" t="n">
        <f aca="false">-($D$342+$J$342)*(AX$5=0)+IF(AND(AX$5-$K$342&gt;=1,AX$5-$K$342&lt;=Inputs!$C$13),INDEX($N$345:$AL$345,1,AX$5-$K$342+1)*INDEX($N$346:$AL$346,1,AX$5-$K$342+1),0)-$I$342*((AX$5=Inputs!$C$12)*$C$344*$D$342+(AX$5=Inputs!$C$13)*$D$344*($D$342+Inputs!$C$14))+$I$342*((AX$5=Inputs!$C$15+$K$342)*$E$344*$I$344+(AX$5=Inputs!$C$16+$K$342)*$F$344*$J$344+(AX$5=Inputs!$C$17)*$G$344*$H$342*$H$344)</f>
        <v>218.16</v>
      </c>
      <c r="AY347" s="42" t="n">
        <f aca="false">-($D$342+$J$342)*(AY$5=0)+IF(AND(AY$5-$K$342&gt;=1,AY$5-$K$342&lt;=Inputs!$C$13),INDEX($N$345:$AL$345,1,AY$5-$K$342+1)*INDEX($N$346:$AL$346,1,AY$5-$K$342+1),0)-$I$342*((AY$5=Inputs!$C$12)*$C$344*$D$342+(AY$5=Inputs!$C$13)*$D$344*($D$342+Inputs!$C$14))+$I$342*((AY$5=Inputs!$C$15+$K$342)*$E$344*$I$344+(AY$5=Inputs!$C$16+$K$342)*$F$344*$J$344+(AY$5=Inputs!$C$17)*$G$344*$H$342*$H$344)</f>
        <v>0</v>
      </c>
    </row>
    <row r="349" customFormat="false" ht="15" hidden="false" customHeight="false" outlineLevel="0" collapsed="false">
      <c r="B349" s="7" t="s">
        <v>279</v>
      </c>
      <c r="C349" s="8"/>
      <c r="D349" s="8"/>
      <c r="E349" s="8"/>
      <c r="F349" s="8"/>
      <c r="G349" s="8"/>
      <c r="H349" s="8"/>
      <c r="I349" s="8"/>
      <c r="J349" s="8"/>
      <c r="K349" s="8"/>
      <c r="L349" s="8"/>
    </row>
    <row r="350" customFormat="false" ht="30" hidden="false" customHeight="true" outlineLevel="0" collapsed="false">
      <c r="B350" s="37"/>
      <c r="C350" s="38" t="s">
        <v>169</v>
      </c>
      <c r="D350" s="38" t="s">
        <v>170</v>
      </c>
      <c r="E350" s="38" t="s">
        <v>171</v>
      </c>
      <c r="F350" s="38" t="s">
        <v>43</v>
      </c>
      <c r="G350" s="38" t="s">
        <v>44</v>
      </c>
      <c r="H350" s="38" t="s">
        <v>45</v>
      </c>
      <c r="I350" s="38" t="s">
        <v>172</v>
      </c>
      <c r="J350" s="38" t="s">
        <v>90</v>
      </c>
      <c r="K350" s="38" t="s">
        <v>89</v>
      </c>
      <c r="L350" s="38" t="s">
        <v>173</v>
      </c>
    </row>
    <row r="351" customFormat="false" ht="15" hidden="false" customHeight="false" outlineLevel="0" collapsed="false">
      <c r="B351" s="39" t="s">
        <v>174</v>
      </c>
      <c r="C351" s="26" t="n">
        <f aca="false">Inputs!$F$42*Inputs!$E$62</f>
        <v>0.13</v>
      </c>
      <c r="D351" s="30" t="n">
        <f aca="false">Inputs!$E$42</f>
        <v>1600</v>
      </c>
      <c r="E351" s="26" t="n">
        <f aca="false">IF(Inputs!$G$42=1,Inputs!$F$27,MIN(1,MAX(0,INDEX(Inputs!$F$23:$F$27,MATCH(Inputs!$C$42,Inputs!$B$23:$B$27,0))+INDEX(Inputs!$C$48:$C$51,MATCH(Inputs!$D$62,Inputs!$B$48:$B$51,0)))))</f>
        <v>0.8</v>
      </c>
      <c r="F351" s="25" t="n">
        <f aca="false">IF(Inputs!$G$42=1,Inputs!$G$27,INDEX(Inputs!$G$23:$G$27,MATCH(Inputs!$C$42,Inputs!$B$23:$B$27,0)))</f>
        <v>0.4</v>
      </c>
      <c r="G351" s="25" t="n">
        <f aca="false">IF(Inputs!$G$42=1,Inputs!$H$27,INDEX(Inputs!$H$23:$H$27,MATCH(Inputs!$C$42,Inputs!$B$23:$B$27,0)))*INDEX(Inputs!$D$48:$D$51,MATCH(Inputs!$D$62,Inputs!$B$48:$B$51,0))</f>
        <v>0.5</v>
      </c>
      <c r="H351" s="25" t="n">
        <f aca="false">MAX(0,IF(Inputs!$G$42=1,Inputs!$I$27,INDEX(Inputs!$I$23:$I$27,MATCH(Inputs!$C$42,Inputs!$B$23:$B$27,0)))+INDEX(Inputs!$E$48:$E$51,MATCH(Inputs!$D$62,Inputs!$B$48:$B$51,0)))</f>
        <v>0.7</v>
      </c>
      <c r="I351" s="22" t="n">
        <f aca="false">IF(Inputs!$G$42=1,0,INDEX(Inputs!$J$23:$J$27,MATCH(Inputs!$C$42,Inputs!$B$23:$B$27,0)))</f>
        <v>1</v>
      </c>
      <c r="J351" s="23" t="n">
        <f aca="false">Inputs!$G$62</f>
        <v>10</v>
      </c>
      <c r="K351" s="22" t="n">
        <f aca="false">Inputs!$F$62</f>
        <v>0</v>
      </c>
      <c r="L351" s="22" t="n">
        <f aca="false">Inputs!$C$62</f>
        <v>1</v>
      </c>
    </row>
    <row r="352" customFormat="false" ht="30" hidden="false" customHeight="true" outlineLevel="0" collapsed="false">
      <c r="B352" s="37"/>
      <c r="C352" s="38" t="s">
        <v>175</v>
      </c>
      <c r="D352" s="38" t="s">
        <v>176</v>
      </c>
      <c r="E352" s="38" t="s">
        <v>177</v>
      </c>
      <c r="F352" s="38" t="s">
        <v>178</v>
      </c>
      <c r="G352" s="38" t="s">
        <v>112</v>
      </c>
      <c r="H352" s="38" t="s">
        <v>179</v>
      </c>
      <c r="I352" s="38" t="s">
        <v>180</v>
      </c>
      <c r="J352" s="38" t="s">
        <v>181</v>
      </c>
      <c r="K352" s="38" t="s">
        <v>182</v>
      </c>
      <c r="L352" s="38" t="s">
        <v>183</v>
      </c>
    </row>
    <row r="353" customFormat="false" ht="15" hidden="false" customHeight="false" outlineLevel="0" collapsed="false">
      <c r="B353" s="39" t="s">
        <v>184</v>
      </c>
      <c r="C353" s="40" t="n">
        <f aca="false">1-$E$351*CHOOSE($L$351,INDEX(Timing!$C$7:$AA$7,1,Inputs!$C$12+1),INDEX(Timing!$C$8:$AA$8,1,Inputs!$C$12+1))</f>
        <v>0.392</v>
      </c>
      <c r="D353" s="40" t="n">
        <f aca="false">1-$E$351*CHOOSE($L$351,INDEX(Timing!$C$7:$AA$7,1,Inputs!$C$13+1),INDEX(Timing!$C$8:$AA$8,1,Inputs!$C$13+1))</f>
        <v>0.2</v>
      </c>
      <c r="E353" s="40" t="n">
        <f aca="false">$I$351*$D$353*$F$351</f>
        <v>0.08</v>
      </c>
      <c r="F353" s="40" t="n">
        <f aca="false">$I$351*($D$353-$E$353)*$G$351</f>
        <v>0.06</v>
      </c>
      <c r="G353" s="40" t="n">
        <f aca="false">$I$351*($D$353-$E$353-$F$353)</f>
        <v>0.06</v>
      </c>
      <c r="H353" s="23" t="n">
        <f aca="false">$I$351*(3*$D$351+Inputs!$C$14)</f>
        <v>6600</v>
      </c>
      <c r="I353" s="23" t="n">
        <f aca="false">$I$351*($D$351*(1+IF($C$351&lt;=0,0,MAX($C$351*Inputs!$C$15/12,Inputs!$C$8)))+$D$351*(1+Inputs!$C$11*(Inputs!$C$15-Inputs!$C$12)/12)+$D$351*(1+Inputs!$C$11*(Inputs!$C$15-Inputs!$C$13)/12)+Inputs!$C$14)</f>
        <v>7500</v>
      </c>
      <c r="J353" s="23" t="n">
        <f aca="false">$I$351*($D$351*(1+IF($C$351&lt;=0,0,MAX($C$351*Inputs!$C$16/12,Inputs!$C$8)))+$D$351*(1+Inputs!$C$11*(Inputs!$C$16-Inputs!$C$12)/12)+$D$351*(1+Inputs!$C$11*(Inputs!$C$16-Inputs!$C$13)/12)+Inputs!$C$14)</f>
        <v>7696</v>
      </c>
      <c r="K353" s="40" t="n">
        <f aca="false">IRR($N$356:$AY$356,0.005)</f>
        <v>0.00511923337570379</v>
      </c>
      <c r="L353" s="41" t="n">
        <f aca="false">(1+$K$353)^12-1</f>
        <v>0.0631902902292068</v>
      </c>
    </row>
    <row r="354" customFormat="false" ht="15" hidden="false" customHeight="false" outlineLevel="0" collapsed="false">
      <c r="B354" s="9" t="s">
        <v>185</v>
      </c>
      <c r="N354" s="40" t="n">
        <f aca="false">0</f>
        <v>0</v>
      </c>
      <c r="O354" s="40" t="n">
        <f aca="false">$E$351*(CHOOSE($L$351,Timing!D$7,Timing!D$8)-CHOOSE($L$351,Timing!C$7,Timing!C$8))</f>
        <v>0.096</v>
      </c>
      <c r="P354" s="40" t="n">
        <f aca="false">$E$351*(CHOOSE($L$351,Timing!E$7,Timing!E$8)-CHOOSE($L$351,Timing!D$7,Timing!D$8))</f>
        <v>0.08</v>
      </c>
      <c r="Q354" s="40" t="n">
        <f aca="false">$E$351*(CHOOSE($L$351,Timing!F$7,Timing!F$8)-CHOOSE($L$351,Timing!E$7,Timing!E$8))</f>
        <v>0.072</v>
      </c>
      <c r="R354" s="40" t="n">
        <f aca="false">$E$351*(CHOOSE($L$351,Timing!G$7,Timing!G$8)-CHOOSE($L$351,Timing!F$7,Timing!F$8))</f>
        <v>0.056</v>
      </c>
      <c r="S354" s="40" t="n">
        <f aca="false">$E$351*(CHOOSE($L$351,Timing!H$7,Timing!H$8)-CHOOSE($L$351,Timing!G$7,Timing!G$8))</f>
        <v>0.056</v>
      </c>
      <c r="T354" s="40" t="n">
        <f aca="false">$E$351*(CHOOSE($L$351,Timing!I$7,Timing!I$8)-CHOOSE($L$351,Timing!H$7,Timing!H$8))</f>
        <v>0.056</v>
      </c>
      <c r="U354" s="40" t="n">
        <f aca="false">$E$351*(CHOOSE($L$351,Timing!J$7,Timing!J$8)-CHOOSE($L$351,Timing!I$7,Timing!I$8))</f>
        <v>0.0346666666666667</v>
      </c>
      <c r="V354" s="40" t="n">
        <f aca="false">$E$351*(CHOOSE($L$351,Timing!K$7,Timing!K$8)-CHOOSE($L$351,Timing!J$7,Timing!J$8))</f>
        <v>0.0346666666666667</v>
      </c>
      <c r="W354" s="40" t="n">
        <f aca="false">$E$351*(CHOOSE($L$351,Timing!L$7,Timing!L$8)-CHOOSE($L$351,Timing!K$7,Timing!K$8))</f>
        <v>0.0346666666666667</v>
      </c>
      <c r="X354" s="40" t="n">
        <f aca="false">$E$351*(CHOOSE($L$351,Timing!M$7,Timing!M$8)-CHOOSE($L$351,Timing!L$7,Timing!L$8))</f>
        <v>0.0293333333333333</v>
      </c>
      <c r="Y354" s="40" t="n">
        <f aca="false">$E$351*(CHOOSE($L$351,Timing!N$7,Timing!N$8)-CHOOSE($L$351,Timing!M$7,Timing!M$8))</f>
        <v>0.0293333333333334</v>
      </c>
      <c r="Z354" s="40" t="n">
        <f aca="false">$E$351*(CHOOSE($L$351,Timing!O$7,Timing!O$8)-CHOOSE($L$351,Timing!N$7,Timing!N$8))</f>
        <v>0.0293333333333333</v>
      </c>
      <c r="AA354" s="40" t="n">
        <f aca="false">$E$351*(CHOOSE($L$351,Timing!P$7,Timing!P$8)-CHOOSE($L$351,Timing!O$7,Timing!O$8))</f>
        <v>0.0186666666666667</v>
      </c>
      <c r="AB354" s="40" t="n">
        <f aca="false">$E$351*(CHOOSE($L$351,Timing!Q$7,Timing!Q$8)-CHOOSE($L$351,Timing!P$7,Timing!P$8))</f>
        <v>0.0186666666666667</v>
      </c>
      <c r="AC354" s="40" t="n">
        <f aca="false">$E$351*(CHOOSE($L$351,Timing!R$7,Timing!R$8)-CHOOSE($L$351,Timing!Q$7,Timing!Q$8))</f>
        <v>0.0186666666666667</v>
      </c>
      <c r="AD354" s="40" t="n">
        <f aca="false">$E$351*(CHOOSE($L$351,Timing!S$7,Timing!S$8)-CHOOSE($L$351,Timing!R$7,Timing!R$8))</f>
        <v>0.0186666666666667</v>
      </c>
      <c r="AE354" s="40" t="n">
        <f aca="false">$E$351*(CHOOSE($L$351,Timing!T$7,Timing!T$8)-CHOOSE($L$351,Timing!S$7,Timing!S$8))</f>
        <v>0.0186666666666667</v>
      </c>
      <c r="AF354" s="40" t="n">
        <f aca="false">$E$351*(CHOOSE($L$351,Timing!U$7,Timing!U$8)-CHOOSE($L$351,Timing!T$7,Timing!T$8))</f>
        <v>0.0186666666666667</v>
      </c>
      <c r="AG354" s="40" t="n">
        <f aca="false">$E$351*(CHOOSE($L$351,Timing!V$7,Timing!V$8)-CHOOSE($L$351,Timing!U$7,Timing!U$8))</f>
        <v>0.0133333333333334</v>
      </c>
      <c r="AH354" s="40" t="n">
        <f aca="false">$E$351*(CHOOSE($L$351,Timing!W$7,Timing!W$8)-CHOOSE($L$351,Timing!V$7,Timing!V$8))</f>
        <v>0.0133333333333333</v>
      </c>
      <c r="AI354" s="40" t="n">
        <f aca="false">$E$351*(CHOOSE($L$351,Timing!X$7,Timing!X$8)-CHOOSE($L$351,Timing!W$7,Timing!W$8))</f>
        <v>0.0133333333333333</v>
      </c>
      <c r="AJ354" s="40" t="n">
        <f aca="false">$E$351*(CHOOSE($L$351,Timing!Y$7,Timing!Y$8)-CHOOSE($L$351,Timing!X$7,Timing!X$8))</f>
        <v>0.0133333333333334</v>
      </c>
      <c r="AK354" s="40" t="n">
        <f aca="false">$E$351*(CHOOSE($L$351,Timing!Z$7,Timing!Z$8)-CHOOSE($L$351,Timing!Y$7,Timing!Y$8))</f>
        <v>0.0133333333333334</v>
      </c>
      <c r="AL354" s="40" t="n">
        <f aca="false">$E$351*(CHOOSE($L$351,Timing!AA$7,Timing!AA$8)-CHOOSE($L$351,Timing!Z$7,Timing!Z$8))</f>
        <v>0.0133333333333333</v>
      </c>
    </row>
    <row r="355" customFormat="false" ht="15" hidden="false" customHeight="false" outlineLevel="0" collapsed="false">
      <c r="B355" s="9" t="s">
        <v>186</v>
      </c>
      <c r="N355" s="42" t="n">
        <f aca="false">0</f>
        <v>0</v>
      </c>
      <c r="O355" s="42" t="n">
        <f aca="false">$D$351*(1+IF($C$351&lt;=0,0,MAX($C$351*O$5/12,Inputs!$C$8)))+$I$351*(O$5&gt;Inputs!$C$12)*$D$351*(1+Inputs!$C$11*(O$5-Inputs!$C$12)/12)</f>
        <v>1680</v>
      </c>
      <c r="P355" s="42" t="n">
        <f aca="false">$D$351*(1+IF($C$351&lt;=0,0,MAX($C$351*P$5/12,Inputs!$C$8)))+$I$351*(P$5&gt;Inputs!$C$12)*$D$351*(1+Inputs!$C$11*(P$5-Inputs!$C$12)/12)</f>
        <v>1680</v>
      </c>
      <c r="Q355" s="42" t="n">
        <f aca="false">$D$351*(1+IF($C$351&lt;=0,0,MAX($C$351*Q$5/12,Inputs!$C$8)))+$I$351*(Q$5&gt;Inputs!$C$12)*$D$351*(1+Inputs!$C$11*(Q$5-Inputs!$C$12)/12)</f>
        <v>1680</v>
      </c>
      <c r="R355" s="42" t="n">
        <f aca="false">$D$351*(1+IF($C$351&lt;=0,0,MAX($C$351*R$5/12,Inputs!$C$8)))+$I$351*(R$5&gt;Inputs!$C$12)*$D$351*(1+Inputs!$C$11*(R$5-Inputs!$C$12)/12)</f>
        <v>1680</v>
      </c>
      <c r="S355" s="42" t="n">
        <f aca="false">$D$351*(1+IF($C$351&lt;=0,0,MAX($C$351*S$5/12,Inputs!$C$8)))+$I$351*(S$5&gt;Inputs!$C$12)*$D$351*(1+Inputs!$C$11*(S$5-Inputs!$C$12)/12)</f>
        <v>1686.66666666667</v>
      </c>
      <c r="T355" s="42" t="n">
        <f aca="false">$D$351*(1+IF($C$351&lt;=0,0,MAX($C$351*T$5/12,Inputs!$C$8)))+$I$351*(T$5&gt;Inputs!$C$12)*$D$351*(1+Inputs!$C$11*(T$5-Inputs!$C$12)/12)</f>
        <v>1704</v>
      </c>
      <c r="U355" s="42" t="n">
        <f aca="false">$D$351*(1+IF($C$351&lt;=0,0,MAX($C$351*U$5/12,Inputs!$C$8)))+$I$351*(U$5&gt;Inputs!$C$12)*$D$351*(1+Inputs!$C$11*(U$5-Inputs!$C$12)/12)</f>
        <v>1721.33333333333</v>
      </c>
      <c r="V355" s="42" t="n">
        <f aca="false">$D$351*(1+IF($C$351&lt;=0,0,MAX($C$351*V$5/12,Inputs!$C$8)))+$I$351*(V$5&gt;Inputs!$C$12)*$D$351*(1+Inputs!$C$11*(V$5-Inputs!$C$12)/12)</f>
        <v>1738.66666666667</v>
      </c>
      <c r="W355" s="42" t="n">
        <f aca="false">$D$351*(1+IF($C$351&lt;=0,0,MAX($C$351*W$5/12,Inputs!$C$8)))+$I$351*(W$5&gt;Inputs!$C$12)*$D$351*(1+Inputs!$C$11*(W$5-Inputs!$C$12)/12)</f>
        <v>1756</v>
      </c>
      <c r="X355" s="42" t="n">
        <f aca="false">$D$351*(1+IF($C$351&lt;=0,0,MAX($C$351*X$5/12,Inputs!$C$8)))+$I$351*(X$5&gt;Inputs!$C$12)*$D$351*(1+Inputs!$C$11*(X$5-Inputs!$C$12)/12)</f>
        <v>1773.33333333333</v>
      </c>
      <c r="Y355" s="42" t="n">
        <f aca="false">$D$351*(1+IF($C$351&lt;=0,0,MAX($C$351*Y$5/12,Inputs!$C$8)))+$I$351*(Y$5&gt;Inputs!$C$12)*$D$351*(1+Inputs!$C$11*(Y$5-Inputs!$C$12)/12)</f>
        <v>1790.66666666667</v>
      </c>
      <c r="Z355" s="42" t="n">
        <f aca="false">$D$351*(1+IF($C$351&lt;=0,0,MAX($C$351*Z$5/12,Inputs!$C$8)))+$I$351*(Z$5&gt;Inputs!$C$12)*$D$351*(1+Inputs!$C$11*(Z$5-Inputs!$C$12)/12)</f>
        <v>1808</v>
      </c>
      <c r="AA355" s="42" t="n">
        <f aca="false">$D$351*(1+IF($C$351&lt;=0,0,MAX($C$351*AA$5/12,Inputs!$C$8)))+$I$351*(AA$5&gt;Inputs!$C$12)*$D$351*(1+Inputs!$C$11*(AA$5-Inputs!$C$12)/12)</f>
        <v>3449.33333333333</v>
      </c>
      <c r="AB355" s="42" t="n">
        <f aca="false">$D$351*(1+IF($C$351&lt;=0,0,MAX($C$351*AB$5/12,Inputs!$C$8)))+$I$351*(AB$5&gt;Inputs!$C$12)*$D$351*(1+Inputs!$C$11*(AB$5-Inputs!$C$12)/12)</f>
        <v>3490.66666666667</v>
      </c>
      <c r="AC355" s="42" t="n">
        <f aca="false">$D$351*(1+IF($C$351&lt;=0,0,MAX($C$351*AC$5/12,Inputs!$C$8)))+$I$351*(AC$5&gt;Inputs!$C$12)*$D$351*(1+Inputs!$C$11*(AC$5-Inputs!$C$12)/12)</f>
        <v>3532</v>
      </c>
      <c r="AD355" s="42" t="n">
        <f aca="false">$D$351*(1+IF($C$351&lt;=0,0,MAX($C$351*AD$5/12,Inputs!$C$8)))+$I$351*(AD$5&gt;Inputs!$C$12)*$D$351*(1+Inputs!$C$11*(AD$5-Inputs!$C$12)/12)</f>
        <v>3573.33333333333</v>
      </c>
      <c r="AE355" s="42" t="n">
        <f aca="false">$D$351*(1+IF($C$351&lt;=0,0,MAX($C$351*AE$5/12,Inputs!$C$8)))+$I$351*(AE$5&gt;Inputs!$C$12)*$D$351*(1+Inputs!$C$11*(AE$5-Inputs!$C$12)/12)</f>
        <v>3614.66666666667</v>
      </c>
      <c r="AF355" s="42" t="n">
        <f aca="false">$D$351*(1+IF($C$351&lt;=0,0,MAX($C$351*AF$5/12,Inputs!$C$8)))+$I$351*(AF$5&gt;Inputs!$C$12)*$D$351*(1+Inputs!$C$11*(AF$5-Inputs!$C$12)/12)</f>
        <v>3656</v>
      </c>
      <c r="AG355" s="42" t="n">
        <f aca="false">$D$351*(1+IF($C$351&lt;=0,0,MAX($C$351*AG$5/12,Inputs!$C$8)))+$I$351*(AG$5&gt;Inputs!$C$12)*$D$351*(1+Inputs!$C$11*(AG$5-Inputs!$C$12)/12)</f>
        <v>3697.33333333333</v>
      </c>
      <c r="AH355" s="42" t="n">
        <f aca="false">$D$351*(1+IF($C$351&lt;=0,0,MAX($C$351*AH$5/12,Inputs!$C$8)))+$I$351*(AH$5&gt;Inputs!$C$12)*$D$351*(1+Inputs!$C$11*(AH$5-Inputs!$C$12)/12)</f>
        <v>3738.66666666667</v>
      </c>
      <c r="AI355" s="42" t="n">
        <f aca="false">$D$351*(1+IF($C$351&lt;=0,0,MAX($C$351*AI$5/12,Inputs!$C$8)))+$I$351*(AI$5&gt;Inputs!$C$12)*$D$351*(1+Inputs!$C$11*(AI$5-Inputs!$C$12)/12)</f>
        <v>3780</v>
      </c>
      <c r="AJ355" s="42" t="n">
        <f aca="false">$D$351*(1+IF($C$351&lt;=0,0,MAX($C$351*AJ$5/12,Inputs!$C$8)))+$I$351*(AJ$5&gt;Inputs!$C$12)*$D$351*(1+Inputs!$C$11*(AJ$5-Inputs!$C$12)/12)</f>
        <v>3821.33333333333</v>
      </c>
      <c r="AK355" s="42" t="n">
        <f aca="false">$D$351*(1+IF($C$351&lt;=0,0,MAX($C$351*AK$5/12,Inputs!$C$8)))+$I$351*(AK$5&gt;Inputs!$C$12)*$D$351*(1+Inputs!$C$11*(AK$5-Inputs!$C$12)/12)</f>
        <v>3862.66666666667</v>
      </c>
      <c r="AL355" s="42" t="n">
        <f aca="false">$D$351*(1+IF($C$351&lt;=0,0,MAX($C$351*AL$5/12,Inputs!$C$8)))+$I$351*(AL$5&gt;Inputs!$C$12)*$D$351*(1+Inputs!$C$11*(AL$5-Inputs!$C$12)/12)</f>
        <v>3904</v>
      </c>
    </row>
    <row r="356" customFormat="false" ht="15" hidden="false" customHeight="false" outlineLevel="0" collapsed="false">
      <c r="B356" s="31" t="s">
        <v>187</v>
      </c>
      <c r="N356" s="42" t="n">
        <f aca="false">-($D$351+$J$351)*(N$5=0)+IF(AND(N$5-$K$351&gt;=1,N$5-$K$351&lt;=Inputs!$C$13),INDEX($N$354:$AL$354,1,N$5-$K$351+1)*INDEX($N$355:$AL$355,1,N$5-$K$351+1),0)-$I$351*((N$5=Inputs!$C$12)*$C$353*$D$351+(N$5=Inputs!$C$13)*$D$353*($D$351+Inputs!$C$14))+$I$351*((N$5=Inputs!$C$15+$K$351)*$E$353*$I$353+(N$5=Inputs!$C$16+$K$351)*$F$353*$J$353+(N$5=Inputs!$C$17)*$G$353*$H$351*$H$353)</f>
        <v>-1610</v>
      </c>
      <c r="O356" s="42" t="n">
        <f aca="false">-($D$351+$J$351)*(O$5=0)+IF(AND(O$5-$K$351&gt;=1,O$5-$K$351&lt;=Inputs!$C$13),INDEX($N$354:$AL$354,1,O$5-$K$351+1)*INDEX($N$355:$AL$355,1,O$5-$K$351+1),0)-$I$351*((O$5=Inputs!$C$12)*$C$353*$D$351+(O$5=Inputs!$C$13)*$D$353*($D$351+Inputs!$C$14))+$I$351*((O$5=Inputs!$C$15+$K$351)*$E$353*$I$353+(O$5=Inputs!$C$16+$K$351)*$F$353*$J$353+(O$5=Inputs!$C$17)*$G$353*$H$351*$H$353)</f>
        <v>161.28</v>
      </c>
      <c r="P356" s="42" t="n">
        <f aca="false">-($D$351+$J$351)*(P$5=0)+IF(AND(P$5-$K$351&gt;=1,P$5-$K$351&lt;=Inputs!$C$13),INDEX($N$354:$AL$354,1,P$5-$K$351+1)*INDEX($N$355:$AL$355,1,P$5-$K$351+1),0)-$I$351*((P$5=Inputs!$C$12)*$C$353*$D$351+(P$5=Inputs!$C$13)*$D$353*($D$351+Inputs!$C$14))+$I$351*((P$5=Inputs!$C$15+$K$351)*$E$353*$I$353+(P$5=Inputs!$C$16+$K$351)*$F$353*$J$353+(P$5=Inputs!$C$17)*$G$353*$H$351*$H$353)</f>
        <v>134.4</v>
      </c>
      <c r="Q356" s="42" t="n">
        <f aca="false">-($D$351+$J$351)*(Q$5=0)+IF(AND(Q$5-$K$351&gt;=1,Q$5-$K$351&lt;=Inputs!$C$13),INDEX($N$354:$AL$354,1,Q$5-$K$351+1)*INDEX($N$355:$AL$355,1,Q$5-$K$351+1),0)-$I$351*((Q$5=Inputs!$C$12)*$C$353*$D$351+(Q$5=Inputs!$C$13)*$D$353*($D$351+Inputs!$C$14))+$I$351*((Q$5=Inputs!$C$15+$K$351)*$E$353*$I$353+(Q$5=Inputs!$C$16+$K$351)*$F$353*$J$353+(Q$5=Inputs!$C$17)*$G$353*$H$351*$H$353)</f>
        <v>120.96</v>
      </c>
      <c r="R356" s="42" t="n">
        <f aca="false">-($D$351+$J$351)*(R$5=0)+IF(AND(R$5-$K$351&gt;=1,R$5-$K$351&lt;=Inputs!$C$13),INDEX($N$354:$AL$354,1,R$5-$K$351+1)*INDEX($N$355:$AL$355,1,R$5-$K$351+1),0)-$I$351*((R$5=Inputs!$C$12)*$C$353*$D$351+(R$5=Inputs!$C$13)*$D$353*($D$351+Inputs!$C$14))+$I$351*((R$5=Inputs!$C$15+$K$351)*$E$353*$I$353+(R$5=Inputs!$C$16+$K$351)*$F$353*$J$353+(R$5=Inputs!$C$17)*$G$353*$H$351*$H$353)</f>
        <v>94.08</v>
      </c>
      <c r="S356" s="42" t="n">
        <f aca="false">-($D$351+$J$351)*(S$5=0)+IF(AND(S$5-$K$351&gt;=1,S$5-$K$351&lt;=Inputs!$C$13),INDEX($N$354:$AL$354,1,S$5-$K$351+1)*INDEX($N$355:$AL$355,1,S$5-$K$351+1),0)-$I$351*((S$5=Inputs!$C$12)*$C$353*$D$351+(S$5=Inputs!$C$13)*$D$353*($D$351+Inputs!$C$14))+$I$351*((S$5=Inputs!$C$15+$K$351)*$E$353*$I$353+(S$5=Inputs!$C$16+$K$351)*$F$353*$J$353+(S$5=Inputs!$C$17)*$G$353*$H$351*$H$353)</f>
        <v>94.4533333333334</v>
      </c>
      <c r="T356" s="42" t="n">
        <f aca="false">-($D$351+$J$351)*(T$5=0)+IF(AND(T$5-$K$351&gt;=1,T$5-$K$351&lt;=Inputs!$C$13),INDEX($N$354:$AL$354,1,T$5-$K$351+1)*INDEX($N$355:$AL$355,1,T$5-$K$351+1),0)-$I$351*((T$5=Inputs!$C$12)*$C$353*$D$351+(T$5=Inputs!$C$13)*$D$353*($D$351+Inputs!$C$14))+$I$351*((T$5=Inputs!$C$15+$K$351)*$E$353*$I$353+(T$5=Inputs!$C$16+$K$351)*$F$353*$J$353+(T$5=Inputs!$C$17)*$G$353*$H$351*$H$353)</f>
        <v>95.424</v>
      </c>
      <c r="U356" s="42" t="n">
        <f aca="false">-($D$351+$J$351)*(U$5=0)+IF(AND(U$5-$K$351&gt;=1,U$5-$K$351&lt;=Inputs!$C$13),INDEX($N$354:$AL$354,1,U$5-$K$351+1)*INDEX($N$355:$AL$355,1,U$5-$K$351+1),0)-$I$351*((U$5=Inputs!$C$12)*$C$353*$D$351+(U$5=Inputs!$C$13)*$D$353*($D$351+Inputs!$C$14))+$I$351*((U$5=Inputs!$C$15+$K$351)*$E$353*$I$353+(U$5=Inputs!$C$16+$K$351)*$F$353*$J$353+(U$5=Inputs!$C$17)*$G$353*$H$351*$H$353)</f>
        <v>59.6728888888889</v>
      </c>
      <c r="V356" s="42" t="n">
        <f aca="false">-($D$351+$J$351)*(V$5=0)+IF(AND(V$5-$K$351&gt;=1,V$5-$K$351&lt;=Inputs!$C$13),INDEX($N$354:$AL$354,1,V$5-$K$351+1)*INDEX($N$355:$AL$355,1,V$5-$K$351+1),0)-$I$351*((V$5=Inputs!$C$12)*$C$353*$D$351+(V$5=Inputs!$C$13)*$D$353*($D$351+Inputs!$C$14))+$I$351*((V$5=Inputs!$C$15+$K$351)*$E$353*$I$353+(V$5=Inputs!$C$16+$K$351)*$F$353*$J$353+(V$5=Inputs!$C$17)*$G$353*$H$351*$H$353)</f>
        <v>60.2737777777778</v>
      </c>
      <c r="W356" s="42" t="n">
        <f aca="false">-($D$351+$J$351)*(W$5=0)+IF(AND(W$5-$K$351&gt;=1,W$5-$K$351&lt;=Inputs!$C$13),INDEX($N$354:$AL$354,1,W$5-$K$351+1)*INDEX($N$355:$AL$355,1,W$5-$K$351+1),0)-$I$351*((W$5=Inputs!$C$12)*$C$353*$D$351+(W$5=Inputs!$C$13)*$D$353*($D$351+Inputs!$C$14))+$I$351*((W$5=Inputs!$C$15+$K$351)*$E$353*$I$353+(W$5=Inputs!$C$16+$K$351)*$F$353*$J$353+(W$5=Inputs!$C$17)*$G$353*$H$351*$H$353)</f>
        <v>60.8746666666667</v>
      </c>
      <c r="X356" s="42" t="n">
        <f aca="false">-($D$351+$J$351)*(X$5=0)+IF(AND(X$5-$K$351&gt;=1,X$5-$K$351&lt;=Inputs!$C$13),INDEX($N$354:$AL$354,1,X$5-$K$351+1)*INDEX($N$355:$AL$355,1,X$5-$K$351+1),0)-$I$351*((X$5=Inputs!$C$12)*$C$353*$D$351+(X$5=Inputs!$C$13)*$D$353*($D$351+Inputs!$C$14))+$I$351*((X$5=Inputs!$C$15+$K$351)*$E$353*$I$353+(X$5=Inputs!$C$16+$K$351)*$F$353*$J$353+(X$5=Inputs!$C$17)*$G$353*$H$351*$H$353)</f>
        <v>52.0177777777777</v>
      </c>
      <c r="Y356" s="42" t="n">
        <f aca="false">-($D$351+$J$351)*(Y$5=0)+IF(AND(Y$5-$K$351&gt;=1,Y$5-$K$351&lt;=Inputs!$C$13),INDEX($N$354:$AL$354,1,Y$5-$K$351+1)*INDEX($N$355:$AL$355,1,Y$5-$K$351+1),0)-$I$351*((Y$5=Inputs!$C$12)*$C$353*$D$351+(Y$5=Inputs!$C$13)*$D$353*($D$351+Inputs!$C$14))+$I$351*((Y$5=Inputs!$C$15+$K$351)*$E$353*$I$353+(Y$5=Inputs!$C$16+$K$351)*$F$353*$J$353+(Y$5=Inputs!$C$17)*$G$353*$H$351*$H$353)</f>
        <v>52.5262222222223</v>
      </c>
      <c r="Z356" s="42" t="n">
        <f aca="false">-($D$351+$J$351)*(Z$5=0)+IF(AND(Z$5-$K$351&gt;=1,Z$5-$K$351&lt;=Inputs!$C$13),INDEX($N$354:$AL$354,1,Z$5-$K$351+1)*INDEX($N$355:$AL$355,1,Z$5-$K$351+1),0)-$I$351*((Z$5=Inputs!$C$12)*$C$353*$D$351+(Z$5=Inputs!$C$13)*$D$353*($D$351+Inputs!$C$14))+$I$351*((Z$5=Inputs!$C$15+$K$351)*$E$353*$I$353+(Z$5=Inputs!$C$16+$K$351)*$F$353*$J$353+(Z$5=Inputs!$C$17)*$G$353*$H$351*$H$353)</f>
        <v>-574.165333333333</v>
      </c>
      <c r="AA356" s="42" t="n">
        <f aca="false">-($D$351+$J$351)*(AA$5=0)+IF(AND(AA$5-$K$351&gt;=1,AA$5-$K$351&lt;=Inputs!$C$13),INDEX($N$354:$AL$354,1,AA$5-$K$351+1)*INDEX($N$355:$AL$355,1,AA$5-$K$351+1),0)-$I$351*((AA$5=Inputs!$C$12)*$C$353*$D$351+(AA$5=Inputs!$C$13)*$D$353*($D$351+Inputs!$C$14))+$I$351*((AA$5=Inputs!$C$15+$K$351)*$E$353*$I$353+(AA$5=Inputs!$C$16+$K$351)*$F$353*$J$353+(AA$5=Inputs!$C$17)*$G$353*$H$351*$H$353)</f>
        <v>64.3875555555555</v>
      </c>
      <c r="AB356" s="42" t="n">
        <f aca="false">-($D$351+$J$351)*(AB$5=0)+IF(AND(AB$5-$K$351&gt;=1,AB$5-$K$351&lt;=Inputs!$C$13),INDEX($N$354:$AL$354,1,AB$5-$K$351+1)*INDEX($N$355:$AL$355,1,AB$5-$K$351+1),0)-$I$351*((AB$5=Inputs!$C$12)*$C$353*$D$351+(AB$5=Inputs!$C$13)*$D$353*($D$351+Inputs!$C$14))+$I$351*((AB$5=Inputs!$C$15+$K$351)*$E$353*$I$353+(AB$5=Inputs!$C$16+$K$351)*$F$353*$J$353+(AB$5=Inputs!$C$17)*$G$353*$H$351*$H$353)</f>
        <v>65.1591111111111</v>
      </c>
      <c r="AC356" s="42" t="n">
        <f aca="false">-($D$351+$J$351)*(AC$5=0)+IF(AND(AC$5-$K$351&gt;=1,AC$5-$K$351&lt;=Inputs!$C$13),INDEX($N$354:$AL$354,1,AC$5-$K$351+1)*INDEX($N$355:$AL$355,1,AC$5-$K$351+1),0)-$I$351*((AC$5=Inputs!$C$12)*$C$353*$D$351+(AC$5=Inputs!$C$13)*$D$353*($D$351+Inputs!$C$14))+$I$351*((AC$5=Inputs!$C$15+$K$351)*$E$353*$I$353+(AC$5=Inputs!$C$16+$K$351)*$F$353*$J$353+(AC$5=Inputs!$C$17)*$G$353*$H$351*$H$353)</f>
        <v>65.9306666666669</v>
      </c>
      <c r="AD356" s="42" t="n">
        <f aca="false">-($D$351+$J$351)*(AD$5=0)+IF(AND(AD$5-$K$351&gt;=1,AD$5-$K$351&lt;=Inputs!$C$13),INDEX($N$354:$AL$354,1,AD$5-$K$351+1)*INDEX($N$355:$AL$355,1,AD$5-$K$351+1),0)-$I$351*((AD$5=Inputs!$C$12)*$C$353*$D$351+(AD$5=Inputs!$C$13)*$D$353*($D$351+Inputs!$C$14))+$I$351*((AD$5=Inputs!$C$15+$K$351)*$E$353*$I$353+(AD$5=Inputs!$C$16+$K$351)*$F$353*$J$353+(AD$5=Inputs!$C$17)*$G$353*$H$351*$H$353)</f>
        <v>66.7022222222222</v>
      </c>
      <c r="AE356" s="42" t="n">
        <f aca="false">-($D$351+$J$351)*(AE$5=0)+IF(AND(AE$5-$K$351&gt;=1,AE$5-$K$351&lt;=Inputs!$C$13),INDEX($N$354:$AL$354,1,AE$5-$K$351+1)*INDEX($N$355:$AL$355,1,AE$5-$K$351+1),0)-$I$351*((AE$5=Inputs!$C$12)*$C$353*$D$351+(AE$5=Inputs!$C$13)*$D$353*($D$351+Inputs!$C$14))+$I$351*((AE$5=Inputs!$C$15+$K$351)*$E$353*$I$353+(AE$5=Inputs!$C$16+$K$351)*$F$353*$J$353+(AE$5=Inputs!$C$17)*$G$353*$H$351*$H$353)</f>
        <v>67.4737777777777</v>
      </c>
      <c r="AF356" s="42" t="n">
        <f aca="false">-($D$351+$J$351)*(AF$5=0)+IF(AND(AF$5-$K$351&gt;=1,AF$5-$K$351&lt;=Inputs!$C$13),INDEX($N$354:$AL$354,1,AF$5-$K$351+1)*INDEX($N$355:$AL$355,1,AF$5-$K$351+1),0)-$I$351*((AF$5=Inputs!$C$12)*$C$353*$D$351+(AF$5=Inputs!$C$13)*$D$353*($D$351+Inputs!$C$14))+$I$351*((AF$5=Inputs!$C$15+$K$351)*$E$353*$I$353+(AF$5=Inputs!$C$16+$K$351)*$F$353*$J$353+(AF$5=Inputs!$C$17)*$G$353*$H$351*$H$353)</f>
        <v>68.2453333333333</v>
      </c>
      <c r="AG356" s="42" t="n">
        <f aca="false">-($D$351+$J$351)*(AG$5=0)+IF(AND(AG$5-$K$351&gt;=1,AG$5-$K$351&lt;=Inputs!$C$13),INDEX($N$354:$AL$354,1,AG$5-$K$351+1)*INDEX($N$355:$AL$355,1,AG$5-$K$351+1),0)-$I$351*((AG$5=Inputs!$C$12)*$C$353*$D$351+(AG$5=Inputs!$C$13)*$D$353*($D$351+Inputs!$C$14))+$I$351*((AG$5=Inputs!$C$15+$K$351)*$E$353*$I$353+(AG$5=Inputs!$C$16+$K$351)*$F$353*$J$353+(AG$5=Inputs!$C$17)*$G$353*$H$351*$H$353)</f>
        <v>49.2977777777779</v>
      </c>
      <c r="AH356" s="42" t="n">
        <f aca="false">-($D$351+$J$351)*(AH$5=0)+IF(AND(AH$5-$K$351&gt;=1,AH$5-$K$351&lt;=Inputs!$C$13),INDEX($N$354:$AL$354,1,AH$5-$K$351+1)*INDEX($N$355:$AL$355,1,AH$5-$K$351+1),0)-$I$351*((AH$5=Inputs!$C$12)*$C$353*$D$351+(AH$5=Inputs!$C$13)*$D$353*($D$351+Inputs!$C$14))+$I$351*((AH$5=Inputs!$C$15+$K$351)*$E$353*$I$353+(AH$5=Inputs!$C$16+$K$351)*$F$353*$J$353+(AH$5=Inputs!$C$17)*$G$353*$H$351*$H$353)</f>
        <v>49.8488888888887</v>
      </c>
      <c r="AI356" s="42" t="n">
        <f aca="false">-($D$351+$J$351)*(AI$5=0)+IF(AND(AI$5-$K$351&gt;=1,AI$5-$K$351&lt;=Inputs!$C$13),INDEX($N$354:$AL$354,1,AI$5-$K$351+1)*INDEX($N$355:$AL$355,1,AI$5-$K$351+1),0)-$I$351*((AI$5=Inputs!$C$12)*$C$353*$D$351+(AI$5=Inputs!$C$13)*$D$353*($D$351+Inputs!$C$14))+$I$351*((AI$5=Inputs!$C$15+$K$351)*$E$353*$I$353+(AI$5=Inputs!$C$16+$K$351)*$F$353*$J$353+(AI$5=Inputs!$C$17)*$G$353*$H$351*$H$353)</f>
        <v>50.3999999999998</v>
      </c>
      <c r="AJ356" s="42" t="n">
        <f aca="false">-($D$351+$J$351)*(AJ$5=0)+IF(AND(AJ$5-$K$351&gt;=1,AJ$5-$K$351&lt;=Inputs!$C$13),INDEX($N$354:$AL$354,1,AJ$5-$K$351+1)*INDEX($N$355:$AL$355,1,AJ$5-$K$351+1),0)-$I$351*((AJ$5=Inputs!$C$12)*$C$353*$D$351+(AJ$5=Inputs!$C$13)*$D$353*($D$351+Inputs!$C$14))+$I$351*((AJ$5=Inputs!$C$15+$K$351)*$E$353*$I$353+(AJ$5=Inputs!$C$16+$K$351)*$F$353*$J$353+(AJ$5=Inputs!$C$17)*$G$353*$H$351*$H$353)</f>
        <v>50.9511111111113</v>
      </c>
      <c r="AK356" s="42" t="n">
        <f aca="false">-($D$351+$J$351)*(AK$5=0)+IF(AND(AK$5-$K$351&gt;=1,AK$5-$K$351&lt;=Inputs!$C$13),INDEX($N$354:$AL$354,1,AK$5-$K$351+1)*INDEX($N$355:$AL$355,1,AK$5-$K$351+1),0)-$I$351*((AK$5=Inputs!$C$12)*$C$353*$D$351+(AK$5=Inputs!$C$13)*$D$353*($D$351+Inputs!$C$14))+$I$351*((AK$5=Inputs!$C$15+$K$351)*$E$353*$I$353+(AK$5=Inputs!$C$16+$K$351)*$F$353*$J$353+(AK$5=Inputs!$C$17)*$G$353*$H$351*$H$353)</f>
        <v>51.5022222222224</v>
      </c>
      <c r="AL356" s="42" t="n">
        <f aca="false">-($D$351+$J$351)*(AL$5=0)+IF(AND(AL$5-$K$351&gt;=1,AL$5-$K$351&lt;=Inputs!$C$13),INDEX($N$354:$AL$354,1,AL$5-$K$351+1)*INDEX($N$355:$AL$355,1,AL$5-$K$351+1),0)-$I$351*((AL$5=Inputs!$C$12)*$C$353*$D$351+(AL$5=Inputs!$C$13)*$D$353*($D$351+Inputs!$C$14))+$I$351*((AL$5=Inputs!$C$15+$K$351)*$E$353*$I$353+(AL$5=Inputs!$C$16+$K$351)*$F$353*$J$353+(AL$5=Inputs!$C$17)*$G$353*$H$351*$H$353)</f>
        <v>-627.946666666667</v>
      </c>
      <c r="AM356" s="42" t="n">
        <f aca="false">-($D$351+$J$351)*(AM$5=0)+IF(AND(AM$5-$K$351&gt;=1,AM$5-$K$351&lt;=Inputs!$C$13),INDEX($N$354:$AL$354,1,AM$5-$K$351+1)*INDEX($N$355:$AL$355,1,AM$5-$K$351+1),0)-$I$351*((AM$5=Inputs!$C$12)*$C$353*$D$351+(AM$5=Inputs!$C$13)*$D$353*($D$351+Inputs!$C$14))+$I$351*((AM$5=Inputs!$C$15+$K$351)*$E$353*$I$353+(AM$5=Inputs!$C$16+$K$351)*$F$353*$J$353+(AM$5=Inputs!$C$17)*$G$353*$H$351*$H$353)</f>
        <v>0</v>
      </c>
      <c r="AN356" s="42" t="n">
        <f aca="false">-($D$351+$J$351)*(AN$5=0)+IF(AND(AN$5-$K$351&gt;=1,AN$5-$K$351&lt;=Inputs!$C$13),INDEX($N$354:$AL$354,1,AN$5-$K$351+1)*INDEX($N$355:$AL$355,1,AN$5-$K$351+1),0)-$I$351*((AN$5=Inputs!$C$12)*$C$353*$D$351+(AN$5=Inputs!$C$13)*$D$353*($D$351+Inputs!$C$14))+$I$351*((AN$5=Inputs!$C$15+$K$351)*$E$353*$I$353+(AN$5=Inputs!$C$16+$K$351)*$F$353*$J$353+(AN$5=Inputs!$C$17)*$G$353*$H$351*$H$353)</f>
        <v>0</v>
      </c>
      <c r="AO356" s="42" t="n">
        <f aca="false">-($D$351+$J$351)*(AO$5=0)+IF(AND(AO$5-$K$351&gt;=1,AO$5-$K$351&lt;=Inputs!$C$13),INDEX($N$354:$AL$354,1,AO$5-$K$351+1)*INDEX($N$355:$AL$355,1,AO$5-$K$351+1),0)-$I$351*((AO$5=Inputs!$C$12)*$C$353*$D$351+(AO$5=Inputs!$C$13)*$D$353*($D$351+Inputs!$C$14))+$I$351*((AO$5=Inputs!$C$15+$K$351)*$E$353*$I$353+(AO$5=Inputs!$C$16+$K$351)*$F$353*$J$353+(AO$5=Inputs!$C$17)*$G$353*$H$351*$H$353)</f>
        <v>600</v>
      </c>
      <c r="AP356" s="42" t="n">
        <f aca="false">-($D$351+$J$351)*(AP$5=0)+IF(AND(AP$5-$K$351&gt;=1,AP$5-$K$351&lt;=Inputs!$C$13),INDEX($N$354:$AL$354,1,AP$5-$K$351+1)*INDEX($N$355:$AL$355,1,AP$5-$K$351+1),0)-$I$351*((AP$5=Inputs!$C$12)*$C$353*$D$351+(AP$5=Inputs!$C$13)*$D$353*($D$351+Inputs!$C$14))+$I$351*((AP$5=Inputs!$C$15+$K$351)*$E$353*$I$353+(AP$5=Inputs!$C$16+$K$351)*$F$353*$J$353+(AP$5=Inputs!$C$17)*$G$353*$H$351*$H$353)</f>
        <v>0</v>
      </c>
      <c r="AQ356" s="42" t="n">
        <f aca="false">-($D$351+$J$351)*(AQ$5=0)+IF(AND(AQ$5-$K$351&gt;=1,AQ$5-$K$351&lt;=Inputs!$C$13),INDEX($N$354:$AL$354,1,AQ$5-$K$351+1)*INDEX($N$355:$AL$355,1,AQ$5-$K$351+1),0)-$I$351*((AQ$5=Inputs!$C$12)*$C$353*$D$351+(AQ$5=Inputs!$C$13)*$D$353*($D$351+Inputs!$C$14))+$I$351*((AQ$5=Inputs!$C$15+$K$351)*$E$353*$I$353+(AQ$5=Inputs!$C$16+$K$351)*$F$353*$J$353+(AQ$5=Inputs!$C$17)*$G$353*$H$351*$H$353)</f>
        <v>0</v>
      </c>
      <c r="AR356" s="42" t="n">
        <f aca="false">-($D$351+$J$351)*(AR$5=0)+IF(AND(AR$5-$K$351&gt;=1,AR$5-$K$351&lt;=Inputs!$C$13),INDEX($N$354:$AL$354,1,AR$5-$K$351+1)*INDEX($N$355:$AL$355,1,AR$5-$K$351+1),0)-$I$351*((AR$5=Inputs!$C$12)*$C$353*$D$351+(AR$5=Inputs!$C$13)*$D$353*($D$351+Inputs!$C$14))+$I$351*((AR$5=Inputs!$C$15+$K$351)*$E$353*$I$353+(AR$5=Inputs!$C$16+$K$351)*$F$353*$J$353+(AR$5=Inputs!$C$17)*$G$353*$H$351*$H$353)</f>
        <v>461.76</v>
      </c>
      <c r="AS356" s="42" t="n">
        <f aca="false">-($D$351+$J$351)*(AS$5=0)+IF(AND(AS$5-$K$351&gt;=1,AS$5-$K$351&lt;=Inputs!$C$13),INDEX($N$354:$AL$354,1,AS$5-$K$351+1)*INDEX($N$355:$AL$355,1,AS$5-$K$351+1),0)-$I$351*((AS$5=Inputs!$C$12)*$C$353*$D$351+(AS$5=Inputs!$C$13)*$D$353*($D$351+Inputs!$C$14))+$I$351*((AS$5=Inputs!$C$15+$K$351)*$E$353*$I$353+(AS$5=Inputs!$C$16+$K$351)*$F$353*$J$353+(AS$5=Inputs!$C$17)*$G$353*$H$351*$H$353)</f>
        <v>0</v>
      </c>
      <c r="AT356" s="42" t="n">
        <f aca="false">-($D$351+$J$351)*(AT$5=0)+IF(AND(AT$5-$K$351&gt;=1,AT$5-$K$351&lt;=Inputs!$C$13),INDEX($N$354:$AL$354,1,AT$5-$K$351+1)*INDEX($N$355:$AL$355,1,AT$5-$K$351+1),0)-$I$351*((AT$5=Inputs!$C$12)*$C$353*$D$351+(AT$5=Inputs!$C$13)*$D$353*($D$351+Inputs!$C$14))+$I$351*((AT$5=Inputs!$C$15+$K$351)*$E$353*$I$353+(AT$5=Inputs!$C$16+$K$351)*$F$353*$J$353+(AT$5=Inputs!$C$17)*$G$353*$H$351*$H$353)</f>
        <v>0</v>
      </c>
      <c r="AU356" s="42" t="n">
        <f aca="false">-($D$351+$J$351)*(AU$5=0)+IF(AND(AU$5-$K$351&gt;=1,AU$5-$K$351&lt;=Inputs!$C$13),INDEX($N$354:$AL$354,1,AU$5-$K$351+1)*INDEX($N$355:$AL$355,1,AU$5-$K$351+1),0)-$I$351*((AU$5=Inputs!$C$12)*$C$353*$D$351+(AU$5=Inputs!$C$13)*$D$353*($D$351+Inputs!$C$14))+$I$351*((AU$5=Inputs!$C$15+$K$351)*$E$353*$I$353+(AU$5=Inputs!$C$16+$K$351)*$F$353*$J$353+(AU$5=Inputs!$C$17)*$G$353*$H$351*$H$353)</f>
        <v>0</v>
      </c>
      <c r="AV356" s="42" t="n">
        <f aca="false">-($D$351+$J$351)*(AV$5=0)+IF(AND(AV$5-$K$351&gt;=1,AV$5-$K$351&lt;=Inputs!$C$13),INDEX($N$354:$AL$354,1,AV$5-$K$351+1)*INDEX($N$355:$AL$355,1,AV$5-$K$351+1),0)-$I$351*((AV$5=Inputs!$C$12)*$C$353*$D$351+(AV$5=Inputs!$C$13)*$D$353*($D$351+Inputs!$C$14))+$I$351*((AV$5=Inputs!$C$15+$K$351)*$E$353*$I$353+(AV$5=Inputs!$C$16+$K$351)*$F$353*$J$353+(AV$5=Inputs!$C$17)*$G$353*$H$351*$H$353)</f>
        <v>0</v>
      </c>
      <c r="AW356" s="42" t="n">
        <f aca="false">-($D$351+$J$351)*(AW$5=0)+IF(AND(AW$5-$K$351&gt;=1,AW$5-$K$351&lt;=Inputs!$C$13),INDEX($N$354:$AL$354,1,AW$5-$K$351+1)*INDEX($N$355:$AL$355,1,AW$5-$K$351+1),0)-$I$351*((AW$5=Inputs!$C$12)*$C$353*$D$351+(AW$5=Inputs!$C$13)*$D$353*($D$351+Inputs!$C$14))+$I$351*((AW$5=Inputs!$C$15+$K$351)*$E$353*$I$353+(AW$5=Inputs!$C$16+$K$351)*$F$353*$J$353+(AW$5=Inputs!$C$17)*$G$353*$H$351*$H$353)</f>
        <v>0</v>
      </c>
      <c r="AX356" s="42" t="n">
        <f aca="false">-($D$351+$J$351)*(AX$5=0)+IF(AND(AX$5-$K$351&gt;=1,AX$5-$K$351&lt;=Inputs!$C$13),INDEX($N$354:$AL$354,1,AX$5-$K$351+1)*INDEX($N$355:$AL$355,1,AX$5-$K$351+1),0)-$I$351*((AX$5=Inputs!$C$12)*$C$353*$D$351+(AX$5=Inputs!$C$13)*$D$353*($D$351+Inputs!$C$14))+$I$351*((AX$5=Inputs!$C$15+$K$351)*$E$353*$I$353+(AX$5=Inputs!$C$16+$K$351)*$F$353*$J$353+(AX$5=Inputs!$C$17)*$G$353*$H$351*$H$353)</f>
        <v>277.2</v>
      </c>
      <c r="AY356" s="42" t="n">
        <f aca="false">-($D$351+$J$351)*(AY$5=0)+IF(AND(AY$5-$K$351&gt;=1,AY$5-$K$351&lt;=Inputs!$C$13),INDEX($N$354:$AL$354,1,AY$5-$K$351+1)*INDEX($N$355:$AL$355,1,AY$5-$K$351+1),0)-$I$351*((AY$5=Inputs!$C$12)*$C$353*$D$351+(AY$5=Inputs!$C$13)*$D$353*($D$351+Inputs!$C$14))+$I$351*((AY$5=Inputs!$C$15+$K$351)*$E$353*$I$353+(AY$5=Inputs!$C$16+$K$351)*$F$353*$J$353+(AY$5=Inputs!$C$17)*$G$353*$H$351*$H$353)</f>
        <v>0</v>
      </c>
    </row>
    <row r="358" customFormat="false" ht="15" hidden="false" customHeight="false" outlineLevel="0" collapsed="false">
      <c r="B358" s="7" t="s">
        <v>280</v>
      </c>
      <c r="C358" s="8"/>
      <c r="D358" s="8"/>
      <c r="E358" s="8"/>
      <c r="F358" s="8"/>
      <c r="G358" s="8"/>
      <c r="H358" s="8"/>
      <c r="I358" s="8"/>
      <c r="J358" s="8"/>
      <c r="K358" s="8"/>
      <c r="L358" s="8"/>
    </row>
    <row r="359" customFormat="false" ht="30" hidden="false" customHeight="true" outlineLevel="0" collapsed="false">
      <c r="B359" s="37"/>
      <c r="C359" s="38" t="s">
        <v>169</v>
      </c>
      <c r="D359" s="38" t="s">
        <v>170</v>
      </c>
      <c r="E359" s="38" t="s">
        <v>171</v>
      </c>
      <c r="F359" s="38" t="s">
        <v>43</v>
      </c>
      <c r="G359" s="38" t="s">
        <v>44</v>
      </c>
      <c r="H359" s="38" t="s">
        <v>45</v>
      </c>
      <c r="I359" s="38" t="s">
        <v>172</v>
      </c>
      <c r="J359" s="38" t="s">
        <v>90</v>
      </c>
      <c r="K359" s="38" t="s">
        <v>89</v>
      </c>
      <c r="L359" s="38" t="s">
        <v>173</v>
      </c>
    </row>
    <row r="360" customFormat="false" ht="15" hidden="false" customHeight="false" outlineLevel="0" collapsed="false">
      <c r="B360" s="39" t="s">
        <v>174</v>
      </c>
      <c r="C360" s="26" t="n">
        <f aca="false">Inputs!$F$43*Inputs!$E$62</f>
        <v>0.13</v>
      </c>
      <c r="D360" s="30" t="n">
        <f aca="false">Inputs!$E$43</f>
        <v>1600</v>
      </c>
      <c r="E360" s="26" t="n">
        <f aca="false">IF(Inputs!$G$43=1,Inputs!$F$27,MIN(1,MAX(0,INDEX(Inputs!$F$23:$F$27,MATCH(Inputs!$C$43,Inputs!$B$23:$B$27,0))+INDEX(Inputs!$C$48:$C$51,MATCH(Inputs!$D$62,Inputs!$B$48:$B$51,0)))))</f>
        <v>0.35</v>
      </c>
      <c r="F360" s="25" t="n">
        <f aca="false">IF(Inputs!$G$43=1,Inputs!$G$27,INDEX(Inputs!$G$23:$G$27,MATCH(Inputs!$C$43,Inputs!$B$23:$B$27,0)))</f>
        <v>0.1</v>
      </c>
      <c r="G360" s="25" t="n">
        <f aca="false">IF(Inputs!$G$43=1,Inputs!$H$27,INDEX(Inputs!$H$23:$H$27,MATCH(Inputs!$C$43,Inputs!$B$23:$B$27,0)))*INDEX(Inputs!$D$48:$D$51,MATCH(Inputs!$D$62,Inputs!$B$48:$B$51,0))</f>
        <v>0.05</v>
      </c>
      <c r="H360" s="25" t="n">
        <f aca="false">MAX(0,IF(Inputs!$G$43=1,Inputs!$I$27,INDEX(Inputs!$I$23:$I$27,MATCH(Inputs!$C$43,Inputs!$B$23:$B$27,0)))+INDEX(Inputs!$E$48:$E$51,MATCH(Inputs!$D$62,Inputs!$B$48:$B$51,0)))</f>
        <v>0</v>
      </c>
      <c r="I360" s="22" t="n">
        <f aca="false">IF(Inputs!$G$43=1,0,INDEX(Inputs!$J$23:$J$27,MATCH(Inputs!$C$43,Inputs!$B$23:$B$27,0)))</f>
        <v>0</v>
      </c>
      <c r="J360" s="23" t="n">
        <f aca="false">Inputs!$G$62</f>
        <v>10</v>
      </c>
      <c r="K360" s="22" t="n">
        <f aca="false">Inputs!$F$62</f>
        <v>0</v>
      </c>
      <c r="L360" s="22" t="n">
        <f aca="false">Inputs!$C$62</f>
        <v>1</v>
      </c>
    </row>
    <row r="361" customFormat="false" ht="30" hidden="false" customHeight="true" outlineLevel="0" collapsed="false">
      <c r="B361" s="37"/>
      <c r="C361" s="38" t="s">
        <v>175</v>
      </c>
      <c r="D361" s="38" t="s">
        <v>176</v>
      </c>
      <c r="E361" s="38" t="s">
        <v>177</v>
      </c>
      <c r="F361" s="38" t="s">
        <v>178</v>
      </c>
      <c r="G361" s="38" t="s">
        <v>112</v>
      </c>
      <c r="H361" s="38" t="s">
        <v>179</v>
      </c>
      <c r="I361" s="38" t="s">
        <v>180</v>
      </c>
      <c r="J361" s="38" t="s">
        <v>181</v>
      </c>
      <c r="K361" s="38" t="s">
        <v>182</v>
      </c>
      <c r="L361" s="38" t="s">
        <v>183</v>
      </c>
    </row>
    <row r="362" customFormat="false" ht="15" hidden="false" customHeight="false" outlineLevel="0" collapsed="false">
      <c r="B362" s="39" t="s">
        <v>184</v>
      </c>
      <c r="C362" s="40" t="n">
        <f aca="false">1-$E$360*CHOOSE($L$360,INDEX(Timing!$C$7:$AA$7,1,Inputs!$C$12+1),INDEX(Timing!$C$8:$AA$8,1,Inputs!$C$12+1))</f>
        <v>0.734</v>
      </c>
      <c r="D362" s="40" t="n">
        <f aca="false">1-$E$360*CHOOSE($L$360,INDEX(Timing!$C$7:$AA$7,1,Inputs!$C$13+1),INDEX(Timing!$C$8:$AA$8,1,Inputs!$C$13+1))</f>
        <v>0.65</v>
      </c>
      <c r="E362" s="40" t="n">
        <f aca="false">$I$360*$D$362*$F$360</f>
        <v>0</v>
      </c>
      <c r="F362" s="40" t="n">
        <f aca="false">$I$360*($D$362-$E$362)*$G$360</f>
        <v>0</v>
      </c>
      <c r="G362" s="40" t="n">
        <f aca="false">$I$360*($D$362-$E$362-$F$362)</f>
        <v>0</v>
      </c>
      <c r="H362" s="23" t="n">
        <f aca="false">$I$360*(3*$D$360+Inputs!$C$14)</f>
        <v>0</v>
      </c>
      <c r="I362" s="23" t="n">
        <f aca="false">$I$360*($D$360*(1+IF($C$360&lt;=0,0,MAX($C$360*Inputs!$C$15/12,Inputs!$C$8)))+$D$360*(1+Inputs!$C$11*(Inputs!$C$15-Inputs!$C$12)/12)+$D$360*(1+Inputs!$C$11*(Inputs!$C$15-Inputs!$C$13)/12)+Inputs!$C$14)</f>
        <v>0</v>
      </c>
      <c r="J362" s="23" t="n">
        <f aca="false">$I$360*($D$360*(1+IF($C$360&lt;=0,0,MAX($C$360*Inputs!$C$16/12,Inputs!$C$8)))+$D$360*(1+Inputs!$C$11*(Inputs!$C$16-Inputs!$C$12)/12)+$D$360*(1+Inputs!$C$11*(Inputs!$C$16-Inputs!$C$13)/12)+Inputs!$C$14)</f>
        <v>0</v>
      </c>
      <c r="K362" s="40" t="n">
        <f aca="false">IRR($N$365:$AY$365,-0.05)</f>
        <v>-0.0855871767797557</v>
      </c>
      <c r="L362" s="41" t="n">
        <f aca="false">(1+$K$362)^12-1</f>
        <v>-0.65825065345616</v>
      </c>
    </row>
    <row r="363" customFormat="false" ht="15" hidden="false" customHeight="false" outlineLevel="0" collapsed="false">
      <c r="B363" s="9" t="s">
        <v>185</v>
      </c>
      <c r="N363" s="40" t="n">
        <f aca="false">0</f>
        <v>0</v>
      </c>
      <c r="O363" s="40" t="n">
        <f aca="false">$E$360*(CHOOSE($L$360,Timing!D$7,Timing!D$8)-CHOOSE($L$360,Timing!C$7,Timing!C$8))</f>
        <v>0.042</v>
      </c>
      <c r="P363" s="40" t="n">
        <f aca="false">$E$360*(CHOOSE($L$360,Timing!E$7,Timing!E$8)-CHOOSE($L$360,Timing!D$7,Timing!D$8))</f>
        <v>0.035</v>
      </c>
      <c r="Q363" s="40" t="n">
        <f aca="false">$E$360*(CHOOSE($L$360,Timing!F$7,Timing!F$8)-CHOOSE($L$360,Timing!E$7,Timing!E$8))</f>
        <v>0.0315</v>
      </c>
      <c r="R363" s="40" t="n">
        <f aca="false">$E$360*(CHOOSE($L$360,Timing!G$7,Timing!G$8)-CHOOSE($L$360,Timing!F$7,Timing!F$8))</f>
        <v>0.0245</v>
      </c>
      <c r="S363" s="40" t="n">
        <f aca="false">$E$360*(CHOOSE($L$360,Timing!H$7,Timing!H$8)-CHOOSE($L$360,Timing!G$7,Timing!G$8))</f>
        <v>0.0245</v>
      </c>
      <c r="T363" s="40" t="n">
        <f aca="false">$E$360*(CHOOSE($L$360,Timing!I$7,Timing!I$8)-CHOOSE($L$360,Timing!H$7,Timing!H$8))</f>
        <v>0.0245</v>
      </c>
      <c r="U363" s="40" t="n">
        <f aca="false">$E$360*(CHOOSE($L$360,Timing!J$7,Timing!J$8)-CHOOSE($L$360,Timing!I$7,Timing!I$8))</f>
        <v>0.0151666666666667</v>
      </c>
      <c r="V363" s="40" t="n">
        <f aca="false">$E$360*(CHOOSE($L$360,Timing!K$7,Timing!K$8)-CHOOSE($L$360,Timing!J$7,Timing!J$8))</f>
        <v>0.0151666666666667</v>
      </c>
      <c r="W363" s="40" t="n">
        <f aca="false">$E$360*(CHOOSE($L$360,Timing!L$7,Timing!L$8)-CHOOSE($L$360,Timing!K$7,Timing!K$8))</f>
        <v>0.0151666666666667</v>
      </c>
      <c r="X363" s="40" t="n">
        <f aca="false">$E$360*(CHOOSE($L$360,Timing!M$7,Timing!M$8)-CHOOSE($L$360,Timing!L$7,Timing!L$8))</f>
        <v>0.0128333333333333</v>
      </c>
      <c r="Y363" s="40" t="n">
        <f aca="false">$E$360*(CHOOSE($L$360,Timing!N$7,Timing!N$8)-CHOOSE($L$360,Timing!M$7,Timing!M$8))</f>
        <v>0.0128333333333334</v>
      </c>
      <c r="Z363" s="40" t="n">
        <f aca="false">$E$360*(CHOOSE($L$360,Timing!O$7,Timing!O$8)-CHOOSE($L$360,Timing!N$7,Timing!N$8))</f>
        <v>0.0128333333333333</v>
      </c>
      <c r="AA363" s="40" t="n">
        <f aca="false">$E$360*(CHOOSE($L$360,Timing!P$7,Timing!P$8)-CHOOSE($L$360,Timing!O$7,Timing!O$8))</f>
        <v>0.00816666666666666</v>
      </c>
      <c r="AB363" s="40" t="n">
        <f aca="false">$E$360*(CHOOSE($L$360,Timing!Q$7,Timing!Q$8)-CHOOSE($L$360,Timing!P$7,Timing!P$8))</f>
        <v>0.00816666666666666</v>
      </c>
      <c r="AC363" s="40" t="n">
        <f aca="false">$E$360*(CHOOSE($L$360,Timing!R$7,Timing!R$8)-CHOOSE($L$360,Timing!Q$7,Timing!Q$8))</f>
        <v>0.0081666666666667</v>
      </c>
      <c r="AD363" s="40" t="n">
        <f aca="false">$E$360*(CHOOSE($L$360,Timing!S$7,Timing!S$8)-CHOOSE($L$360,Timing!R$7,Timing!R$8))</f>
        <v>0.00816666666666666</v>
      </c>
      <c r="AE363" s="40" t="n">
        <f aca="false">$E$360*(CHOOSE($L$360,Timing!T$7,Timing!T$8)-CHOOSE($L$360,Timing!S$7,Timing!S$8))</f>
        <v>0.00816666666666666</v>
      </c>
      <c r="AF363" s="40" t="n">
        <f aca="false">$E$360*(CHOOSE($L$360,Timing!U$7,Timing!U$8)-CHOOSE($L$360,Timing!T$7,Timing!T$8))</f>
        <v>0.00816666666666666</v>
      </c>
      <c r="AG363" s="40" t="n">
        <f aca="false">$E$360*(CHOOSE($L$360,Timing!V$7,Timing!V$8)-CHOOSE($L$360,Timing!U$7,Timing!U$8))</f>
        <v>0.00583333333333335</v>
      </c>
      <c r="AH363" s="40" t="n">
        <f aca="false">$E$360*(CHOOSE($L$360,Timing!W$7,Timing!W$8)-CHOOSE($L$360,Timing!V$7,Timing!V$8))</f>
        <v>0.00583333333333331</v>
      </c>
      <c r="AI363" s="40" t="n">
        <f aca="false">$E$360*(CHOOSE($L$360,Timing!X$7,Timing!X$8)-CHOOSE($L$360,Timing!W$7,Timing!W$8))</f>
        <v>0.00583333333333331</v>
      </c>
      <c r="AJ363" s="40" t="n">
        <f aca="false">$E$360*(CHOOSE($L$360,Timing!Y$7,Timing!Y$8)-CHOOSE($L$360,Timing!X$7,Timing!X$8))</f>
        <v>0.00583333333333335</v>
      </c>
      <c r="AK363" s="40" t="n">
        <f aca="false">$E$360*(CHOOSE($L$360,Timing!Z$7,Timing!Z$8)-CHOOSE($L$360,Timing!Y$7,Timing!Y$8))</f>
        <v>0.00583333333333335</v>
      </c>
      <c r="AL363" s="40" t="n">
        <f aca="false">$E$360*(CHOOSE($L$360,Timing!AA$7,Timing!AA$8)-CHOOSE($L$360,Timing!Z$7,Timing!Z$8))</f>
        <v>0.00583333333333331</v>
      </c>
    </row>
    <row r="364" customFormat="false" ht="15" hidden="false" customHeight="false" outlineLevel="0" collapsed="false">
      <c r="B364" s="9" t="s">
        <v>186</v>
      </c>
      <c r="N364" s="42" t="n">
        <f aca="false">0</f>
        <v>0</v>
      </c>
      <c r="O364" s="42" t="n">
        <f aca="false">$D$360*(1+IF($C$360&lt;=0,0,MAX($C$360*O$5/12,Inputs!$C$8)))+$I$360*(O$5&gt;Inputs!$C$12)*$D$360*(1+Inputs!$C$11*(O$5-Inputs!$C$12)/12)</f>
        <v>1680</v>
      </c>
      <c r="P364" s="42" t="n">
        <f aca="false">$D$360*(1+IF($C$360&lt;=0,0,MAX($C$360*P$5/12,Inputs!$C$8)))+$I$360*(P$5&gt;Inputs!$C$12)*$D$360*(1+Inputs!$C$11*(P$5-Inputs!$C$12)/12)</f>
        <v>1680</v>
      </c>
      <c r="Q364" s="42" t="n">
        <f aca="false">$D$360*(1+IF($C$360&lt;=0,0,MAX($C$360*Q$5/12,Inputs!$C$8)))+$I$360*(Q$5&gt;Inputs!$C$12)*$D$360*(1+Inputs!$C$11*(Q$5-Inputs!$C$12)/12)</f>
        <v>1680</v>
      </c>
      <c r="R364" s="42" t="n">
        <f aca="false">$D$360*(1+IF($C$360&lt;=0,0,MAX($C$360*R$5/12,Inputs!$C$8)))+$I$360*(R$5&gt;Inputs!$C$12)*$D$360*(1+Inputs!$C$11*(R$5-Inputs!$C$12)/12)</f>
        <v>1680</v>
      </c>
      <c r="S364" s="42" t="n">
        <f aca="false">$D$360*(1+IF($C$360&lt;=0,0,MAX($C$360*S$5/12,Inputs!$C$8)))+$I$360*(S$5&gt;Inputs!$C$12)*$D$360*(1+Inputs!$C$11*(S$5-Inputs!$C$12)/12)</f>
        <v>1686.66666666667</v>
      </c>
      <c r="T364" s="42" t="n">
        <f aca="false">$D$360*(1+IF($C$360&lt;=0,0,MAX($C$360*T$5/12,Inputs!$C$8)))+$I$360*(T$5&gt;Inputs!$C$12)*$D$360*(1+Inputs!$C$11*(T$5-Inputs!$C$12)/12)</f>
        <v>1704</v>
      </c>
      <c r="U364" s="42" t="n">
        <f aca="false">$D$360*(1+IF($C$360&lt;=0,0,MAX($C$360*U$5/12,Inputs!$C$8)))+$I$360*(U$5&gt;Inputs!$C$12)*$D$360*(1+Inputs!$C$11*(U$5-Inputs!$C$12)/12)</f>
        <v>1721.33333333333</v>
      </c>
      <c r="V364" s="42" t="n">
        <f aca="false">$D$360*(1+IF($C$360&lt;=0,0,MAX($C$360*V$5/12,Inputs!$C$8)))+$I$360*(V$5&gt;Inputs!$C$12)*$D$360*(1+Inputs!$C$11*(V$5-Inputs!$C$12)/12)</f>
        <v>1738.66666666667</v>
      </c>
      <c r="W364" s="42" t="n">
        <f aca="false">$D$360*(1+IF($C$360&lt;=0,0,MAX($C$360*W$5/12,Inputs!$C$8)))+$I$360*(W$5&gt;Inputs!$C$12)*$D$360*(1+Inputs!$C$11*(W$5-Inputs!$C$12)/12)</f>
        <v>1756</v>
      </c>
      <c r="X364" s="42" t="n">
        <f aca="false">$D$360*(1+IF($C$360&lt;=0,0,MAX($C$360*X$5/12,Inputs!$C$8)))+$I$360*(X$5&gt;Inputs!$C$12)*$D$360*(1+Inputs!$C$11*(X$5-Inputs!$C$12)/12)</f>
        <v>1773.33333333333</v>
      </c>
      <c r="Y364" s="42" t="n">
        <f aca="false">$D$360*(1+IF($C$360&lt;=0,0,MAX($C$360*Y$5/12,Inputs!$C$8)))+$I$360*(Y$5&gt;Inputs!$C$12)*$D$360*(1+Inputs!$C$11*(Y$5-Inputs!$C$12)/12)</f>
        <v>1790.66666666667</v>
      </c>
      <c r="Z364" s="42" t="n">
        <f aca="false">$D$360*(1+IF($C$360&lt;=0,0,MAX($C$360*Z$5/12,Inputs!$C$8)))+$I$360*(Z$5&gt;Inputs!$C$12)*$D$360*(1+Inputs!$C$11*(Z$5-Inputs!$C$12)/12)</f>
        <v>1808</v>
      </c>
      <c r="AA364" s="42" t="n">
        <f aca="false">$D$360*(1+IF($C$360&lt;=0,0,MAX($C$360*AA$5/12,Inputs!$C$8)))+$I$360*(AA$5&gt;Inputs!$C$12)*$D$360*(1+Inputs!$C$11*(AA$5-Inputs!$C$12)/12)</f>
        <v>1825.33333333333</v>
      </c>
      <c r="AB364" s="42" t="n">
        <f aca="false">$D$360*(1+IF($C$360&lt;=0,0,MAX($C$360*AB$5/12,Inputs!$C$8)))+$I$360*(AB$5&gt;Inputs!$C$12)*$D$360*(1+Inputs!$C$11*(AB$5-Inputs!$C$12)/12)</f>
        <v>1842.66666666667</v>
      </c>
      <c r="AC364" s="42" t="n">
        <f aca="false">$D$360*(1+IF($C$360&lt;=0,0,MAX($C$360*AC$5/12,Inputs!$C$8)))+$I$360*(AC$5&gt;Inputs!$C$12)*$D$360*(1+Inputs!$C$11*(AC$5-Inputs!$C$12)/12)</f>
        <v>1860</v>
      </c>
      <c r="AD364" s="42" t="n">
        <f aca="false">$D$360*(1+IF($C$360&lt;=0,0,MAX($C$360*AD$5/12,Inputs!$C$8)))+$I$360*(AD$5&gt;Inputs!$C$12)*$D$360*(1+Inputs!$C$11*(AD$5-Inputs!$C$12)/12)</f>
        <v>1877.33333333333</v>
      </c>
      <c r="AE364" s="42" t="n">
        <f aca="false">$D$360*(1+IF($C$360&lt;=0,0,MAX($C$360*AE$5/12,Inputs!$C$8)))+$I$360*(AE$5&gt;Inputs!$C$12)*$D$360*(1+Inputs!$C$11*(AE$5-Inputs!$C$12)/12)</f>
        <v>1894.66666666667</v>
      </c>
      <c r="AF364" s="42" t="n">
        <f aca="false">$D$360*(1+IF($C$360&lt;=0,0,MAX($C$360*AF$5/12,Inputs!$C$8)))+$I$360*(AF$5&gt;Inputs!$C$12)*$D$360*(1+Inputs!$C$11*(AF$5-Inputs!$C$12)/12)</f>
        <v>1912</v>
      </c>
      <c r="AG364" s="42" t="n">
        <f aca="false">$D$360*(1+IF($C$360&lt;=0,0,MAX($C$360*AG$5/12,Inputs!$C$8)))+$I$360*(AG$5&gt;Inputs!$C$12)*$D$360*(1+Inputs!$C$11*(AG$5-Inputs!$C$12)/12)</f>
        <v>1929.33333333333</v>
      </c>
      <c r="AH364" s="42" t="n">
        <f aca="false">$D$360*(1+IF($C$360&lt;=0,0,MAX($C$360*AH$5/12,Inputs!$C$8)))+$I$360*(AH$5&gt;Inputs!$C$12)*$D$360*(1+Inputs!$C$11*(AH$5-Inputs!$C$12)/12)</f>
        <v>1946.66666666667</v>
      </c>
      <c r="AI364" s="42" t="n">
        <f aca="false">$D$360*(1+IF($C$360&lt;=0,0,MAX($C$360*AI$5/12,Inputs!$C$8)))+$I$360*(AI$5&gt;Inputs!$C$12)*$D$360*(1+Inputs!$C$11*(AI$5-Inputs!$C$12)/12)</f>
        <v>1964</v>
      </c>
      <c r="AJ364" s="42" t="n">
        <f aca="false">$D$360*(1+IF($C$360&lt;=0,0,MAX($C$360*AJ$5/12,Inputs!$C$8)))+$I$360*(AJ$5&gt;Inputs!$C$12)*$D$360*(1+Inputs!$C$11*(AJ$5-Inputs!$C$12)/12)</f>
        <v>1981.33333333333</v>
      </c>
      <c r="AK364" s="42" t="n">
        <f aca="false">$D$360*(1+IF($C$360&lt;=0,0,MAX($C$360*AK$5/12,Inputs!$C$8)))+$I$360*(AK$5&gt;Inputs!$C$12)*$D$360*(1+Inputs!$C$11*(AK$5-Inputs!$C$12)/12)</f>
        <v>1998.66666666667</v>
      </c>
      <c r="AL364" s="42" t="n">
        <f aca="false">$D$360*(1+IF($C$360&lt;=0,0,MAX($C$360*AL$5/12,Inputs!$C$8)))+$I$360*(AL$5&gt;Inputs!$C$12)*$D$360*(1+Inputs!$C$11*(AL$5-Inputs!$C$12)/12)</f>
        <v>2016</v>
      </c>
    </row>
    <row r="365" customFormat="false" ht="15" hidden="false" customHeight="false" outlineLevel="0" collapsed="false">
      <c r="B365" s="31" t="s">
        <v>187</v>
      </c>
      <c r="N365" s="42" t="n">
        <f aca="false">-($D$360+$J$360)*(N$5=0)+IF(AND(N$5-$K$360&gt;=1,N$5-$K$360&lt;=Inputs!$C$13),INDEX($N$363:$AL$363,1,N$5-$K$360+1)*INDEX($N$364:$AL$364,1,N$5-$K$360+1),0)-$I$360*((N$5=Inputs!$C$12)*$C$362*$D$360+(N$5=Inputs!$C$13)*$D$362*($D$360+Inputs!$C$14))+$I$360*((N$5=Inputs!$C$15+$K$360)*$E$362*$I$362+(N$5=Inputs!$C$16+$K$360)*$F$362*$J$362+(N$5=Inputs!$C$17)*$G$362*$H$360*$H$362)</f>
        <v>-1610</v>
      </c>
      <c r="O365" s="42" t="n">
        <f aca="false">-($D$360+$J$360)*(O$5=0)+IF(AND(O$5-$K$360&gt;=1,O$5-$K$360&lt;=Inputs!$C$13),INDEX($N$363:$AL$363,1,O$5-$K$360+1)*INDEX($N$364:$AL$364,1,O$5-$K$360+1),0)-$I$360*((O$5=Inputs!$C$12)*$C$362*$D$360+(O$5=Inputs!$C$13)*$D$362*($D$360+Inputs!$C$14))+$I$360*((O$5=Inputs!$C$15+$K$360)*$E$362*$I$362+(O$5=Inputs!$C$16+$K$360)*$F$362*$J$362+(O$5=Inputs!$C$17)*$G$362*$H$360*$H$362)</f>
        <v>70.56</v>
      </c>
      <c r="P365" s="42" t="n">
        <f aca="false">-($D$360+$J$360)*(P$5=0)+IF(AND(P$5-$K$360&gt;=1,P$5-$K$360&lt;=Inputs!$C$13),INDEX($N$363:$AL$363,1,P$5-$K$360+1)*INDEX($N$364:$AL$364,1,P$5-$K$360+1),0)-$I$360*((P$5=Inputs!$C$12)*$C$362*$D$360+(P$5=Inputs!$C$13)*$D$362*($D$360+Inputs!$C$14))+$I$360*((P$5=Inputs!$C$15+$K$360)*$E$362*$I$362+(P$5=Inputs!$C$16+$K$360)*$F$362*$J$362+(P$5=Inputs!$C$17)*$G$362*$H$360*$H$362)</f>
        <v>58.8</v>
      </c>
      <c r="Q365" s="42" t="n">
        <f aca="false">-($D$360+$J$360)*(Q$5=0)+IF(AND(Q$5-$K$360&gt;=1,Q$5-$K$360&lt;=Inputs!$C$13),INDEX($N$363:$AL$363,1,Q$5-$K$360+1)*INDEX($N$364:$AL$364,1,Q$5-$K$360+1),0)-$I$360*((Q$5=Inputs!$C$12)*$C$362*$D$360+(Q$5=Inputs!$C$13)*$D$362*($D$360+Inputs!$C$14))+$I$360*((Q$5=Inputs!$C$15+$K$360)*$E$362*$I$362+(Q$5=Inputs!$C$16+$K$360)*$F$362*$J$362+(Q$5=Inputs!$C$17)*$G$362*$H$360*$H$362)</f>
        <v>52.92</v>
      </c>
      <c r="R365" s="42" t="n">
        <f aca="false">-($D$360+$J$360)*(R$5=0)+IF(AND(R$5-$K$360&gt;=1,R$5-$K$360&lt;=Inputs!$C$13),INDEX($N$363:$AL$363,1,R$5-$K$360+1)*INDEX($N$364:$AL$364,1,R$5-$K$360+1),0)-$I$360*((R$5=Inputs!$C$12)*$C$362*$D$360+(R$5=Inputs!$C$13)*$D$362*($D$360+Inputs!$C$14))+$I$360*((R$5=Inputs!$C$15+$K$360)*$E$362*$I$362+(R$5=Inputs!$C$16+$K$360)*$F$362*$J$362+(R$5=Inputs!$C$17)*$G$362*$H$360*$H$362)</f>
        <v>41.16</v>
      </c>
      <c r="S365" s="42" t="n">
        <f aca="false">-($D$360+$J$360)*(S$5=0)+IF(AND(S$5-$K$360&gt;=1,S$5-$K$360&lt;=Inputs!$C$13),INDEX($N$363:$AL$363,1,S$5-$K$360+1)*INDEX($N$364:$AL$364,1,S$5-$K$360+1),0)-$I$360*((S$5=Inputs!$C$12)*$C$362*$D$360+(S$5=Inputs!$C$13)*$D$362*($D$360+Inputs!$C$14))+$I$360*((S$5=Inputs!$C$15+$K$360)*$E$362*$I$362+(S$5=Inputs!$C$16+$K$360)*$F$362*$J$362+(S$5=Inputs!$C$17)*$G$362*$H$360*$H$362)</f>
        <v>41.3233333333333</v>
      </c>
      <c r="T365" s="42" t="n">
        <f aca="false">-($D$360+$J$360)*(T$5=0)+IF(AND(T$5-$K$360&gt;=1,T$5-$K$360&lt;=Inputs!$C$13),INDEX($N$363:$AL$363,1,T$5-$K$360+1)*INDEX($N$364:$AL$364,1,T$5-$K$360+1),0)-$I$360*((T$5=Inputs!$C$12)*$C$362*$D$360+(T$5=Inputs!$C$13)*$D$362*($D$360+Inputs!$C$14))+$I$360*((T$5=Inputs!$C$15+$K$360)*$E$362*$I$362+(T$5=Inputs!$C$16+$K$360)*$F$362*$J$362+(T$5=Inputs!$C$17)*$G$362*$H$360*$H$362)</f>
        <v>41.748</v>
      </c>
      <c r="U365" s="42" t="n">
        <f aca="false">-($D$360+$J$360)*(U$5=0)+IF(AND(U$5-$K$360&gt;=1,U$5-$K$360&lt;=Inputs!$C$13),INDEX($N$363:$AL$363,1,U$5-$K$360+1)*INDEX($N$364:$AL$364,1,U$5-$K$360+1),0)-$I$360*((U$5=Inputs!$C$12)*$C$362*$D$360+(U$5=Inputs!$C$13)*$D$362*($D$360+Inputs!$C$14))+$I$360*((U$5=Inputs!$C$15+$K$360)*$E$362*$I$362+(U$5=Inputs!$C$16+$K$360)*$F$362*$J$362+(U$5=Inputs!$C$17)*$G$362*$H$360*$H$362)</f>
        <v>26.1068888888889</v>
      </c>
      <c r="V365" s="42" t="n">
        <f aca="false">-($D$360+$J$360)*(V$5=0)+IF(AND(V$5-$K$360&gt;=1,V$5-$K$360&lt;=Inputs!$C$13),INDEX($N$363:$AL$363,1,V$5-$K$360+1)*INDEX($N$364:$AL$364,1,V$5-$K$360+1),0)-$I$360*((V$5=Inputs!$C$12)*$C$362*$D$360+(V$5=Inputs!$C$13)*$D$362*($D$360+Inputs!$C$14))+$I$360*((V$5=Inputs!$C$15+$K$360)*$E$362*$I$362+(V$5=Inputs!$C$16+$K$360)*$F$362*$J$362+(V$5=Inputs!$C$17)*$G$362*$H$360*$H$362)</f>
        <v>26.3697777777778</v>
      </c>
      <c r="W365" s="42" t="n">
        <f aca="false">-($D$360+$J$360)*(W$5=0)+IF(AND(W$5-$K$360&gt;=1,W$5-$K$360&lt;=Inputs!$C$13),INDEX($N$363:$AL$363,1,W$5-$K$360+1)*INDEX($N$364:$AL$364,1,W$5-$K$360+1),0)-$I$360*((W$5=Inputs!$C$12)*$C$362*$D$360+(W$5=Inputs!$C$13)*$D$362*($D$360+Inputs!$C$14))+$I$360*((W$5=Inputs!$C$15+$K$360)*$E$362*$I$362+(W$5=Inputs!$C$16+$K$360)*$F$362*$J$362+(W$5=Inputs!$C$17)*$G$362*$H$360*$H$362)</f>
        <v>26.6326666666667</v>
      </c>
      <c r="X365" s="42" t="n">
        <f aca="false">-($D$360+$J$360)*(X$5=0)+IF(AND(X$5-$K$360&gt;=1,X$5-$K$360&lt;=Inputs!$C$13),INDEX($N$363:$AL$363,1,X$5-$K$360+1)*INDEX($N$364:$AL$364,1,X$5-$K$360+1),0)-$I$360*((X$5=Inputs!$C$12)*$C$362*$D$360+(X$5=Inputs!$C$13)*$D$362*($D$360+Inputs!$C$14))+$I$360*((X$5=Inputs!$C$15+$K$360)*$E$362*$I$362+(X$5=Inputs!$C$16+$K$360)*$F$362*$J$362+(X$5=Inputs!$C$17)*$G$362*$H$360*$H$362)</f>
        <v>22.7577777777778</v>
      </c>
      <c r="Y365" s="42" t="n">
        <f aca="false">-($D$360+$J$360)*(Y$5=0)+IF(AND(Y$5-$K$360&gt;=1,Y$5-$K$360&lt;=Inputs!$C$13),INDEX($N$363:$AL$363,1,Y$5-$K$360+1)*INDEX($N$364:$AL$364,1,Y$5-$K$360+1),0)-$I$360*((Y$5=Inputs!$C$12)*$C$362*$D$360+(Y$5=Inputs!$C$13)*$D$362*($D$360+Inputs!$C$14))+$I$360*((Y$5=Inputs!$C$15+$K$360)*$E$362*$I$362+(Y$5=Inputs!$C$16+$K$360)*$F$362*$J$362+(Y$5=Inputs!$C$17)*$G$362*$H$360*$H$362)</f>
        <v>22.9802222222223</v>
      </c>
      <c r="Z365" s="42" t="n">
        <f aca="false">-($D$360+$J$360)*(Z$5=0)+IF(AND(Z$5-$K$360&gt;=1,Z$5-$K$360&lt;=Inputs!$C$13),INDEX($N$363:$AL$363,1,Z$5-$K$360+1)*INDEX($N$364:$AL$364,1,Z$5-$K$360+1),0)-$I$360*((Z$5=Inputs!$C$12)*$C$362*$D$360+(Z$5=Inputs!$C$13)*$D$362*($D$360+Inputs!$C$14))+$I$360*((Z$5=Inputs!$C$15+$K$360)*$E$362*$I$362+(Z$5=Inputs!$C$16+$K$360)*$F$362*$J$362+(Z$5=Inputs!$C$17)*$G$362*$H$360*$H$362)</f>
        <v>23.2026666666666</v>
      </c>
      <c r="AA365" s="42" t="n">
        <f aca="false">-($D$360+$J$360)*(AA$5=0)+IF(AND(AA$5-$K$360&gt;=1,AA$5-$K$360&lt;=Inputs!$C$13),INDEX($N$363:$AL$363,1,AA$5-$K$360+1)*INDEX($N$364:$AL$364,1,AA$5-$K$360+1),0)-$I$360*((AA$5=Inputs!$C$12)*$C$362*$D$360+(AA$5=Inputs!$C$13)*$D$362*($D$360+Inputs!$C$14))+$I$360*((AA$5=Inputs!$C$15+$K$360)*$E$362*$I$362+(AA$5=Inputs!$C$16+$K$360)*$F$362*$J$362+(AA$5=Inputs!$C$17)*$G$362*$H$360*$H$362)</f>
        <v>14.9068888888889</v>
      </c>
      <c r="AB365" s="42" t="n">
        <f aca="false">-($D$360+$J$360)*(AB$5=0)+IF(AND(AB$5-$K$360&gt;=1,AB$5-$K$360&lt;=Inputs!$C$13),INDEX($N$363:$AL$363,1,AB$5-$K$360+1)*INDEX($N$364:$AL$364,1,AB$5-$K$360+1),0)-$I$360*((AB$5=Inputs!$C$12)*$C$362*$D$360+(AB$5=Inputs!$C$13)*$D$362*($D$360+Inputs!$C$14))+$I$360*((AB$5=Inputs!$C$15+$K$360)*$E$362*$I$362+(AB$5=Inputs!$C$16+$K$360)*$F$362*$J$362+(AB$5=Inputs!$C$17)*$G$362*$H$360*$H$362)</f>
        <v>15.0484444444444</v>
      </c>
      <c r="AC365" s="42" t="n">
        <f aca="false">-($D$360+$J$360)*(AC$5=0)+IF(AND(AC$5-$K$360&gt;=1,AC$5-$K$360&lt;=Inputs!$C$13),INDEX($N$363:$AL$363,1,AC$5-$K$360+1)*INDEX($N$364:$AL$364,1,AC$5-$K$360+1),0)-$I$360*((AC$5=Inputs!$C$12)*$C$362*$D$360+(AC$5=Inputs!$C$13)*$D$362*($D$360+Inputs!$C$14))+$I$360*((AC$5=Inputs!$C$15+$K$360)*$E$362*$I$362+(AC$5=Inputs!$C$16+$K$360)*$F$362*$J$362+(AC$5=Inputs!$C$17)*$G$362*$H$360*$H$362)</f>
        <v>15.1900000000001</v>
      </c>
      <c r="AD365" s="42" t="n">
        <f aca="false">-($D$360+$J$360)*(AD$5=0)+IF(AND(AD$5-$K$360&gt;=1,AD$5-$K$360&lt;=Inputs!$C$13),INDEX($N$363:$AL$363,1,AD$5-$K$360+1)*INDEX($N$364:$AL$364,1,AD$5-$K$360+1),0)-$I$360*((AD$5=Inputs!$C$12)*$C$362*$D$360+(AD$5=Inputs!$C$13)*$D$362*($D$360+Inputs!$C$14))+$I$360*((AD$5=Inputs!$C$15+$K$360)*$E$362*$I$362+(AD$5=Inputs!$C$16+$K$360)*$F$362*$J$362+(AD$5=Inputs!$C$17)*$G$362*$H$360*$H$362)</f>
        <v>15.3315555555555</v>
      </c>
      <c r="AE365" s="42" t="n">
        <f aca="false">-($D$360+$J$360)*(AE$5=0)+IF(AND(AE$5-$K$360&gt;=1,AE$5-$K$360&lt;=Inputs!$C$13),INDEX($N$363:$AL$363,1,AE$5-$K$360+1)*INDEX($N$364:$AL$364,1,AE$5-$K$360+1),0)-$I$360*((AE$5=Inputs!$C$12)*$C$362*$D$360+(AE$5=Inputs!$C$13)*$D$362*($D$360+Inputs!$C$14))+$I$360*((AE$5=Inputs!$C$15+$K$360)*$E$362*$I$362+(AE$5=Inputs!$C$16+$K$360)*$F$362*$J$362+(AE$5=Inputs!$C$17)*$G$362*$H$360*$H$362)</f>
        <v>15.4731111111111</v>
      </c>
      <c r="AF365" s="42" t="n">
        <f aca="false">-($D$360+$J$360)*(AF$5=0)+IF(AND(AF$5-$K$360&gt;=1,AF$5-$K$360&lt;=Inputs!$C$13),INDEX($N$363:$AL$363,1,AF$5-$K$360+1)*INDEX($N$364:$AL$364,1,AF$5-$K$360+1),0)-$I$360*((AF$5=Inputs!$C$12)*$C$362*$D$360+(AF$5=Inputs!$C$13)*$D$362*($D$360+Inputs!$C$14))+$I$360*((AF$5=Inputs!$C$15+$K$360)*$E$362*$I$362+(AF$5=Inputs!$C$16+$K$360)*$F$362*$J$362+(AF$5=Inputs!$C$17)*$G$362*$H$360*$H$362)</f>
        <v>15.6146666666667</v>
      </c>
      <c r="AG365" s="42" t="n">
        <f aca="false">-($D$360+$J$360)*(AG$5=0)+IF(AND(AG$5-$K$360&gt;=1,AG$5-$K$360&lt;=Inputs!$C$13),INDEX($N$363:$AL$363,1,AG$5-$K$360+1)*INDEX($N$364:$AL$364,1,AG$5-$K$360+1),0)-$I$360*((AG$5=Inputs!$C$12)*$C$362*$D$360+(AG$5=Inputs!$C$13)*$D$362*($D$360+Inputs!$C$14))+$I$360*((AG$5=Inputs!$C$15+$K$360)*$E$362*$I$362+(AG$5=Inputs!$C$16+$K$360)*$F$362*$J$362+(AG$5=Inputs!$C$17)*$G$362*$H$360*$H$362)</f>
        <v>11.2544444444445</v>
      </c>
      <c r="AH365" s="42" t="n">
        <f aca="false">-($D$360+$J$360)*(AH$5=0)+IF(AND(AH$5-$K$360&gt;=1,AH$5-$K$360&lt;=Inputs!$C$13),INDEX($N$363:$AL$363,1,AH$5-$K$360+1)*INDEX($N$364:$AL$364,1,AH$5-$K$360+1),0)-$I$360*((AH$5=Inputs!$C$12)*$C$362*$D$360+(AH$5=Inputs!$C$13)*$D$362*($D$360+Inputs!$C$14))+$I$360*((AH$5=Inputs!$C$15+$K$360)*$E$362*$I$362+(AH$5=Inputs!$C$16+$K$360)*$F$362*$J$362+(AH$5=Inputs!$C$17)*$G$362*$H$360*$H$362)</f>
        <v>11.3555555555555</v>
      </c>
      <c r="AI365" s="42" t="n">
        <f aca="false">-($D$360+$J$360)*(AI$5=0)+IF(AND(AI$5-$K$360&gt;=1,AI$5-$K$360&lt;=Inputs!$C$13),INDEX($N$363:$AL$363,1,AI$5-$K$360+1)*INDEX($N$364:$AL$364,1,AI$5-$K$360+1),0)-$I$360*((AI$5=Inputs!$C$12)*$C$362*$D$360+(AI$5=Inputs!$C$13)*$D$362*($D$360+Inputs!$C$14))+$I$360*((AI$5=Inputs!$C$15+$K$360)*$E$362*$I$362+(AI$5=Inputs!$C$16+$K$360)*$F$362*$J$362+(AI$5=Inputs!$C$17)*$G$362*$H$360*$H$362)</f>
        <v>11.4566666666666</v>
      </c>
      <c r="AJ365" s="42" t="n">
        <f aca="false">-($D$360+$J$360)*(AJ$5=0)+IF(AND(AJ$5-$K$360&gt;=1,AJ$5-$K$360&lt;=Inputs!$C$13),INDEX($N$363:$AL$363,1,AJ$5-$K$360+1)*INDEX($N$364:$AL$364,1,AJ$5-$K$360+1),0)-$I$360*((AJ$5=Inputs!$C$12)*$C$362*$D$360+(AJ$5=Inputs!$C$13)*$D$362*($D$360+Inputs!$C$14))+$I$360*((AJ$5=Inputs!$C$15+$K$360)*$E$362*$I$362+(AJ$5=Inputs!$C$16+$K$360)*$F$362*$J$362+(AJ$5=Inputs!$C$17)*$G$362*$H$360*$H$362)</f>
        <v>11.5577777777778</v>
      </c>
      <c r="AK365" s="42" t="n">
        <f aca="false">-($D$360+$J$360)*(AK$5=0)+IF(AND(AK$5-$K$360&gt;=1,AK$5-$K$360&lt;=Inputs!$C$13),INDEX($N$363:$AL$363,1,AK$5-$K$360+1)*INDEX($N$364:$AL$364,1,AK$5-$K$360+1),0)-$I$360*((AK$5=Inputs!$C$12)*$C$362*$D$360+(AK$5=Inputs!$C$13)*$D$362*($D$360+Inputs!$C$14))+$I$360*((AK$5=Inputs!$C$15+$K$360)*$E$362*$I$362+(AK$5=Inputs!$C$16+$K$360)*$F$362*$J$362+(AK$5=Inputs!$C$17)*$G$362*$H$360*$H$362)</f>
        <v>11.6588888888889</v>
      </c>
      <c r="AL365" s="42" t="n">
        <f aca="false">-($D$360+$J$360)*(AL$5=0)+IF(AND(AL$5-$K$360&gt;=1,AL$5-$K$360&lt;=Inputs!$C$13),INDEX($N$363:$AL$363,1,AL$5-$K$360+1)*INDEX($N$364:$AL$364,1,AL$5-$K$360+1),0)-$I$360*((AL$5=Inputs!$C$12)*$C$362*$D$360+(AL$5=Inputs!$C$13)*$D$362*($D$360+Inputs!$C$14))+$I$360*((AL$5=Inputs!$C$15+$K$360)*$E$362*$I$362+(AL$5=Inputs!$C$16+$K$360)*$F$362*$J$362+(AL$5=Inputs!$C$17)*$G$362*$H$360*$H$362)</f>
        <v>11.76</v>
      </c>
      <c r="AM365" s="42" t="n">
        <f aca="false">-($D$360+$J$360)*(AM$5=0)+IF(AND(AM$5-$K$360&gt;=1,AM$5-$K$360&lt;=Inputs!$C$13),INDEX($N$363:$AL$363,1,AM$5-$K$360+1)*INDEX($N$364:$AL$364,1,AM$5-$K$360+1),0)-$I$360*((AM$5=Inputs!$C$12)*$C$362*$D$360+(AM$5=Inputs!$C$13)*$D$362*($D$360+Inputs!$C$14))+$I$360*((AM$5=Inputs!$C$15+$K$360)*$E$362*$I$362+(AM$5=Inputs!$C$16+$K$360)*$F$362*$J$362+(AM$5=Inputs!$C$17)*$G$362*$H$360*$H$362)</f>
        <v>0</v>
      </c>
      <c r="AN365" s="42" t="n">
        <f aca="false">-($D$360+$J$360)*(AN$5=0)+IF(AND(AN$5-$K$360&gt;=1,AN$5-$K$360&lt;=Inputs!$C$13),INDEX($N$363:$AL$363,1,AN$5-$K$360+1)*INDEX($N$364:$AL$364,1,AN$5-$K$360+1),0)-$I$360*((AN$5=Inputs!$C$12)*$C$362*$D$360+(AN$5=Inputs!$C$13)*$D$362*($D$360+Inputs!$C$14))+$I$360*((AN$5=Inputs!$C$15+$K$360)*$E$362*$I$362+(AN$5=Inputs!$C$16+$K$360)*$F$362*$J$362+(AN$5=Inputs!$C$17)*$G$362*$H$360*$H$362)</f>
        <v>0</v>
      </c>
      <c r="AO365" s="42" t="n">
        <f aca="false">-($D$360+$J$360)*(AO$5=0)+IF(AND(AO$5-$K$360&gt;=1,AO$5-$K$360&lt;=Inputs!$C$13),INDEX($N$363:$AL$363,1,AO$5-$K$360+1)*INDEX($N$364:$AL$364,1,AO$5-$K$360+1),0)-$I$360*((AO$5=Inputs!$C$12)*$C$362*$D$360+(AO$5=Inputs!$C$13)*$D$362*($D$360+Inputs!$C$14))+$I$360*((AO$5=Inputs!$C$15+$K$360)*$E$362*$I$362+(AO$5=Inputs!$C$16+$K$360)*$F$362*$J$362+(AO$5=Inputs!$C$17)*$G$362*$H$360*$H$362)</f>
        <v>0</v>
      </c>
      <c r="AP365" s="42" t="n">
        <f aca="false">-($D$360+$J$360)*(AP$5=0)+IF(AND(AP$5-$K$360&gt;=1,AP$5-$K$360&lt;=Inputs!$C$13),INDEX($N$363:$AL$363,1,AP$5-$K$360+1)*INDEX($N$364:$AL$364,1,AP$5-$K$360+1),0)-$I$360*((AP$5=Inputs!$C$12)*$C$362*$D$360+(AP$5=Inputs!$C$13)*$D$362*($D$360+Inputs!$C$14))+$I$360*((AP$5=Inputs!$C$15+$K$360)*$E$362*$I$362+(AP$5=Inputs!$C$16+$K$360)*$F$362*$J$362+(AP$5=Inputs!$C$17)*$G$362*$H$360*$H$362)</f>
        <v>0</v>
      </c>
      <c r="AQ365" s="42" t="n">
        <f aca="false">-($D$360+$J$360)*(AQ$5=0)+IF(AND(AQ$5-$K$360&gt;=1,AQ$5-$K$360&lt;=Inputs!$C$13),INDEX($N$363:$AL$363,1,AQ$5-$K$360+1)*INDEX($N$364:$AL$364,1,AQ$5-$K$360+1),0)-$I$360*((AQ$5=Inputs!$C$12)*$C$362*$D$360+(AQ$5=Inputs!$C$13)*$D$362*($D$360+Inputs!$C$14))+$I$360*((AQ$5=Inputs!$C$15+$K$360)*$E$362*$I$362+(AQ$5=Inputs!$C$16+$K$360)*$F$362*$J$362+(AQ$5=Inputs!$C$17)*$G$362*$H$360*$H$362)</f>
        <v>0</v>
      </c>
      <c r="AR365" s="42" t="n">
        <f aca="false">-($D$360+$J$360)*(AR$5=0)+IF(AND(AR$5-$K$360&gt;=1,AR$5-$K$360&lt;=Inputs!$C$13),INDEX($N$363:$AL$363,1,AR$5-$K$360+1)*INDEX($N$364:$AL$364,1,AR$5-$K$360+1),0)-$I$360*((AR$5=Inputs!$C$12)*$C$362*$D$360+(AR$5=Inputs!$C$13)*$D$362*($D$360+Inputs!$C$14))+$I$360*((AR$5=Inputs!$C$15+$K$360)*$E$362*$I$362+(AR$5=Inputs!$C$16+$K$360)*$F$362*$J$362+(AR$5=Inputs!$C$17)*$G$362*$H$360*$H$362)</f>
        <v>0</v>
      </c>
      <c r="AS365" s="42" t="n">
        <f aca="false">-($D$360+$J$360)*(AS$5=0)+IF(AND(AS$5-$K$360&gt;=1,AS$5-$K$360&lt;=Inputs!$C$13),INDEX($N$363:$AL$363,1,AS$5-$K$360+1)*INDEX($N$364:$AL$364,1,AS$5-$K$360+1),0)-$I$360*((AS$5=Inputs!$C$12)*$C$362*$D$360+(AS$5=Inputs!$C$13)*$D$362*($D$360+Inputs!$C$14))+$I$360*((AS$5=Inputs!$C$15+$K$360)*$E$362*$I$362+(AS$5=Inputs!$C$16+$K$360)*$F$362*$J$362+(AS$5=Inputs!$C$17)*$G$362*$H$360*$H$362)</f>
        <v>0</v>
      </c>
      <c r="AT365" s="42" t="n">
        <f aca="false">-($D$360+$J$360)*(AT$5=0)+IF(AND(AT$5-$K$360&gt;=1,AT$5-$K$360&lt;=Inputs!$C$13),INDEX($N$363:$AL$363,1,AT$5-$K$360+1)*INDEX($N$364:$AL$364,1,AT$5-$K$360+1),0)-$I$360*((AT$5=Inputs!$C$12)*$C$362*$D$360+(AT$5=Inputs!$C$13)*$D$362*($D$360+Inputs!$C$14))+$I$360*((AT$5=Inputs!$C$15+$K$360)*$E$362*$I$362+(AT$5=Inputs!$C$16+$K$360)*$F$362*$J$362+(AT$5=Inputs!$C$17)*$G$362*$H$360*$H$362)</f>
        <v>0</v>
      </c>
      <c r="AU365" s="42" t="n">
        <f aca="false">-($D$360+$J$360)*(AU$5=0)+IF(AND(AU$5-$K$360&gt;=1,AU$5-$K$360&lt;=Inputs!$C$13),INDEX($N$363:$AL$363,1,AU$5-$K$360+1)*INDEX($N$364:$AL$364,1,AU$5-$K$360+1),0)-$I$360*((AU$5=Inputs!$C$12)*$C$362*$D$360+(AU$5=Inputs!$C$13)*$D$362*($D$360+Inputs!$C$14))+$I$360*((AU$5=Inputs!$C$15+$K$360)*$E$362*$I$362+(AU$5=Inputs!$C$16+$K$360)*$F$362*$J$362+(AU$5=Inputs!$C$17)*$G$362*$H$360*$H$362)</f>
        <v>0</v>
      </c>
      <c r="AV365" s="42" t="n">
        <f aca="false">-($D$360+$J$360)*(AV$5=0)+IF(AND(AV$5-$K$360&gt;=1,AV$5-$K$360&lt;=Inputs!$C$13),INDEX($N$363:$AL$363,1,AV$5-$K$360+1)*INDEX($N$364:$AL$364,1,AV$5-$K$360+1),0)-$I$360*((AV$5=Inputs!$C$12)*$C$362*$D$360+(AV$5=Inputs!$C$13)*$D$362*($D$360+Inputs!$C$14))+$I$360*((AV$5=Inputs!$C$15+$K$360)*$E$362*$I$362+(AV$5=Inputs!$C$16+$K$360)*$F$362*$J$362+(AV$5=Inputs!$C$17)*$G$362*$H$360*$H$362)</f>
        <v>0</v>
      </c>
      <c r="AW365" s="42" t="n">
        <f aca="false">-($D$360+$J$360)*(AW$5=0)+IF(AND(AW$5-$K$360&gt;=1,AW$5-$K$360&lt;=Inputs!$C$13),INDEX($N$363:$AL$363,1,AW$5-$K$360+1)*INDEX($N$364:$AL$364,1,AW$5-$K$360+1),0)-$I$360*((AW$5=Inputs!$C$12)*$C$362*$D$360+(AW$5=Inputs!$C$13)*$D$362*($D$360+Inputs!$C$14))+$I$360*((AW$5=Inputs!$C$15+$K$360)*$E$362*$I$362+(AW$5=Inputs!$C$16+$K$360)*$F$362*$J$362+(AW$5=Inputs!$C$17)*$G$362*$H$360*$H$362)</f>
        <v>0</v>
      </c>
      <c r="AX365" s="42" t="n">
        <f aca="false">-($D$360+$J$360)*(AX$5=0)+IF(AND(AX$5-$K$360&gt;=1,AX$5-$K$360&lt;=Inputs!$C$13),INDEX($N$363:$AL$363,1,AX$5-$K$360+1)*INDEX($N$364:$AL$364,1,AX$5-$K$360+1),0)-$I$360*((AX$5=Inputs!$C$12)*$C$362*$D$360+(AX$5=Inputs!$C$13)*$D$362*($D$360+Inputs!$C$14))+$I$360*((AX$5=Inputs!$C$15+$K$360)*$E$362*$I$362+(AX$5=Inputs!$C$16+$K$360)*$F$362*$J$362+(AX$5=Inputs!$C$17)*$G$362*$H$360*$H$362)</f>
        <v>0</v>
      </c>
      <c r="AY365" s="42" t="n">
        <f aca="false">-($D$360+$J$360)*(AY$5=0)+IF(AND(AY$5-$K$360&gt;=1,AY$5-$K$360&lt;=Inputs!$C$13),INDEX($N$363:$AL$363,1,AY$5-$K$360+1)*INDEX($N$364:$AL$364,1,AY$5-$K$360+1),0)-$I$360*((AY$5=Inputs!$C$12)*$C$362*$D$360+(AY$5=Inputs!$C$13)*$D$362*($D$360+Inputs!$C$14))+$I$360*((AY$5=Inputs!$C$15+$K$360)*$E$362*$I$362+(AY$5=Inputs!$C$16+$K$360)*$F$362*$J$362+(AY$5=Inputs!$C$17)*$G$362*$H$360*$H$362)</f>
        <v>0</v>
      </c>
    </row>
    <row r="367" customFormat="false" ht="15" hidden="false" customHeight="false" outlineLevel="0" collapsed="false">
      <c r="B367" s="7" t="s">
        <v>281</v>
      </c>
      <c r="C367" s="8"/>
      <c r="D367" s="8"/>
      <c r="E367" s="8"/>
      <c r="F367" s="8"/>
      <c r="G367" s="8"/>
      <c r="H367" s="8"/>
      <c r="I367" s="8"/>
      <c r="J367" s="8"/>
      <c r="K367" s="8"/>
      <c r="L367" s="8"/>
    </row>
    <row r="368" customFormat="false" ht="30" hidden="false" customHeight="true" outlineLevel="0" collapsed="false">
      <c r="B368" s="37"/>
      <c r="C368" s="38" t="s">
        <v>169</v>
      </c>
      <c r="D368" s="38" t="s">
        <v>170</v>
      </c>
      <c r="E368" s="38" t="s">
        <v>171</v>
      </c>
      <c r="F368" s="38" t="s">
        <v>43</v>
      </c>
      <c r="G368" s="38" t="s">
        <v>44</v>
      </c>
      <c r="H368" s="38" t="s">
        <v>45</v>
      </c>
      <c r="I368" s="38" t="s">
        <v>172</v>
      </c>
      <c r="J368" s="38" t="s">
        <v>90</v>
      </c>
      <c r="K368" s="38" t="s">
        <v>89</v>
      </c>
      <c r="L368" s="38" t="s">
        <v>173</v>
      </c>
    </row>
    <row r="369" customFormat="false" ht="15" hidden="false" customHeight="false" outlineLevel="0" collapsed="false">
      <c r="B369" s="39" t="s">
        <v>174</v>
      </c>
      <c r="C369" s="26" t="n">
        <f aca="false">Inputs!$F$39*Inputs!$E$63</f>
        <v>0.005</v>
      </c>
      <c r="D369" s="30" t="n">
        <f aca="false">Inputs!$E$39</f>
        <v>4200</v>
      </c>
      <c r="E369" s="26" t="n">
        <f aca="false">IF(Inputs!$G$39=1,Inputs!$F$27,MIN(1,MAX(0,INDEX(Inputs!$F$23:$F$27,MATCH(Inputs!$C$39,Inputs!$B$23:$B$27,0))+INDEX(Inputs!$C$48:$C$51,MATCH(Inputs!$D$63,Inputs!$B$48:$B$51,0)))))</f>
        <v>0.985</v>
      </c>
      <c r="F369" s="25" t="n">
        <f aca="false">IF(Inputs!$G$39=1,Inputs!$G$27,INDEX(Inputs!$G$23:$G$27,MATCH(Inputs!$C$39,Inputs!$B$23:$B$27,0)))</f>
        <v>0.8</v>
      </c>
      <c r="G369" s="25" t="n">
        <f aca="false">IF(Inputs!$G$39=1,Inputs!$H$27,INDEX(Inputs!$H$23:$H$27,MATCH(Inputs!$C$39,Inputs!$B$23:$B$27,0)))*INDEX(Inputs!$D$48:$D$51,MATCH(Inputs!$D$63,Inputs!$B$48:$B$51,0))</f>
        <v>0.95</v>
      </c>
      <c r="H369" s="25" t="n">
        <f aca="false">MAX(0,IF(Inputs!$G$39=1,Inputs!$I$27,INDEX(Inputs!$I$23:$I$27,MATCH(Inputs!$C$39,Inputs!$B$23:$B$27,0)))+INDEX(Inputs!$E$48:$E$51,MATCH(Inputs!$D$63,Inputs!$B$48:$B$51,0)))</f>
        <v>0.9</v>
      </c>
      <c r="I369" s="22" t="n">
        <f aca="false">IF(Inputs!$G$39=1,0,INDEX(Inputs!$J$23:$J$27,MATCH(Inputs!$C$39,Inputs!$B$23:$B$27,0)))</f>
        <v>1</v>
      </c>
      <c r="J369" s="23" t="n">
        <f aca="false">Inputs!$G$63</f>
        <v>0</v>
      </c>
      <c r="K369" s="22" t="n">
        <f aca="false">Inputs!$F$63</f>
        <v>1</v>
      </c>
      <c r="L369" s="22" t="n">
        <f aca="false">Inputs!$C$63</f>
        <v>1</v>
      </c>
    </row>
    <row r="370" customFormat="false" ht="30" hidden="false" customHeight="true" outlineLevel="0" collapsed="false">
      <c r="B370" s="37"/>
      <c r="C370" s="38" t="s">
        <v>175</v>
      </c>
      <c r="D370" s="38" t="s">
        <v>176</v>
      </c>
      <c r="E370" s="38" t="s">
        <v>177</v>
      </c>
      <c r="F370" s="38" t="s">
        <v>178</v>
      </c>
      <c r="G370" s="38" t="s">
        <v>112</v>
      </c>
      <c r="H370" s="38" t="s">
        <v>179</v>
      </c>
      <c r="I370" s="38" t="s">
        <v>180</v>
      </c>
      <c r="J370" s="38" t="s">
        <v>181</v>
      </c>
      <c r="K370" s="38" t="s">
        <v>182</v>
      </c>
      <c r="L370" s="38" t="s">
        <v>183</v>
      </c>
    </row>
    <row r="371" customFormat="false" ht="15" hidden="false" customHeight="false" outlineLevel="0" collapsed="false">
      <c r="B371" s="39" t="s">
        <v>184</v>
      </c>
      <c r="C371" s="40" t="n">
        <f aca="false">1-$E$369*CHOOSE($L$369,INDEX(Timing!$C$7:$AA$7,1,Inputs!$C$12+1),INDEX(Timing!$C$8:$AA$8,1,Inputs!$C$12+1))</f>
        <v>0.2514</v>
      </c>
      <c r="D371" s="40" t="n">
        <f aca="false">1-$E$369*CHOOSE($L$369,INDEX(Timing!$C$7:$AA$7,1,Inputs!$C$13+1),INDEX(Timing!$C$8:$AA$8,1,Inputs!$C$13+1))</f>
        <v>0.015</v>
      </c>
      <c r="E371" s="40" t="n">
        <f aca="false">$I$369*$D$371*$F$369</f>
        <v>0.012</v>
      </c>
      <c r="F371" s="40" t="n">
        <f aca="false">$I$369*($D$371-$E$371)*$G$369</f>
        <v>0.00285</v>
      </c>
      <c r="G371" s="40" t="n">
        <f aca="false">$I$369*($D$371-$E$371-$F$371)</f>
        <v>0.00015</v>
      </c>
      <c r="H371" s="23" t="n">
        <f aca="false">$I$369*(3*$D$369+Inputs!$C$14)</f>
        <v>14400</v>
      </c>
      <c r="I371" s="23" t="n">
        <f aca="false">$I$369*($D$369*(1+IF($C$369&lt;=0,0,MAX($C$369*Inputs!$C$15/12,Inputs!$C$8)))+$D$369*(1+Inputs!$C$11*(Inputs!$C$15-Inputs!$C$12)/12)+$D$369*(1+Inputs!$C$11*(Inputs!$C$15-Inputs!$C$13)/12)+Inputs!$C$14)</f>
        <v>15744</v>
      </c>
      <c r="J371" s="23" t="n">
        <f aca="false">$I$369*($D$369*(1+IF($C$369&lt;=0,0,MAX($C$369*Inputs!$C$16/12,Inputs!$C$8)))+$D$369*(1+Inputs!$C$11*(Inputs!$C$16-Inputs!$C$12)/12)+$D$369*(1+Inputs!$C$11*(Inputs!$C$16-Inputs!$C$13)/12)+Inputs!$C$14)</f>
        <v>16122</v>
      </c>
      <c r="K371" s="40" t="n">
        <f aca="false">IRR($N$374:$AY$374,0.005)</f>
        <v>0.00638584189703318</v>
      </c>
      <c r="L371" s="41" t="n">
        <f aca="false">(1+$K$371)^12-1</f>
        <v>0.0793796366316664</v>
      </c>
    </row>
    <row r="372" customFormat="false" ht="15" hidden="false" customHeight="false" outlineLevel="0" collapsed="false">
      <c r="B372" s="9" t="s">
        <v>185</v>
      </c>
      <c r="N372" s="40" t="n">
        <f aca="false">0</f>
        <v>0</v>
      </c>
      <c r="O372" s="40" t="n">
        <f aca="false">$E$369*(CHOOSE($L$369,Timing!D$7,Timing!D$8)-CHOOSE($L$369,Timing!C$7,Timing!C$8))</f>
        <v>0.1182</v>
      </c>
      <c r="P372" s="40" t="n">
        <f aca="false">$E$369*(CHOOSE($L$369,Timing!E$7,Timing!E$8)-CHOOSE($L$369,Timing!D$7,Timing!D$8))</f>
        <v>0.0985</v>
      </c>
      <c r="Q372" s="40" t="n">
        <f aca="false">$E$369*(CHOOSE($L$369,Timing!F$7,Timing!F$8)-CHOOSE($L$369,Timing!E$7,Timing!E$8))</f>
        <v>0.08865</v>
      </c>
      <c r="R372" s="40" t="n">
        <f aca="false">$E$369*(CHOOSE($L$369,Timing!G$7,Timing!G$8)-CHOOSE($L$369,Timing!F$7,Timing!F$8))</f>
        <v>0.06895</v>
      </c>
      <c r="S372" s="40" t="n">
        <f aca="false">$E$369*(CHOOSE($L$369,Timing!H$7,Timing!H$8)-CHOOSE($L$369,Timing!G$7,Timing!G$8))</f>
        <v>0.06895</v>
      </c>
      <c r="T372" s="40" t="n">
        <f aca="false">$E$369*(CHOOSE($L$369,Timing!I$7,Timing!I$8)-CHOOSE($L$369,Timing!H$7,Timing!H$8))</f>
        <v>0.06895</v>
      </c>
      <c r="U372" s="40" t="n">
        <f aca="false">$E$369*(CHOOSE($L$369,Timing!J$7,Timing!J$8)-CHOOSE($L$369,Timing!I$7,Timing!I$8))</f>
        <v>0.0426833333333333</v>
      </c>
      <c r="V372" s="40" t="n">
        <f aca="false">$E$369*(CHOOSE($L$369,Timing!K$7,Timing!K$8)-CHOOSE($L$369,Timing!J$7,Timing!J$8))</f>
        <v>0.0426833333333333</v>
      </c>
      <c r="W372" s="40" t="n">
        <f aca="false">$E$369*(CHOOSE($L$369,Timing!L$7,Timing!L$8)-CHOOSE($L$369,Timing!K$7,Timing!K$8))</f>
        <v>0.0426833333333333</v>
      </c>
      <c r="X372" s="40" t="n">
        <f aca="false">$E$369*(CHOOSE($L$369,Timing!M$7,Timing!M$8)-CHOOSE($L$369,Timing!L$7,Timing!L$8))</f>
        <v>0.0361166666666666</v>
      </c>
      <c r="Y372" s="40" t="n">
        <f aca="false">$E$369*(CHOOSE($L$369,Timing!N$7,Timing!N$8)-CHOOSE($L$369,Timing!M$7,Timing!M$8))</f>
        <v>0.0361166666666667</v>
      </c>
      <c r="Z372" s="40" t="n">
        <f aca="false">$E$369*(CHOOSE($L$369,Timing!O$7,Timing!O$8)-CHOOSE($L$369,Timing!N$7,Timing!N$8))</f>
        <v>0.0361166666666666</v>
      </c>
      <c r="AA372" s="40" t="n">
        <f aca="false">$E$369*(CHOOSE($L$369,Timing!P$7,Timing!P$8)-CHOOSE($L$369,Timing!O$7,Timing!O$8))</f>
        <v>0.0229833333333333</v>
      </c>
      <c r="AB372" s="40" t="n">
        <f aca="false">$E$369*(CHOOSE($L$369,Timing!Q$7,Timing!Q$8)-CHOOSE($L$369,Timing!P$7,Timing!P$8))</f>
        <v>0.0229833333333333</v>
      </c>
      <c r="AC372" s="40" t="n">
        <f aca="false">$E$369*(CHOOSE($L$369,Timing!R$7,Timing!R$8)-CHOOSE($L$369,Timing!Q$7,Timing!Q$8))</f>
        <v>0.0229833333333334</v>
      </c>
      <c r="AD372" s="40" t="n">
        <f aca="false">$E$369*(CHOOSE($L$369,Timing!S$7,Timing!S$8)-CHOOSE($L$369,Timing!R$7,Timing!R$8))</f>
        <v>0.0229833333333333</v>
      </c>
      <c r="AE372" s="40" t="n">
        <f aca="false">$E$369*(CHOOSE($L$369,Timing!T$7,Timing!T$8)-CHOOSE($L$369,Timing!S$7,Timing!S$8))</f>
        <v>0.0229833333333333</v>
      </c>
      <c r="AF372" s="40" t="n">
        <f aca="false">$E$369*(CHOOSE($L$369,Timing!U$7,Timing!U$8)-CHOOSE($L$369,Timing!T$7,Timing!T$8))</f>
        <v>0.0229833333333333</v>
      </c>
      <c r="AG372" s="40" t="n">
        <f aca="false">$E$369*(CHOOSE($L$369,Timing!V$7,Timing!V$8)-CHOOSE($L$369,Timing!U$7,Timing!U$8))</f>
        <v>0.0164166666666667</v>
      </c>
      <c r="AH372" s="40" t="n">
        <f aca="false">$E$369*(CHOOSE($L$369,Timing!W$7,Timing!W$8)-CHOOSE($L$369,Timing!V$7,Timing!V$8))</f>
        <v>0.0164166666666666</v>
      </c>
      <c r="AI372" s="40" t="n">
        <f aca="false">$E$369*(CHOOSE($L$369,Timing!X$7,Timing!X$8)-CHOOSE($L$369,Timing!W$7,Timing!W$8))</f>
        <v>0.0164166666666666</v>
      </c>
      <c r="AJ372" s="40" t="n">
        <f aca="false">$E$369*(CHOOSE($L$369,Timing!Y$7,Timing!Y$8)-CHOOSE($L$369,Timing!X$7,Timing!X$8))</f>
        <v>0.0164166666666667</v>
      </c>
      <c r="AK372" s="40" t="n">
        <f aca="false">$E$369*(CHOOSE($L$369,Timing!Z$7,Timing!Z$8)-CHOOSE($L$369,Timing!Y$7,Timing!Y$8))</f>
        <v>0.0164166666666667</v>
      </c>
      <c r="AL372" s="40" t="n">
        <f aca="false">$E$369*(CHOOSE($L$369,Timing!AA$7,Timing!AA$8)-CHOOSE($L$369,Timing!Z$7,Timing!Z$8))</f>
        <v>0.0164166666666666</v>
      </c>
    </row>
    <row r="373" customFormat="false" ht="15" hidden="false" customHeight="false" outlineLevel="0" collapsed="false">
      <c r="B373" s="9" t="s">
        <v>186</v>
      </c>
      <c r="N373" s="42" t="n">
        <f aca="false">0</f>
        <v>0</v>
      </c>
      <c r="O373" s="42" t="n">
        <f aca="false">$D$369*(1+IF($C$369&lt;=0,0,MAX($C$369*O$5/12,Inputs!$C$8)))+$I$369*(O$5&gt;Inputs!$C$12)*$D$369*(1+Inputs!$C$11*(O$5-Inputs!$C$12)/12)</f>
        <v>4410</v>
      </c>
      <c r="P373" s="42" t="n">
        <f aca="false">$D$369*(1+IF($C$369&lt;=0,0,MAX($C$369*P$5/12,Inputs!$C$8)))+$I$369*(P$5&gt;Inputs!$C$12)*$D$369*(1+Inputs!$C$11*(P$5-Inputs!$C$12)/12)</f>
        <v>4410</v>
      </c>
      <c r="Q373" s="42" t="n">
        <f aca="false">$D$369*(1+IF($C$369&lt;=0,0,MAX($C$369*Q$5/12,Inputs!$C$8)))+$I$369*(Q$5&gt;Inputs!$C$12)*$D$369*(1+Inputs!$C$11*(Q$5-Inputs!$C$12)/12)</f>
        <v>4410</v>
      </c>
      <c r="R373" s="42" t="n">
        <f aca="false">$D$369*(1+IF($C$369&lt;=0,0,MAX($C$369*R$5/12,Inputs!$C$8)))+$I$369*(R$5&gt;Inputs!$C$12)*$D$369*(1+Inputs!$C$11*(R$5-Inputs!$C$12)/12)</f>
        <v>4410</v>
      </c>
      <c r="S373" s="42" t="n">
        <f aca="false">$D$369*(1+IF($C$369&lt;=0,0,MAX($C$369*S$5/12,Inputs!$C$8)))+$I$369*(S$5&gt;Inputs!$C$12)*$D$369*(1+Inputs!$C$11*(S$5-Inputs!$C$12)/12)</f>
        <v>4410</v>
      </c>
      <c r="T373" s="42" t="n">
        <f aca="false">$D$369*(1+IF($C$369&lt;=0,0,MAX($C$369*T$5/12,Inputs!$C$8)))+$I$369*(T$5&gt;Inputs!$C$12)*$D$369*(1+Inputs!$C$11*(T$5-Inputs!$C$12)/12)</f>
        <v>4410</v>
      </c>
      <c r="U373" s="42" t="n">
        <f aca="false">$D$369*(1+IF($C$369&lt;=0,0,MAX($C$369*U$5/12,Inputs!$C$8)))+$I$369*(U$5&gt;Inputs!$C$12)*$D$369*(1+Inputs!$C$11*(U$5-Inputs!$C$12)/12)</f>
        <v>4410</v>
      </c>
      <c r="V373" s="42" t="n">
        <f aca="false">$D$369*(1+IF($C$369&lt;=0,0,MAX($C$369*V$5/12,Inputs!$C$8)))+$I$369*(V$5&gt;Inputs!$C$12)*$D$369*(1+Inputs!$C$11*(V$5-Inputs!$C$12)/12)</f>
        <v>4410</v>
      </c>
      <c r="W373" s="42" t="n">
        <f aca="false">$D$369*(1+IF($C$369&lt;=0,0,MAX($C$369*W$5/12,Inputs!$C$8)))+$I$369*(W$5&gt;Inputs!$C$12)*$D$369*(1+Inputs!$C$11*(W$5-Inputs!$C$12)/12)</f>
        <v>4410</v>
      </c>
      <c r="X373" s="42" t="n">
        <f aca="false">$D$369*(1+IF($C$369&lt;=0,0,MAX($C$369*X$5/12,Inputs!$C$8)))+$I$369*(X$5&gt;Inputs!$C$12)*$D$369*(1+Inputs!$C$11*(X$5-Inputs!$C$12)/12)</f>
        <v>4410</v>
      </c>
      <c r="Y373" s="42" t="n">
        <f aca="false">$D$369*(1+IF($C$369&lt;=0,0,MAX($C$369*Y$5/12,Inputs!$C$8)))+$I$369*(Y$5&gt;Inputs!$C$12)*$D$369*(1+Inputs!$C$11*(Y$5-Inputs!$C$12)/12)</f>
        <v>4410</v>
      </c>
      <c r="Z373" s="42" t="n">
        <f aca="false">$D$369*(1+IF($C$369&lt;=0,0,MAX($C$369*Z$5/12,Inputs!$C$8)))+$I$369*(Z$5&gt;Inputs!$C$12)*$D$369*(1+Inputs!$C$11*(Z$5-Inputs!$C$12)/12)</f>
        <v>4410</v>
      </c>
      <c r="AA373" s="42" t="n">
        <f aca="false">$D$369*(1+IF($C$369&lt;=0,0,MAX($C$369*AA$5/12,Inputs!$C$8)))+$I$369*(AA$5&gt;Inputs!$C$12)*$D$369*(1+Inputs!$C$11*(AA$5-Inputs!$C$12)/12)</f>
        <v>8673</v>
      </c>
      <c r="AB373" s="42" t="n">
        <f aca="false">$D$369*(1+IF($C$369&lt;=0,0,MAX($C$369*AB$5/12,Inputs!$C$8)))+$I$369*(AB$5&gt;Inputs!$C$12)*$D$369*(1+Inputs!$C$11*(AB$5-Inputs!$C$12)/12)</f>
        <v>8736</v>
      </c>
      <c r="AC373" s="42" t="n">
        <f aca="false">$D$369*(1+IF($C$369&lt;=0,0,MAX($C$369*AC$5/12,Inputs!$C$8)))+$I$369*(AC$5&gt;Inputs!$C$12)*$D$369*(1+Inputs!$C$11*(AC$5-Inputs!$C$12)/12)</f>
        <v>8799</v>
      </c>
      <c r="AD373" s="42" t="n">
        <f aca="false">$D$369*(1+IF($C$369&lt;=0,0,MAX($C$369*AD$5/12,Inputs!$C$8)))+$I$369*(AD$5&gt;Inputs!$C$12)*$D$369*(1+Inputs!$C$11*(AD$5-Inputs!$C$12)/12)</f>
        <v>8862</v>
      </c>
      <c r="AE373" s="42" t="n">
        <f aca="false">$D$369*(1+IF($C$369&lt;=0,0,MAX($C$369*AE$5/12,Inputs!$C$8)))+$I$369*(AE$5&gt;Inputs!$C$12)*$D$369*(1+Inputs!$C$11*(AE$5-Inputs!$C$12)/12)</f>
        <v>8925</v>
      </c>
      <c r="AF373" s="42" t="n">
        <f aca="false">$D$369*(1+IF($C$369&lt;=0,0,MAX($C$369*AF$5/12,Inputs!$C$8)))+$I$369*(AF$5&gt;Inputs!$C$12)*$D$369*(1+Inputs!$C$11*(AF$5-Inputs!$C$12)/12)</f>
        <v>8988</v>
      </c>
      <c r="AG373" s="42" t="n">
        <f aca="false">$D$369*(1+IF($C$369&lt;=0,0,MAX($C$369*AG$5/12,Inputs!$C$8)))+$I$369*(AG$5&gt;Inputs!$C$12)*$D$369*(1+Inputs!$C$11*(AG$5-Inputs!$C$12)/12)</f>
        <v>9051</v>
      </c>
      <c r="AH373" s="42" t="n">
        <f aca="false">$D$369*(1+IF($C$369&lt;=0,0,MAX($C$369*AH$5/12,Inputs!$C$8)))+$I$369*(AH$5&gt;Inputs!$C$12)*$D$369*(1+Inputs!$C$11*(AH$5-Inputs!$C$12)/12)</f>
        <v>9114</v>
      </c>
      <c r="AI373" s="42" t="n">
        <f aca="false">$D$369*(1+IF($C$369&lt;=0,0,MAX($C$369*AI$5/12,Inputs!$C$8)))+$I$369*(AI$5&gt;Inputs!$C$12)*$D$369*(1+Inputs!$C$11*(AI$5-Inputs!$C$12)/12)</f>
        <v>9177</v>
      </c>
      <c r="AJ373" s="42" t="n">
        <f aca="false">$D$369*(1+IF($C$369&lt;=0,0,MAX($C$369*AJ$5/12,Inputs!$C$8)))+$I$369*(AJ$5&gt;Inputs!$C$12)*$D$369*(1+Inputs!$C$11*(AJ$5-Inputs!$C$12)/12)</f>
        <v>9240</v>
      </c>
      <c r="AK373" s="42" t="n">
        <f aca="false">$D$369*(1+IF($C$369&lt;=0,0,MAX($C$369*AK$5/12,Inputs!$C$8)))+$I$369*(AK$5&gt;Inputs!$C$12)*$D$369*(1+Inputs!$C$11*(AK$5-Inputs!$C$12)/12)</f>
        <v>9303</v>
      </c>
      <c r="AL373" s="42" t="n">
        <f aca="false">$D$369*(1+IF($C$369&lt;=0,0,MAX($C$369*AL$5/12,Inputs!$C$8)))+$I$369*(AL$5&gt;Inputs!$C$12)*$D$369*(1+Inputs!$C$11*(AL$5-Inputs!$C$12)/12)</f>
        <v>9366</v>
      </c>
    </row>
    <row r="374" customFormat="false" ht="15" hidden="false" customHeight="false" outlineLevel="0" collapsed="false">
      <c r="B374" s="31" t="s">
        <v>187</v>
      </c>
      <c r="N374" s="42" t="n">
        <f aca="false">-($D$369+$J$369)*(N$5=0)+IF(AND(N$5-$K$369&gt;=1,N$5-$K$369&lt;=Inputs!$C$13),INDEX($N$372:$AL$372,1,N$5-$K$369+1)*INDEX($N$373:$AL$373,1,N$5-$K$369+1),0)-$I$369*((N$5=Inputs!$C$12)*$C$371*$D$369+(N$5=Inputs!$C$13)*$D$371*($D$369+Inputs!$C$14))+$I$369*((N$5=Inputs!$C$15+$K$369)*$E$371*$I$371+(N$5=Inputs!$C$16+$K$369)*$F$371*$J$371+(N$5=Inputs!$C$17)*$G$371*$H$369*$H$371)</f>
        <v>-4200</v>
      </c>
      <c r="O374" s="42" t="n">
        <f aca="false">-($D$369+$J$369)*(O$5=0)+IF(AND(O$5-$K$369&gt;=1,O$5-$K$369&lt;=Inputs!$C$13),INDEX($N$372:$AL$372,1,O$5-$K$369+1)*INDEX($N$373:$AL$373,1,O$5-$K$369+1),0)-$I$369*((O$5=Inputs!$C$12)*$C$371*$D$369+(O$5=Inputs!$C$13)*$D$371*($D$369+Inputs!$C$14))+$I$369*((O$5=Inputs!$C$15+$K$369)*$E$371*$I$371+(O$5=Inputs!$C$16+$K$369)*$F$371*$J$371+(O$5=Inputs!$C$17)*$G$371*$H$369*$H$371)</f>
        <v>0</v>
      </c>
      <c r="P374" s="42" t="n">
        <f aca="false">-($D$369+$J$369)*(P$5=0)+IF(AND(P$5-$K$369&gt;=1,P$5-$K$369&lt;=Inputs!$C$13),INDEX($N$372:$AL$372,1,P$5-$K$369+1)*INDEX($N$373:$AL$373,1,P$5-$K$369+1),0)-$I$369*((P$5=Inputs!$C$12)*$C$371*$D$369+(P$5=Inputs!$C$13)*$D$371*($D$369+Inputs!$C$14))+$I$369*((P$5=Inputs!$C$15+$K$369)*$E$371*$I$371+(P$5=Inputs!$C$16+$K$369)*$F$371*$J$371+(P$5=Inputs!$C$17)*$G$371*$H$369*$H$371)</f>
        <v>521.262</v>
      </c>
      <c r="Q374" s="42" t="n">
        <f aca="false">-($D$369+$J$369)*(Q$5=0)+IF(AND(Q$5-$K$369&gt;=1,Q$5-$K$369&lt;=Inputs!$C$13),INDEX($N$372:$AL$372,1,Q$5-$K$369+1)*INDEX($N$373:$AL$373,1,Q$5-$K$369+1),0)-$I$369*((Q$5=Inputs!$C$12)*$C$371*$D$369+(Q$5=Inputs!$C$13)*$D$371*($D$369+Inputs!$C$14))+$I$369*((Q$5=Inputs!$C$15+$K$369)*$E$371*$I$371+(Q$5=Inputs!$C$16+$K$369)*$F$371*$J$371+(Q$5=Inputs!$C$17)*$G$371*$H$369*$H$371)</f>
        <v>434.385</v>
      </c>
      <c r="R374" s="42" t="n">
        <f aca="false">-($D$369+$J$369)*(R$5=0)+IF(AND(R$5-$K$369&gt;=1,R$5-$K$369&lt;=Inputs!$C$13),INDEX($N$372:$AL$372,1,R$5-$K$369+1)*INDEX($N$373:$AL$373,1,R$5-$K$369+1),0)-$I$369*((R$5=Inputs!$C$12)*$C$371*$D$369+(R$5=Inputs!$C$13)*$D$371*($D$369+Inputs!$C$14))+$I$369*((R$5=Inputs!$C$15+$K$369)*$E$371*$I$371+(R$5=Inputs!$C$16+$K$369)*$F$371*$J$371+(R$5=Inputs!$C$17)*$G$371*$H$369*$H$371)</f>
        <v>390.9465</v>
      </c>
      <c r="S374" s="42" t="n">
        <f aca="false">-($D$369+$J$369)*(S$5=0)+IF(AND(S$5-$K$369&gt;=1,S$5-$K$369&lt;=Inputs!$C$13),INDEX($N$372:$AL$372,1,S$5-$K$369+1)*INDEX($N$373:$AL$373,1,S$5-$K$369+1),0)-$I$369*((S$5=Inputs!$C$12)*$C$371*$D$369+(S$5=Inputs!$C$13)*$D$371*($D$369+Inputs!$C$14))+$I$369*((S$5=Inputs!$C$15+$K$369)*$E$371*$I$371+(S$5=Inputs!$C$16+$K$369)*$F$371*$J$371+(S$5=Inputs!$C$17)*$G$371*$H$369*$H$371)</f>
        <v>304.0695</v>
      </c>
      <c r="T374" s="42" t="n">
        <f aca="false">-($D$369+$J$369)*(T$5=0)+IF(AND(T$5-$K$369&gt;=1,T$5-$K$369&lt;=Inputs!$C$13),INDEX($N$372:$AL$372,1,T$5-$K$369+1)*INDEX($N$373:$AL$373,1,T$5-$K$369+1),0)-$I$369*((T$5=Inputs!$C$12)*$C$371*$D$369+(T$5=Inputs!$C$13)*$D$371*($D$369+Inputs!$C$14))+$I$369*((T$5=Inputs!$C$15+$K$369)*$E$371*$I$371+(T$5=Inputs!$C$16+$K$369)*$F$371*$J$371+(T$5=Inputs!$C$17)*$G$371*$H$369*$H$371)</f>
        <v>304.0695</v>
      </c>
      <c r="U374" s="42" t="n">
        <f aca="false">-($D$369+$J$369)*(U$5=0)+IF(AND(U$5-$K$369&gt;=1,U$5-$K$369&lt;=Inputs!$C$13),INDEX($N$372:$AL$372,1,U$5-$K$369+1)*INDEX($N$373:$AL$373,1,U$5-$K$369+1),0)-$I$369*((U$5=Inputs!$C$12)*$C$371*$D$369+(U$5=Inputs!$C$13)*$D$371*($D$369+Inputs!$C$14))+$I$369*((U$5=Inputs!$C$15+$K$369)*$E$371*$I$371+(U$5=Inputs!$C$16+$K$369)*$F$371*$J$371+(U$5=Inputs!$C$17)*$G$371*$H$369*$H$371)</f>
        <v>304.0695</v>
      </c>
      <c r="V374" s="42" t="n">
        <f aca="false">-($D$369+$J$369)*(V$5=0)+IF(AND(V$5-$K$369&gt;=1,V$5-$K$369&lt;=Inputs!$C$13),INDEX($N$372:$AL$372,1,V$5-$K$369+1)*INDEX($N$373:$AL$373,1,V$5-$K$369+1),0)-$I$369*((V$5=Inputs!$C$12)*$C$371*$D$369+(V$5=Inputs!$C$13)*$D$371*($D$369+Inputs!$C$14))+$I$369*((V$5=Inputs!$C$15+$K$369)*$E$371*$I$371+(V$5=Inputs!$C$16+$K$369)*$F$371*$J$371+(V$5=Inputs!$C$17)*$G$371*$H$369*$H$371)</f>
        <v>188.2335</v>
      </c>
      <c r="W374" s="42" t="n">
        <f aca="false">-($D$369+$J$369)*(W$5=0)+IF(AND(W$5-$K$369&gt;=1,W$5-$K$369&lt;=Inputs!$C$13),INDEX($N$372:$AL$372,1,W$5-$K$369+1)*INDEX($N$373:$AL$373,1,W$5-$K$369+1),0)-$I$369*((W$5=Inputs!$C$12)*$C$371*$D$369+(W$5=Inputs!$C$13)*$D$371*($D$369+Inputs!$C$14))+$I$369*((W$5=Inputs!$C$15+$K$369)*$E$371*$I$371+(W$5=Inputs!$C$16+$K$369)*$F$371*$J$371+(W$5=Inputs!$C$17)*$G$371*$H$369*$H$371)</f>
        <v>188.2335</v>
      </c>
      <c r="X374" s="42" t="n">
        <f aca="false">-($D$369+$J$369)*(X$5=0)+IF(AND(X$5-$K$369&gt;=1,X$5-$K$369&lt;=Inputs!$C$13),INDEX($N$372:$AL$372,1,X$5-$K$369+1)*INDEX($N$373:$AL$373,1,X$5-$K$369+1),0)-$I$369*((X$5=Inputs!$C$12)*$C$371*$D$369+(X$5=Inputs!$C$13)*$D$371*($D$369+Inputs!$C$14))+$I$369*((X$5=Inputs!$C$15+$K$369)*$E$371*$I$371+(X$5=Inputs!$C$16+$K$369)*$F$371*$J$371+(X$5=Inputs!$C$17)*$G$371*$H$369*$H$371)</f>
        <v>188.2335</v>
      </c>
      <c r="Y374" s="42" t="n">
        <f aca="false">-($D$369+$J$369)*(Y$5=0)+IF(AND(Y$5-$K$369&gt;=1,Y$5-$K$369&lt;=Inputs!$C$13),INDEX($N$372:$AL$372,1,Y$5-$K$369+1)*INDEX($N$373:$AL$373,1,Y$5-$K$369+1),0)-$I$369*((Y$5=Inputs!$C$12)*$C$371*$D$369+(Y$5=Inputs!$C$13)*$D$371*($D$369+Inputs!$C$14))+$I$369*((Y$5=Inputs!$C$15+$K$369)*$E$371*$I$371+(Y$5=Inputs!$C$16+$K$369)*$F$371*$J$371+(Y$5=Inputs!$C$17)*$G$371*$H$369*$H$371)</f>
        <v>159.2745</v>
      </c>
      <c r="Z374" s="42" t="n">
        <f aca="false">-($D$369+$J$369)*(Z$5=0)+IF(AND(Z$5-$K$369&gt;=1,Z$5-$K$369&lt;=Inputs!$C$13),INDEX($N$372:$AL$372,1,Z$5-$K$369+1)*INDEX($N$373:$AL$373,1,Z$5-$K$369+1),0)-$I$369*((Z$5=Inputs!$C$12)*$C$371*$D$369+(Z$5=Inputs!$C$13)*$D$371*($D$369+Inputs!$C$14))+$I$369*((Z$5=Inputs!$C$15+$K$369)*$E$371*$I$371+(Z$5=Inputs!$C$16+$K$369)*$F$371*$J$371+(Z$5=Inputs!$C$17)*$G$371*$H$369*$H$371)</f>
        <v>-896.6055</v>
      </c>
      <c r="AA374" s="42" t="n">
        <f aca="false">-($D$369+$J$369)*(AA$5=0)+IF(AND(AA$5-$K$369&gt;=1,AA$5-$K$369&lt;=Inputs!$C$13),INDEX($N$372:$AL$372,1,AA$5-$K$369+1)*INDEX($N$373:$AL$373,1,AA$5-$K$369+1),0)-$I$369*((AA$5=Inputs!$C$12)*$C$371*$D$369+(AA$5=Inputs!$C$13)*$D$371*($D$369+Inputs!$C$14))+$I$369*((AA$5=Inputs!$C$15+$K$369)*$E$371*$I$371+(AA$5=Inputs!$C$16+$K$369)*$F$371*$J$371+(AA$5=Inputs!$C$17)*$G$371*$H$369*$H$371)</f>
        <v>159.2745</v>
      </c>
      <c r="AB374" s="42" t="n">
        <f aca="false">-($D$369+$J$369)*(AB$5=0)+IF(AND(AB$5-$K$369&gt;=1,AB$5-$K$369&lt;=Inputs!$C$13),INDEX($N$372:$AL$372,1,AB$5-$K$369+1)*INDEX($N$373:$AL$373,1,AB$5-$K$369+1),0)-$I$369*((AB$5=Inputs!$C$12)*$C$371*$D$369+(AB$5=Inputs!$C$13)*$D$371*($D$369+Inputs!$C$14))+$I$369*((AB$5=Inputs!$C$15+$K$369)*$E$371*$I$371+(AB$5=Inputs!$C$16+$K$369)*$F$371*$J$371+(AB$5=Inputs!$C$17)*$G$371*$H$369*$H$371)</f>
        <v>199.33445</v>
      </c>
      <c r="AC374" s="42" t="n">
        <f aca="false">-($D$369+$J$369)*(AC$5=0)+IF(AND(AC$5-$K$369&gt;=1,AC$5-$K$369&lt;=Inputs!$C$13),INDEX($N$372:$AL$372,1,AC$5-$K$369+1)*INDEX($N$373:$AL$373,1,AC$5-$K$369+1),0)-$I$369*((AC$5=Inputs!$C$12)*$C$371*$D$369+(AC$5=Inputs!$C$13)*$D$371*($D$369+Inputs!$C$14))+$I$369*((AC$5=Inputs!$C$15+$K$369)*$E$371*$I$371+(AC$5=Inputs!$C$16+$K$369)*$F$371*$J$371+(AC$5=Inputs!$C$17)*$G$371*$H$369*$H$371)</f>
        <v>200.7824</v>
      </c>
      <c r="AD374" s="42" t="n">
        <f aca="false">-($D$369+$J$369)*(AD$5=0)+IF(AND(AD$5-$K$369&gt;=1,AD$5-$K$369&lt;=Inputs!$C$13),INDEX($N$372:$AL$372,1,AD$5-$K$369+1)*INDEX($N$373:$AL$373,1,AD$5-$K$369+1),0)-$I$369*((AD$5=Inputs!$C$12)*$C$371*$D$369+(AD$5=Inputs!$C$13)*$D$371*($D$369+Inputs!$C$14))+$I$369*((AD$5=Inputs!$C$15+$K$369)*$E$371*$I$371+(AD$5=Inputs!$C$16+$K$369)*$F$371*$J$371+(AD$5=Inputs!$C$17)*$G$371*$H$369*$H$371)</f>
        <v>202.230350000001</v>
      </c>
      <c r="AE374" s="42" t="n">
        <f aca="false">-($D$369+$J$369)*(AE$5=0)+IF(AND(AE$5-$K$369&gt;=1,AE$5-$K$369&lt;=Inputs!$C$13),INDEX($N$372:$AL$372,1,AE$5-$K$369+1)*INDEX($N$373:$AL$373,1,AE$5-$K$369+1),0)-$I$369*((AE$5=Inputs!$C$12)*$C$371*$D$369+(AE$5=Inputs!$C$13)*$D$371*($D$369+Inputs!$C$14))+$I$369*((AE$5=Inputs!$C$15+$K$369)*$E$371*$I$371+(AE$5=Inputs!$C$16+$K$369)*$F$371*$J$371+(AE$5=Inputs!$C$17)*$G$371*$H$369*$H$371)</f>
        <v>203.6783</v>
      </c>
      <c r="AF374" s="42" t="n">
        <f aca="false">-($D$369+$J$369)*(AF$5=0)+IF(AND(AF$5-$K$369&gt;=1,AF$5-$K$369&lt;=Inputs!$C$13),INDEX($N$372:$AL$372,1,AF$5-$K$369+1)*INDEX($N$373:$AL$373,1,AF$5-$K$369+1),0)-$I$369*((AF$5=Inputs!$C$12)*$C$371*$D$369+(AF$5=Inputs!$C$13)*$D$371*($D$369+Inputs!$C$14))+$I$369*((AF$5=Inputs!$C$15+$K$369)*$E$371*$I$371+(AF$5=Inputs!$C$16+$K$369)*$F$371*$J$371+(AF$5=Inputs!$C$17)*$G$371*$H$369*$H$371)</f>
        <v>205.12625</v>
      </c>
      <c r="AG374" s="42" t="n">
        <f aca="false">-($D$369+$J$369)*(AG$5=0)+IF(AND(AG$5-$K$369&gt;=1,AG$5-$K$369&lt;=Inputs!$C$13),INDEX($N$372:$AL$372,1,AG$5-$K$369+1)*INDEX($N$373:$AL$373,1,AG$5-$K$369+1),0)-$I$369*((AG$5=Inputs!$C$12)*$C$371*$D$369+(AG$5=Inputs!$C$13)*$D$371*($D$369+Inputs!$C$14))+$I$369*((AG$5=Inputs!$C$15+$K$369)*$E$371*$I$371+(AG$5=Inputs!$C$16+$K$369)*$F$371*$J$371+(AG$5=Inputs!$C$17)*$G$371*$H$369*$H$371)</f>
        <v>206.5742</v>
      </c>
      <c r="AH374" s="42" t="n">
        <f aca="false">-($D$369+$J$369)*(AH$5=0)+IF(AND(AH$5-$K$369&gt;=1,AH$5-$K$369&lt;=Inputs!$C$13),INDEX($N$372:$AL$372,1,AH$5-$K$369+1)*INDEX($N$373:$AL$373,1,AH$5-$K$369+1),0)-$I$369*((AH$5=Inputs!$C$12)*$C$371*$D$369+(AH$5=Inputs!$C$13)*$D$371*($D$369+Inputs!$C$14))+$I$369*((AH$5=Inputs!$C$15+$K$369)*$E$371*$I$371+(AH$5=Inputs!$C$16+$K$369)*$F$371*$J$371+(AH$5=Inputs!$C$17)*$G$371*$H$369*$H$371)</f>
        <v>148.58725</v>
      </c>
      <c r="AI374" s="42" t="n">
        <f aca="false">-($D$369+$J$369)*(AI$5=0)+IF(AND(AI$5-$K$369&gt;=1,AI$5-$K$369&lt;=Inputs!$C$13),INDEX($N$372:$AL$372,1,AI$5-$K$369+1)*INDEX($N$373:$AL$373,1,AI$5-$K$369+1),0)-$I$369*((AI$5=Inputs!$C$12)*$C$371*$D$369+(AI$5=Inputs!$C$13)*$D$371*($D$369+Inputs!$C$14))+$I$369*((AI$5=Inputs!$C$15+$K$369)*$E$371*$I$371+(AI$5=Inputs!$C$16+$K$369)*$F$371*$J$371+(AI$5=Inputs!$C$17)*$G$371*$H$369*$H$371)</f>
        <v>149.621499999999</v>
      </c>
      <c r="AJ374" s="42" t="n">
        <f aca="false">-($D$369+$J$369)*(AJ$5=0)+IF(AND(AJ$5-$K$369&gt;=1,AJ$5-$K$369&lt;=Inputs!$C$13),INDEX($N$372:$AL$372,1,AJ$5-$K$369+1)*INDEX($N$373:$AL$373,1,AJ$5-$K$369+1),0)-$I$369*((AJ$5=Inputs!$C$12)*$C$371*$D$369+(AJ$5=Inputs!$C$13)*$D$371*($D$369+Inputs!$C$14))+$I$369*((AJ$5=Inputs!$C$15+$K$369)*$E$371*$I$371+(AJ$5=Inputs!$C$16+$K$369)*$F$371*$J$371+(AJ$5=Inputs!$C$17)*$G$371*$H$369*$H$371)</f>
        <v>150.655749999999</v>
      </c>
      <c r="AK374" s="42" t="n">
        <f aca="false">-($D$369+$J$369)*(AK$5=0)+IF(AND(AK$5-$K$369&gt;=1,AK$5-$K$369&lt;=Inputs!$C$13),INDEX($N$372:$AL$372,1,AK$5-$K$369+1)*INDEX($N$373:$AL$373,1,AK$5-$K$369+1),0)-$I$369*((AK$5=Inputs!$C$12)*$C$371*$D$369+(AK$5=Inputs!$C$13)*$D$371*($D$369+Inputs!$C$14))+$I$369*((AK$5=Inputs!$C$15+$K$369)*$E$371*$I$371+(AK$5=Inputs!$C$16+$K$369)*$F$371*$J$371+(AK$5=Inputs!$C$17)*$G$371*$H$369*$H$371)</f>
        <v>151.69</v>
      </c>
      <c r="AL374" s="42" t="n">
        <f aca="false">-($D$369+$J$369)*(AL$5=0)+IF(AND(AL$5-$K$369&gt;=1,AL$5-$K$369&lt;=Inputs!$C$13),INDEX($N$372:$AL$372,1,AL$5-$K$369+1)*INDEX($N$373:$AL$373,1,AL$5-$K$369+1),0)-$I$369*((AL$5=Inputs!$C$12)*$C$371*$D$369+(AL$5=Inputs!$C$13)*$D$371*($D$369+Inputs!$C$14))+$I$369*((AL$5=Inputs!$C$15+$K$369)*$E$371*$I$371+(AL$5=Inputs!$C$16+$K$369)*$F$371*$J$371+(AL$5=Inputs!$C$17)*$G$371*$H$369*$H$371)</f>
        <v>62.7242500000004</v>
      </c>
      <c r="AM374" s="42" t="n">
        <f aca="false">-($D$369+$J$369)*(AM$5=0)+IF(AND(AM$5-$K$369&gt;=1,AM$5-$K$369&lt;=Inputs!$C$13),INDEX($N$372:$AL$372,1,AM$5-$K$369+1)*INDEX($N$373:$AL$373,1,AM$5-$K$369+1),0)-$I$369*((AM$5=Inputs!$C$12)*$C$371*$D$369+(AM$5=Inputs!$C$13)*$D$371*($D$369+Inputs!$C$14))+$I$369*((AM$5=Inputs!$C$15+$K$369)*$E$371*$I$371+(AM$5=Inputs!$C$16+$K$369)*$F$371*$J$371+(AM$5=Inputs!$C$17)*$G$371*$H$369*$H$371)</f>
        <v>153.758499999999</v>
      </c>
      <c r="AN374" s="42" t="n">
        <f aca="false">-($D$369+$J$369)*(AN$5=0)+IF(AND(AN$5-$K$369&gt;=1,AN$5-$K$369&lt;=Inputs!$C$13),INDEX($N$372:$AL$372,1,AN$5-$K$369+1)*INDEX($N$373:$AL$373,1,AN$5-$K$369+1),0)-$I$369*((AN$5=Inputs!$C$12)*$C$371*$D$369+(AN$5=Inputs!$C$13)*$D$371*($D$369+Inputs!$C$14))+$I$369*((AN$5=Inputs!$C$15+$K$369)*$E$371*$I$371+(AN$5=Inputs!$C$16+$K$369)*$F$371*$J$371+(AN$5=Inputs!$C$17)*$G$371*$H$369*$H$371)</f>
        <v>0</v>
      </c>
      <c r="AO374" s="42" t="n">
        <f aca="false">-($D$369+$J$369)*(AO$5=0)+IF(AND(AO$5-$K$369&gt;=1,AO$5-$K$369&lt;=Inputs!$C$13),INDEX($N$372:$AL$372,1,AO$5-$K$369+1)*INDEX($N$373:$AL$373,1,AO$5-$K$369+1),0)-$I$369*((AO$5=Inputs!$C$12)*$C$371*$D$369+(AO$5=Inputs!$C$13)*$D$371*($D$369+Inputs!$C$14))+$I$369*((AO$5=Inputs!$C$15+$K$369)*$E$371*$I$371+(AO$5=Inputs!$C$16+$K$369)*$F$371*$J$371+(AO$5=Inputs!$C$17)*$G$371*$H$369*$H$371)</f>
        <v>0</v>
      </c>
      <c r="AP374" s="42" t="n">
        <f aca="false">-($D$369+$J$369)*(AP$5=0)+IF(AND(AP$5-$K$369&gt;=1,AP$5-$K$369&lt;=Inputs!$C$13),INDEX($N$372:$AL$372,1,AP$5-$K$369+1)*INDEX($N$373:$AL$373,1,AP$5-$K$369+1),0)-$I$369*((AP$5=Inputs!$C$12)*$C$371*$D$369+(AP$5=Inputs!$C$13)*$D$371*($D$369+Inputs!$C$14))+$I$369*((AP$5=Inputs!$C$15+$K$369)*$E$371*$I$371+(AP$5=Inputs!$C$16+$K$369)*$F$371*$J$371+(AP$5=Inputs!$C$17)*$G$371*$H$369*$H$371)</f>
        <v>188.928</v>
      </c>
      <c r="AQ374" s="42" t="n">
        <f aca="false">-($D$369+$J$369)*(AQ$5=0)+IF(AND(AQ$5-$K$369&gt;=1,AQ$5-$K$369&lt;=Inputs!$C$13),INDEX($N$372:$AL$372,1,AQ$5-$K$369+1)*INDEX($N$373:$AL$373,1,AQ$5-$K$369+1),0)-$I$369*((AQ$5=Inputs!$C$12)*$C$371*$D$369+(AQ$5=Inputs!$C$13)*$D$371*($D$369+Inputs!$C$14))+$I$369*((AQ$5=Inputs!$C$15+$K$369)*$E$371*$I$371+(AQ$5=Inputs!$C$16+$K$369)*$F$371*$J$371+(AQ$5=Inputs!$C$17)*$G$371*$H$369*$H$371)</f>
        <v>0</v>
      </c>
      <c r="AR374" s="42" t="n">
        <f aca="false">-($D$369+$J$369)*(AR$5=0)+IF(AND(AR$5-$K$369&gt;=1,AR$5-$K$369&lt;=Inputs!$C$13),INDEX($N$372:$AL$372,1,AR$5-$K$369+1)*INDEX($N$373:$AL$373,1,AR$5-$K$369+1),0)-$I$369*((AR$5=Inputs!$C$12)*$C$371*$D$369+(AR$5=Inputs!$C$13)*$D$371*($D$369+Inputs!$C$14))+$I$369*((AR$5=Inputs!$C$15+$K$369)*$E$371*$I$371+(AR$5=Inputs!$C$16+$K$369)*$F$371*$J$371+(AR$5=Inputs!$C$17)*$G$371*$H$369*$H$371)</f>
        <v>0</v>
      </c>
      <c r="AS374" s="42" t="n">
        <f aca="false">-($D$369+$J$369)*(AS$5=0)+IF(AND(AS$5-$K$369&gt;=1,AS$5-$K$369&lt;=Inputs!$C$13),INDEX($N$372:$AL$372,1,AS$5-$K$369+1)*INDEX($N$373:$AL$373,1,AS$5-$K$369+1),0)-$I$369*((AS$5=Inputs!$C$12)*$C$371*$D$369+(AS$5=Inputs!$C$13)*$D$371*($D$369+Inputs!$C$14))+$I$369*((AS$5=Inputs!$C$15+$K$369)*$E$371*$I$371+(AS$5=Inputs!$C$16+$K$369)*$F$371*$J$371+(AS$5=Inputs!$C$17)*$G$371*$H$369*$H$371)</f>
        <v>45.9477</v>
      </c>
      <c r="AT374" s="42" t="n">
        <f aca="false">-($D$369+$J$369)*(AT$5=0)+IF(AND(AT$5-$K$369&gt;=1,AT$5-$K$369&lt;=Inputs!$C$13),INDEX($N$372:$AL$372,1,AT$5-$K$369+1)*INDEX($N$373:$AL$373,1,AT$5-$K$369+1),0)-$I$369*((AT$5=Inputs!$C$12)*$C$371*$D$369+(AT$5=Inputs!$C$13)*$D$371*($D$369+Inputs!$C$14))+$I$369*((AT$5=Inputs!$C$15+$K$369)*$E$371*$I$371+(AT$5=Inputs!$C$16+$K$369)*$F$371*$J$371+(AT$5=Inputs!$C$17)*$G$371*$H$369*$H$371)</f>
        <v>0</v>
      </c>
      <c r="AU374" s="42" t="n">
        <f aca="false">-($D$369+$J$369)*(AU$5=0)+IF(AND(AU$5-$K$369&gt;=1,AU$5-$K$369&lt;=Inputs!$C$13),INDEX($N$372:$AL$372,1,AU$5-$K$369+1)*INDEX($N$373:$AL$373,1,AU$5-$K$369+1),0)-$I$369*((AU$5=Inputs!$C$12)*$C$371*$D$369+(AU$5=Inputs!$C$13)*$D$371*($D$369+Inputs!$C$14))+$I$369*((AU$5=Inputs!$C$15+$K$369)*$E$371*$I$371+(AU$5=Inputs!$C$16+$K$369)*$F$371*$J$371+(AU$5=Inputs!$C$17)*$G$371*$H$369*$H$371)</f>
        <v>0</v>
      </c>
      <c r="AV374" s="42" t="n">
        <f aca="false">-($D$369+$J$369)*(AV$5=0)+IF(AND(AV$5-$K$369&gt;=1,AV$5-$K$369&lt;=Inputs!$C$13),INDEX($N$372:$AL$372,1,AV$5-$K$369+1)*INDEX($N$373:$AL$373,1,AV$5-$K$369+1),0)-$I$369*((AV$5=Inputs!$C$12)*$C$371*$D$369+(AV$5=Inputs!$C$13)*$D$371*($D$369+Inputs!$C$14))+$I$369*((AV$5=Inputs!$C$15+$K$369)*$E$371*$I$371+(AV$5=Inputs!$C$16+$K$369)*$F$371*$J$371+(AV$5=Inputs!$C$17)*$G$371*$H$369*$H$371)</f>
        <v>0</v>
      </c>
      <c r="AW374" s="42" t="n">
        <f aca="false">-($D$369+$J$369)*(AW$5=0)+IF(AND(AW$5-$K$369&gt;=1,AW$5-$K$369&lt;=Inputs!$C$13),INDEX($N$372:$AL$372,1,AW$5-$K$369+1)*INDEX($N$373:$AL$373,1,AW$5-$K$369+1),0)-$I$369*((AW$5=Inputs!$C$12)*$C$371*$D$369+(AW$5=Inputs!$C$13)*$D$371*($D$369+Inputs!$C$14))+$I$369*((AW$5=Inputs!$C$15+$K$369)*$E$371*$I$371+(AW$5=Inputs!$C$16+$K$369)*$F$371*$J$371+(AW$5=Inputs!$C$17)*$G$371*$H$369*$H$371)</f>
        <v>0</v>
      </c>
      <c r="AX374" s="42" t="n">
        <f aca="false">-($D$369+$J$369)*(AX$5=0)+IF(AND(AX$5-$K$369&gt;=1,AX$5-$K$369&lt;=Inputs!$C$13),INDEX($N$372:$AL$372,1,AX$5-$K$369+1)*INDEX($N$373:$AL$373,1,AX$5-$K$369+1),0)-$I$369*((AX$5=Inputs!$C$12)*$C$371*$D$369+(AX$5=Inputs!$C$13)*$D$371*($D$369+Inputs!$C$14))+$I$369*((AX$5=Inputs!$C$15+$K$369)*$E$371*$I$371+(AX$5=Inputs!$C$16+$K$369)*$F$371*$J$371+(AX$5=Inputs!$C$17)*$G$371*$H$369*$H$371)</f>
        <v>1.94400000000001</v>
      </c>
      <c r="AY374" s="42" t="n">
        <f aca="false">-($D$369+$J$369)*(AY$5=0)+IF(AND(AY$5-$K$369&gt;=1,AY$5-$K$369&lt;=Inputs!$C$13),INDEX($N$372:$AL$372,1,AY$5-$K$369+1)*INDEX($N$373:$AL$373,1,AY$5-$K$369+1),0)-$I$369*((AY$5=Inputs!$C$12)*$C$371*$D$369+(AY$5=Inputs!$C$13)*$D$371*($D$369+Inputs!$C$14))+$I$369*((AY$5=Inputs!$C$15+$K$369)*$E$371*$I$371+(AY$5=Inputs!$C$16+$K$369)*$F$371*$J$371+(AY$5=Inputs!$C$17)*$G$371*$H$369*$H$371)</f>
        <v>0</v>
      </c>
    </row>
    <row r="376" customFormat="false" ht="15" hidden="false" customHeight="false" outlineLevel="0" collapsed="false">
      <c r="B376" s="7" t="s">
        <v>282</v>
      </c>
      <c r="C376" s="8"/>
      <c r="D376" s="8"/>
      <c r="E376" s="8"/>
      <c r="F376" s="8"/>
      <c r="G376" s="8"/>
      <c r="H376" s="8"/>
      <c r="I376" s="8"/>
      <c r="J376" s="8"/>
      <c r="K376" s="8"/>
      <c r="L376" s="8"/>
    </row>
    <row r="377" customFormat="false" ht="30" hidden="false" customHeight="true" outlineLevel="0" collapsed="false">
      <c r="B377" s="37"/>
      <c r="C377" s="38" t="s">
        <v>169</v>
      </c>
      <c r="D377" s="38" t="s">
        <v>170</v>
      </c>
      <c r="E377" s="38" t="s">
        <v>171</v>
      </c>
      <c r="F377" s="38" t="s">
        <v>43</v>
      </c>
      <c r="G377" s="38" t="s">
        <v>44</v>
      </c>
      <c r="H377" s="38" t="s">
        <v>45</v>
      </c>
      <c r="I377" s="38" t="s">
        <v>172</v>
      </c>
      <c r="J377" s="38" t="s">
        <v>90</v>
      </c>
      <c r="K377" s="38" t="s">
        <v>89</v>
      </c>
      <c r="L377" s="38" t="s">
        <v>173</v>
      </c>
    </row>
    <row r="378" customFormat="false" ht="15" hidden="false" customHeight="false" outlineLevel="0" collapsed="false">
      <c r="B378" s="39" t="s">
        <v>174</v>
      </c>
      <c r="C378" s="26" t="n">
        <f aca="false">Inputs!$F$40*Inputs!$E$63</f>
        <v>0.07</v>
      </c>
      <c r="D378" s="30" t="n">
        <f aca="false">Inputs!$E$40</f>
        <v>3600</v>
      </c>
      <c r="E378" s="26" t="n">
        <f aca="false">IF(Inputs!$G$40=1,Inputs!$F$27,MIN(1,MAX(0,INDEX(Inputs!$F$23:$F$27,MATCH(Inputs!$C$40,Inputs!$B$23:$B$27,0))+INDEX(Inputs!$C$48:$C$51,MATCH(Inputs!$D$63,Inputs!$B$48:$B$51,0)))))</f>
        <v>0.93</v>
      </c>
      <c r="F378" s="25" t="n">
        <f aca="false">IF(Inputs!$G$40=1,Inputs!$G$27,INDEX(Inputs!$G$23:$G$27,MATCH(Inputs!$C$40,Inputs!$B$23:$B$27,0)))</f>
        <v>0.6</v>
      </c>
      <c r="G378" s="25" t="n">
        <f aca="false">IF(Inputs!$G$40=1,Inputs!$H$27,INDEX(Inputs!$H$23:$H$27,MATCH(Inputs!$C$40,Inputs!$B$23:$B$27,0)))*INDEX(Inputs!$D$48:$D$51,MATCH(Inputs!$D$63,Inputs!$B$48:$B$51,0))</f>
        <v>0.85</v>
      </c>
      <c r="H378" s="25" t="n">
        <f aca="false">MAX(0,IF(Inputs!$G$40=1,Inputs!$I$27,INDEX(Inputs!$I$23:$I$27,MATCH(Inputs!$C$40,Inputs!$B$23:$B$27,0)))+INDEX(Inputs!$E$48:$E$51,MATCH(Inputs!$D$63,Inputs!$B$48:$B$51,0)))</f>
        <v>0.9</v>
      </c>
      <c r="I378" s="22" t="n">
        <f aca="false">IF(Inputs!$G$40=1,0,INDEX(Inputs!$J$23:$J$27,MATCH(Inputs!$C$40,Inputs!$B$23:$B$27,0)))</f>
        <v>1</v>
      </c>
      <c r="J378" s="23" t="n">
        <f aca="false">Inputs!$G$63</f>
        <v>0</v>
      </c>
      <c r="K378" s="22" t="n">
        <f aca="false">Inputs!$F$63</f>
        <v>1</v>
      </c>
      <c r="L378" s="22" t="n">
        <f aca="false">Inputs!$C$63</f>
        <v>1</v>
      </c>
    </row>
    <row r="379" customFormat="false" ht="30" hidden="false" customHeight="true" outlineLevel="0" collapsed="false">
      <c r="B379" s="37"/>
      <c r="C379" s="38" t="s">
        <v>175</v>
      </c>
      <c r="D379" s="38" t="s">
        <v>176</v>
      </c>
      <c r="E379" s="38" t="s">
        <v>177</v>
      </c>
      <c r="F379" s="38" t="s">
        <v>178</v>
      </c>
      <c r="G379" s="38" t="s">
        <v>112</v>
      </c>
      <c r="H379" s="38" t="s">
        <v>179</v>
      </c>
      <c r="I379" s="38" t="s">
        <v>180</v>
      </c>
      <c r="J379" s="38" t="s">
        <v>181</v>
      </c>
      <c r="K379" s="38" t="s">
        <v>182</v>
      </c>
      <c r="L379" s="38" t="s">
        <v>183</v>
      </c>
    </row>
    <row r="380" customFormat="false" ht="15" hidden="false" customHeight="false" outlineLevel="0" collapsed="false">
      <c r="B380" s="39" t="s">
        <v>184</v>
      </c>
      <c r="C380" s="40" t="n">
        <f aca="false">1-$E$378*CHOOSE($L$378,INDEX(Timing!$C$7:$AA$7,1,Inputs!$C$12+1),INDEX(Timing!$C$8:$AA$8,1,Inputs!$C$12+1))</f>
        <v>0.2932</v>
      </c>
      <c r="D380" s="40" t="n">
        <f aca="false">1-$E$378*CHOOSE($L$378,INDEX(Timing!$C$7:$AA$7,1,Inputs!$C$13+1),INDEX(Timing!$C$8:$AA$8,1,Inputs!$C$13+1))</f>
        <v>0.07</v>
      </c>
      <c r="E380" s="40" t="n">
        <f aca="false">$I$378*$D$380*$F$378</f>
        <v>0.042</v>
      </c>
      <c r="F380" s="40" t="n">
        <f aca="false">$I$378*($D$380-$E$380)*$G$378</f>
        <v>0.0238</v>
      </c>
      <c r="G380" s="40" t="n">
        <f aca="false">$I$378*($D$380-$E$380-$F$380)</f>
        <v>0.0042</v>
      </c>
      <c r="H380" s="23" t="n">
        <f aca="false">$I$378*(3*$D$378+Inputs!$C$14)</f>
        <v>12600</v>
      </c>
      <c r="I380" s="23" t="n">
        <f aca="false">$I$378*($D$378*(1+IF($C$378&lt;=0,0,MAX($C$378*Inputs!$C$15/12,Inputs!$C$8)))+$D$378*(1+Inputs!$C$11*(Inputs!$C$15-Inputs!$C$12)/12)+$D$378*(1+Inputs!$C$11*(Inputs!$C$15-Inputs!$C$13)/12)+Inputs!$C$14)</f>
        <v>14139</v>
      </c>
      <c r="J380" s="23" t="n">
        <f aca="false">$I$378*($D$378*(1+IF($C$378&lt;=0,0,MAX($C$378*Inputs!$C$16/12,Inputs!$C$8)))+$D$378*(1+Inputs!$C$11*(Inputs!$C$16-Inputs!$C$12)/12)+$D$378*(1+Inputs!$C$11*(Inputs!$C$16-Inputs!$C$13)/12)+Inputs!$C$14)</f>
        <v>14526</v>
      </c>
      <c r="K380" s="40" t="n">
        <f aca="false">IRR($N$383:$AY$383,0.005)</f>
        <v>0.00748273286381063</v>
      </c>
      <c r="L380" s="41" t="n">
        <f aca="false">(1+$K$380)^12-1</f>
        <v>0.0935819630909922</v>
      </c>
    </row>
    <row r="381" customFormat="false" ht="15" hidden="false" customHeight="false" outlineLevel="0" collapsed="false">
      <c r="B381" s="9" t="s">
        <v>185</v>
      </c>
      <c r="N381" s="40" t="n">
        <f aca="false">0</f>
        <v>0</v>
      </c>
      <c r="O381" s="40" t="n">
        <f aca="false">$E$378*(CHOOSE($L$378,Timing!D$7,Timing!D$8)-CHOOSE($L$378,Timing!C$7,Timing!C$8))</f>
        <v>0.1116</v>
      </c>
      <c r="P381" s="40" t="n">
        <f aca="false">$E$378*(CHOOSE($L$378,Timing!E$7,Timing!E$8)-CHOOSE($L$378,Timing!D$7,Timing!D$8))</f>
        <v>0.093</v>
      </c>
      <c r="Q381" s="40" t="n">
        <f aca="false">$E$378*(CHOOSE($L$378,Timing!F$7,Timing!F$8)-CHOOSE($L$378,Timing!E$7,Timing!E$8))</f>
        <v>0.0837</v>
      </c>
      <c r="R381" s="40" t="n">
        <f aca="false">$E$378*(CHOOSE($L$378,Timing!G$7,Timing!G$8)-CHOOSE($L$378,Timing!F$7,Timing!F$8))</f>
        <v>0.0651</v>
      </c>
      <c r="S381" s="40" t="n">
        <f aca="false">$E$378*(CHOOSE($L$378,Timing!H$7,Timing!H$8)-CHOOSE($L$378,Timing!G$7,Timing!G$8))</f>
        <v>0.0651</v>
      </c>
      <c r="T381" s="40" t="n">
        <f aca="false">$E$378*(CHOOSE($L$378,Timing!I$7,Timing!I$8)-CHOOSE($L$378,Timing!H$7,Timing!H$8))</f>
        <v>0.0651</v>
      </c>
      <c r="U381" s="40" t="n">
        <f aca="false">$E$378*(CHOOSE($L$378,Timing!J$7,Timing!J$8)-CHOOSE($L$378,Timing!I$7,Timing!I$8))</f>
        <v>0.0403</v>
      </c>
      <c r="V381" s="40" t="n">
        <f aca="false">$E$378*(CHOOSE($L$378,Timing!K$7,Timing!K$8)-CHOOSE($L$378,Timing!J$7,Timing!J$8))</f>
        <v>0.0403</v>
      </c>
      <c r="W381" s="40" t="n">
        <f aca="false">$E$378*(CHOOSE($L$378,Timing!L$7,Timing!L$8)-CHOOSE($L$378,Timing!K$7,Timing!K$8))</f>
        <v>0.0403</v>
      </c>
      <c r="X381" s="40" t="n">
        <f aca="false">$E$378*(CHOOSE($L$378,Timing!M$7,Timing!M$8)-CHOOSE($L$378,Timing!L$7,Timing!L$8))</f>
        <v>0.0341</v>
      </c>
      <c r="Y381" s="40" t="n">
        <f aca="false">$E$378*(CHOOSE($L$378,Timing!N$7,Timing!N$8)-CHOOSE($L$378,Timing!M$7,Timing!M$8))</f>
        <v>0.0341000000000001</v>
      </c>
      <c r="Z381" s="40" t="n">
        <f aca="false">$E$378*(CHOOSE($L$378,Timing!O$7,Timing!O$8)-CHOOSE($L$378,Timing!N$7,Timing!N$8))</f>
        <v>0.0341</v>
      </c>
      <c r="AA381" s="40" t="n">
        <f aca="false">$E$378*(CHOOSE($L$378,Timing!P$7,Timing!P$8)-CHOOSE($L$378,Timing!O$7,Timing!O$8))</f>
        <v>0.0217</v>
      </c>
      <c r="AB381" s="40" t="n">
        <f aca="false">$E$378*(CHOOSE($L$378,Timing!Q$7,Timing!Q$8)-CHOOSE($L$378,Timing!P$7,Timing!P$8))</f>
        <v>0.0217</v>
      </c>
      <c r="AC381" s="40" t="n">
        <f aca="false">$E$378*(CHOOSE($L$378,Timing!R$7,Timing!R$8)-CHOOSE($L$378,Timing!Q$7,Timing!Q$8))</f>
        <v>0.0217000000000001</v>
      </c>
      <c r="AD381" s="40" t="n">
        <f aca="false">$E$378*(CHOOSE($L$378,Timing!S$7,Timing!S$8)-CHOOSE($L$378,Timing!R$7,Timing!R$8))</f>
        <v>0.0217</v>
      </c>
      <c r="AE381" s="40" t="n">
        <f aca="false">$E$378*(CHOOSE($L$378,Timing!T$7,Timing!T$8)-CHOOSE($L$378,Timing!S$7,Timing!S$8))</f>
        <v>0.0217</v>
      </c>
      <c r="AF381" s="40" t="n">
        <f aca="false">$E$378*(CHOOSE($L$378,Timing!U$7,Timing!U$8)-CHOOSE($L$378,Timing!T$7,Timing!T$8))</f>
        <v>0.0217</v>
      </c>
      <c r="AG381" s="40" t="n">
        <f aca="false">$E$378*(CHOOSE($L$378,Timing!V$7,Timing!V$8)-CHOOSE($L$378,Timing!U$7,Timing!U$8))</f>
        <v>0.0155</v>
      </c>
      <c r="AH381" s="40" t="n">
        <f aca="false">$E$378*(CHOOSE($L$378,Timing!W$7,Timing!W$8)-CHOOSE($L$378,Timing!V$7,Timing!V$8))</f>
        <v>0.0154999999999999</v>
      </c>
      <c r="AI381" s="40" t="n">
        <f aca="false">$E$378*(CHOOSE($L$378,Timing!X$7,Timing!X$8)-CHOOSE($L$378,Timing!W$7,Timing!W$8))</f>
        <v>0.0154999999999999</v>
      </c>
      <c r="AJ381" s="40" t="n">
        <f aca="false">$E$378*(CHOOSE($L$378,Timing!Y$7,Timing!Y$8)-CHOOSE($L$378,Timing!X$7,Timing!X$8))</f>
        <v>0.0155</v>
      </c>
      <c r="AK381" s="40" t="n">
        <f aca="false">$E$378*(CHOOSE($L$378,Timing!Z$7,Timing!Z$8)-CHOOSE($L$378,Timing!Y$7,Timing!Y$8))</f>
        <v>0.0155</v>
      </c>
      <c r="AL381" s="40" t="n">
        <f aca="false">$E$378*(CHOOSE($L$378,Timing!AA$7,Timing!AA$8)-CHOOSE($L$378,Timing!Z$7,Timing!Z$8))</f>
        <v>0.0154999999999999</v>
      </c>
    </row>
    <row r="382" customFormat="false" ht="15" hidden="false" customHeight="false" outlineLevel="0" collapsed="false">
      <c r="B382" s="9" t="s">
        <v>186</v>
      </c>
      <c r="N382" s="42" t="n">
        <f aca="false">0</f>
        <v>0</v>
      </c>
      <c r="O382" s="42" t="n">
        <f aca="false">$D$378*(1+IF($C$378&lt;=0,0,MAX($C$378*O$5/12,Inputs!$C$8)))+$I$378*(O$5&gt;Inputs!$C$12)*$D$378*(1+Inputs!$C$11*(O$5-Inputs!$C$12)/12)</f>
        <v>3780</v>
      </c>
      <c r="P382" s="42" t="n">
        <f aca="false">$D$378*(1+IF($C$378&lt;=0,0,MAX($C$378*P$5/12,Inputs!$C$8)))+$I$378*(P$5&gt;Inputs!$C$12)*$D$378*(1+Inputs!$C$11*(P$5-Inputs!$C$12)/12)</f>
        <v>3780</v>
      </c>
      <c r="Q382" s="42" t="n">
        <f aca="false">$D$378*(1+IF($C$378&lt;=0,0,MAX($C$378*Q$5/12,Inputs!$C$8)))+$I$378*(Q$5&gt;Inputs!$C$12)*$D$378*(1+Inputs!$C$11*(Q$5-Inputs!$C$12)/12)</f>
        <v>3780</v>
      </c>
      <c r="R382" s="42" t="n">
        <f aca="false">$D$378*(1+IF($C$378&lt;=0,0,MAX($C$378*R$5/12,Inputs!$C$8)))+$I$378*(R$5&gt;Inputs!$C$12)*$D$378*(1+Inputs!$C$11*(R$5-Inputs!$C$12)/12)</f>
        <v>3780</v>
      </c>
      <c r="S382" s="42" t="n">
        <f aca="false">$D$378*(1+IF($C$378&lt;=0,0,MAX($C$378*S$5/12,Inputs!$C$8)))+$I$378*(S$5&gt;Inputs!$C$12)*$D$378*(1+Inputs!$C$11*(S$5-Inputs!$C$12)/12)</f>
        <v>3780</v>
      </c>
      <c r="T382" s="42" t="n">
        <f aca="false">$D$378*(1+IF($C$378&lt;=0,0,MAX($C$378*T$5/12,Inputs!$C$8)))+$I$378*(T$5&gt;Inputs!$C$12)*$D$378*(1+Inputs!$C$11*(T$5-Inputs!$C$12)/12)</f>
        <v>3780</v>
      </c>
      <c r="U382" s="42" t="n">
        <f aca="false">$D$378*(1+IF($C$378&lt;=0,0,MAX($C$378*U$5/12,Inputs!$C$8)))+$I$378*(U$5&gt;Inputs!$C$12)*$D$378*(1+Inputs!$C$11*(U$5-Inputs!$C$12)/12)</f>
        <v>3780</v>
      </c>
      <c r="V382" s="42" t="n">
        <f aca="false">$D$378*(1+IF($C$378&lt;=0,0,MAX($C$378*V$5/12,Inputs!$C$8)))+$I$378*(V$5&gt;Inputs!$C$12)*$D$378*(1+Inputs!$C$11*(V$5-Inputs!$C$12)/12)</f>
        <v>3780</v>
      </c>
      <c r="W382" s="42" t="n">
        <f aca="false">$D$378*(1+IF($C$378&lt;=0,0,MAX($C$378*W$5/12,Inputs!$C$8)))+$I$378*(W$5&gt;Inputs!$C$12)*$D$378*(1+Inputs!$C$11*(W$5-Inputs!$C$12)/12)</f>
        <v>3789</v>
      </c>
      <c r="X382" s="42" t="n">
        <f aca="false">$D$378*(1+IF($C$378&lt;=0,0,MAX($C$378*X$5/12,Inputs!$C$8)))+$I$378*(X$5&gt;Inputs!$C$12)*$D$378*(1+Inputs!$C$11*(X$5-Inputs!$C$12)/12)</f>
        <v>3810</v>
      </c>
      <c r="Y382" s="42" t="n">
        <f aca="false">$D$378*(1+IF($C$378&lt;=0,0,MAX($C$378*Y$5/12,Inputs!$C$8)))+$I$378*(Y$5&gt;Inputs!$C$12)*$D$378*(1+Inputs!$C$11*(Y$5-Inputs!$C$12)/12)</f>
        <v>3831</v>
      </c>
      <c r="Z382" s="42" t="n">
        <f aca="false">$D$378*(1+IF($C$378&lt;=0,0,MAX($C$378*Z$5/12,Inputs!$C$8)))+$I$378*(Z$5&gt;Inputs!$C$12)*$D$378*(1+Inputs!$C$11*(Z$5-Inputs!$C$12)/12)</f>
        <v>3852</v>
      </c>
      <c r="AA382" s="42" t="n">
        <f aca="false">$D$378*(1+IF($C$378&lt;=0,0,MAX($C$378*AA$5/12,Inputs!$C$8)))+$I$378*(AA$5&gt;Inputs!$C$12)*$D$378*(1+Inputs!$C$11*(AA$5-Inputs!$C$12)/12)</f>
        <v>7527</v>
      </c>
      <c r="AB382" s="42" t="n">
        <f aca="false">$D$378*(1+IF($C$378&lt;=0,0,MAX($C$378*AB$5/12,Inputs!$C$8)))+$I$378*(AB$5&gt;Inputs!$C$12)*$D$378*(1+Inputs!$C$11*(AB$5-Inputs!$C$12)/12)</f>
        <v>7602</v>
      </c>
      <c r="AC382" s="42" t="n">
        <f aca="false">$D$378*(1+IF($C$378&lt;=0,0,MAX($C$378*AC$5/12,Inputs!$C$8)))+$I$378*(AC$5&gt;Inputs!$C$12)*$D$378*(1+Inputs!$C$11*(AC$5-Inputs!$C$12)/12)</f>
        <v>7677</v>
      </c>
      <c r="AD382" s="42" t="n">
        <f aca="false">$D$378*(1+IF($C$378&lt;=0,0,MAX($C$378*AD$5/12,Inputs!$C$8)))+$I$378*(AD$5&gt;Inputs!$C$12)*$D$378*(1+Inputs!$C$11*(AD$5-Inputs!$C$12)/12)</f>
        <v>7752</v>
      </c>
      <c r="AE382" s="42" t="n">
        <f aca="false">$D$378*(1+IF($C$378&lt;=0,0,MAX($C$378*AE$5/12,Inputs!$C$8)))+$I$378*(AE$5&gt;Inputs!$C$12)*$D$378*(1+Inputs!$C$11*(AE$5-Inputs!$C$12)/12)</f>
        <v>7827</v>
      </c>
      <c r="AF382" s="42" t="n">
        <f aca="false">$D$378*(1+IF($C$378&lt;=0,0,MAX($C$378*AF$5/12,Inputs!$C$8)))+$I$378*(AF$5&gt;Inputs!$C$12)*$D$378*(1+Inputs!$C$11*(AF$5-Inputs!$C$12)/12)</f>
        <v>7902</v>
      </c>
      <c r="AG382" s="42" t="n">
        <f aca="false">$D$378*(1+IF($C$378&lt;=0,0,MAX($C$378*AG$5/12,Inputs!$C$8)))+$I$378*(AG$5&gt;Inputs!$C$12)*$D$378*(1+Inputs!$C$11*(AG$5-Inputs!$C$12)/12)</f>
        <v>7977</v>
      </c>
      <c r="AH382" s="42" t="n">
        <f aca="false">$D$378*(1+IF($C$378&lt;=0,0,MAX($C$378*AH$5/12,Inputs!$C$8)))+$I$378*(AH$5&gt;Inputs!$C$12)*$D$378*(1+Inputs!$C$11*(AH$5-Inputs!$C$12)/12)</f>
        <v>8052</v>
      </c>
      <c r="AI382" s="42" t="n">
        <f aca="false">$D$378*(1+IF($C$378&lt;=0,0,MAX($C$378*AI$5/12,Inputs!$C$8)))+$I$378*(AI$5&gt;Inputs!$C$12)*$D$378*(1+Inputs!$C$11*(AI$5-Inputs!$C$12)/12)</f>
        <v>8127</v>
      </c>
      <c r="AJ382" s="42" t="n">
        <f aca="false">$D$378*(1+IF($C$378&lt;=0,0,MAX($C$378*AJ$5/12,Inputs!$C$8)))+$I$378*(AJ$5&gt;Inputs!$C$12)*$D$378*(1+Inputs!$C$11*(AJ$5-Inputs!$C$12)/12)</f>
        <v>8202</v>
      </c>
      <c r="AK382" s="42" t="n">
        <f aca="false">$D$378*(1+IF($C$378&lt;=0,0,MAX($C$378*AK$5/12,Inputs!$C$8)))+$I$378*(AK$5&gt;Inputs!$C$12)*$D$378*(1+Inputs!$C$11*(AK$5-Inputs!$C$12)/12)</f>
        <v>8277</v>
      </c>
      <c r="AL382" s="42" t="n">
        <f aca="false">$D$378*(1+IF($C$378&lt;=0,0,MAX($C$378*AL$5/12,Inputs!$C$8)))+$I$378*(AL$5&gt;Inputs!$C$12)*$D$378*(1+Inputs!$C$11*(AL$5-Inputs!$C$12)/12)</f>
        <v>8352</v>
      </c>
    </row>
    <row r="383" customFormat="false" ht="15" hidden="false" customHeight="false" outlineLevel="0" collapsed="false">
      <c r="B383" s="31" t="s">
        <v>187</v>
      </c>
      <c r="N383" s="42" t="n">
        <f aca="false">-($D$378+$J$378)*(N$5=0)+IF(AND(N$5-$K$378&gt;=1,N$5-$K$378&lt;=Inputs!$C$13),INDEX($N$381:$AL$381,1,N$5-$K$378+1)*INDEX($N$382:$AL$382,1,N$5-$K$378+1),0)-$I$378*((N$5=Inputs!$C$12)*$C$380*$D$378+(N$5=Inputs!$C$13)*$D$380*($D$378+Inputs!$C$14))+$I$378*((N$5=Inputs!$C$15+$K$378)*$E$380*$I$380+(N$5=Inputs!$C$16+$K$378)*$F$380*$J$380+(N$5=Inputs!$C$17)*$G$380*$H$378*$H$380)</f>
        <v>-3600</v>
      </c>
      <c r="O383" s="42" t="n">
        <f aca="false">-($D$378+$J$378)*(O$5=0)+IF(AND(O$5-$K$378&gt;=1,O$5-$K$378&lt;=Inputs!$C$13),INDEX($N$381:$AL$381,1,O$5-$K$378+1)*INDEX($N$382:$AL$382,1,O$5-$K$378+1),0)-$I$378*((O$5=Inputs!$C$12)*$C$380*$D$378+(O$5=Inputs!$C$13)*$D$380*($D$378+Inputs!$C$14))+$I$378*((O$5=Inputs!$C$15+$K$378)*$E$380*$I$380+(O$5=Inputs!$C$16+$K$378)*$F$380*$J$380+(O$5=Inputs!$C$17)*$G$380*$H$378*$H$380)</f>
        <v>0</v>
      </c>
      <c r="P383" s="42" t="n">
        <f aca="false">-($D$378+$J$378)*(P$5=0)+IF(AND(P$5-$K$378&gt;=1,P$5-$K$378&lt;=Inputs!$C$13),INDEX($N$381:$AL$381,1,P$5-$K$378+1)*INDEX($N$382:$AL$382,1,P$5-$K$378+1),0)-$I$378*((P$5=Inputs!$C$12)*$C$380*$D$378+(P$5=Inputs!$C$13)*$D$380*($D$378+Inputs!$C$14))+$I$378*((P$5=Inputs!$C$15+$K$378)*$E$380*$I$380+(P$5=Inputs!$C$16+$K$378)*$F$380*$J$380+(P$5=Inputs!$C$17)*$G$380*$H$378*$H$380)</f>
        <v>421.848</v>
      </c>
      <c r="Q383" s="42" t="n">
        <f aca="false">-($D$378+$J$378)*(Q$5=0)+IF(AND(Q$5-$K$378&gt;=1,Q$5-$K$378&lt;=Inputs!$C$13),INDEX($N$381:$AL$381,1,Q$5-$K$378+1)*INDEX($N$382:$AL$382,1,Q$5-$K$378+1),0)-$I$378*((Q$5=Inputs!$C$12)*$C$380*$D$378+(Q$5=Inputs!$C$13)*$D$380*($D$378+Inputs!$C$14))+$I$378*((Q$5=Inputs!$C$15+$K$378)*$E$380*$I$380+(Q$5=Inputs!$C$16+$K$378)*$F$380*$J$380+(Q$5=Inputs!$C$17)*$G$380*$H$378*$H$380)</f>
        <v>351.54</v>
      </c>
      <c r="R383" s="42" t="n">
        <f aca="false">-($D$378+$J$378)*(R$5=0)+IF(AND(R$5-$K$378&gt;=1,R$5-$K$378&lt;=Inputs!$C$13),INDEX($N$381:$AL$381,1,R$5-$K$378+1)*INDEX($N$382:$AL$382,1,R$5-$K$378+1),0)-$I$378*((R$5=Inputs!$C$12)*$C$380*$D$378+(R$5=Inputs!$C$13)*$D$380*($D$378+Inputs!$C$14))+$I$378*((R$5=Inputs!$C$15+$K$378)*$E$380*$I$380+(R$5=Inputs!$C$16+$K$378)*$F$380*$J$380+(R$5=Inputs!$C$17)*$G$380*$H$378*$H$380)</f>
        <v>316.386</v>
      </c>
      <c r="S383" s="42" t="n">
        <f aca="false">-($D$378+$J$378)*(S$5=0)+IF(AND(S$5-$K$378&gt;=1,S$5-$K$378&lt;=Inputs!$C$13),INDEX($N$381:$AL$381,1,S$5-$K$378+1)*INDEX($N$382:$AL$382,1,S$5-$K$378+1),0)-$I$378*((S$5=Inputs!$C$12)*$C$380*$D$378+(S$5=Inputs!$C$13)*$D$380*($D$378+Inputs!$C$14))+$I$378*((S$5=Inputs!$C$15+$K$378)*$E$380*$I$380+(S$5=Inputs!$C$16+$K$378)*$F$380*$J$380+(S$5=Inputs!$C$17)*$G$380*$H$378*$H$380)</f>
        <v>246.078</v>
      </c>
      <c r="T383" s="42" t="n">
        <f aca="false">-($D$378+$J$378)*(T$5=0)+IF(AND(T$5-$K$378&gt;=1,T$5-$K$378&lt;=Inputs!$C$13),INDEX($N$381:$AL$381,1,T$5-$K$378+1)*INDEX($N$382:$AL$382,1,T$5-$K$378+1),0)-$I$378*((T$5=Inputs!$C$12)*$C$380*$D$378+(T$5=Inputs!$C$13)*$D$380*($D$378+Inputs!$C$14))+$I$378*((T$5=Inputs!$C$15+$K$378)*$E$380*$I$380+(T$5=Inputs!$C$16+$K$378)*$F$380*$J$380+(T$5=Inputs!$C$17)*$G$380*$H$378*$H$380)</f>
        <v>246.078</v>
      </c>
      <c r="U383" s="42" t="n">
        <f aca="false">-($D$378+$J$378)*(U$5=0)+IF(AND(U$5-$K$378&gt;=1,U$5-$K$378&lt;=Inputs!$C$13),INDEX($N$381:$AL$381,1,U$5-$K$378+1)*INDEX($N$382:$AL$382,1,U$5-$K$378+1),0)-$I$378*((U$5=Inputs!$C$12)*$C$380*$D$378+(U$5=Inputs!$C$13)*$D$380*($D$378+Inputs!$C$14))+$I$378*((U$5=Inputs!$C$15+$K$378)*$E$380*$I$380+(U$5=Inputs!$C$16+$K$378)*$F$380*$J$380+(U$5=Inputs!$C$17)*$G$380*$H$378*$H$380)</f>
        <v>246.078</v>
      </c>
      <c r="V383" s="42" t="n">
        <f aca="false">-($D$378+$J$378)*(V$5=0)+IF(AND(V$5-$K$378&gt;=1,V$5-$K$378&lt;=Inputs!$C$13),INDEX($N$381:$AL$381,1,V$5-$K$378+1)*INDEX($N$382:$AL$382,1,V$5-$K$378+1),0)-$I$378*((V$5=Inputs!$C$12)*$C$380*$D$378+(V$5=Inputs!$C$13)*$D$380*($D$378+Inputs!$C$14))+$I$378*((V$5=Inputs!$C$15+$K$378)*$E$380*$I$380+(V$5=Inputs!$C$16+$K$378)*$F$380*$J$380+(V$5=Inputs!$C$17)*$G$380*$H$378*$H$380)</f>
        <v>152.334</v>
      </c>
      <c r="W383" s="42" t="n">
        <f aca="false">-($D$378+$J$378)*(W$5=0)+IF(AND(W$5-$K$378&gt;=1,W$5-$K$378&lt;=Inputs!$C$13),INDEX($N$381:$AL$381,1,W$5-$K$378+1)*INDEX($N$382:$AL$382,1,W$5-$K$378+1),0)-$I$378*((W$5=Inputs!$C$12)*$C$380*$D$378+(W$5=Inputs!$C$13)*$D$380*($D$378+Inputs!$C$14))+$I$378*((W$5=Inputs!$C$15+$K$378)*$E$380*$I$380+(W$5=Inputs!$C$16+$K$378)*$F$380*$J$380+(W$5=Inputs!$C$17)*$G$380*$H$378*$H$380)</f>
        <v>152.334</v>
      </c>
      <c r="X383" s="42" t="n">
        <f aca="false">-($D$378+$J$378)*(X$5=0)+IF(AND(X$5-$K$378&gt;=1,X$5-$K$378&lt;=Inputs!$C$13),INDEX($N$381:$AL$381,1,X$5-$K$378+1)*INDEX($N$382:$AL$382,1,X$5-$K$378+1),0)-$I$378*((X$5=Inputs!$C$12)*$C$380*$D$378+(X$5=Inputs!$C$13)*$D$380*($D$378+Inputs!$C$14))+$I$378*((X$5=Inputs!$C$15+$K$378)*$E$380*$I$380+(X$5=Inputs!$C$16+$K$378)*$F$380*$J$380+(X$5=Inputs!$C$17)*$G$380*$H$378*$H$380)</f>
        <v>152.6967</v>
      </c>
      <c r="Y383" s="42" t="n">
        <f aca="false">-($D$378+$J$378)*(Y$5=0)+IF(AND(Y$5-$K$378&gt;=1,Y$5-$K$378&lt;=Inputs!$C$13),INDEX($N$381:$AL$381,1,Y$5-$K$378+1)*INDEX($N$382:$AL$382,1,Y$5-$K$378+1),0)-$I$378*((Y$5=Inputs!$C$12)*$C$380*$D$378+(Y$5=Inputs!$C$13)*$D$380*($D$378+Inputs!$C$14))+$I$378*((Y$5=Inputs!$C$15+$K$378)*$E$380*$I$380+(Y$5=Inputs!$C$16+$K$378)*$F$380*$J$380+(Y$5=Inputs!$C$17)*$G$380*$H$378*$H$380)</f>
        <v>129.921</v>
      </c>
      <c r="Z383" s="42" t="n">
        <f aca="false">-($D$378+$J$378)*(Z$5=0)+IF(AND(Z$5-$K$378&gt;=1,Z$5-$K$378&lt;=Inputs!$C$13),INDEX($N$381:$AL$381,1,Z$5-$K$378+1)*INDEX($N$382:$AL$382,1,Z$5-$K$378+1),0)-$I$378*((Z$5=Inputs!$C$12)*$C$380*$D$378+(Z$5=Inputs!$C$13)*$D$380*($D$378+Inputs!$C$14))+$I$378*((Z$5=Inputs!$C$15+$K$378)*$E$380*$I$380+(Z$5=Inputs!$C$16+$K$378)*$F$380*$J$380+(Z$5=Inputs!$C$17)*$G$380*$H$378*$H$380)</f>
        <v>-924.8829</v>
      </c>
      <c r="AA383" s="42" t="n">
        <f aca="false">-($D$378+$J$378)*(AA$5=0)+IF(AND(AA$5-$K$378&gt;=1,AA$5-$K$378&lt;=Inputs!$C$13),INDEX($N$381:$AL$381,1,AA$5-$K$378+1)*INDEX($N$382:$AL$382,1,AA$5-$K$378+1),0)-$I$378*((AA$5=Inputs!$C$12)*$C$380*$D$378+(AA$5=Inputs!$C$13)*$D$380*($D$378+Inputs!$C$14))+$I$378*((AA$5=Inputs!$C$15+$K$378)*$E$380*$I$380+(AA$5=Inputs!$C$16+$K$378)*$F$380*$J$380+(AA$5=Inputs!$C$17)*$G$380*$H$378*$H$380)</f>
        <v>131.3532</v>
      </c>
      <c r="AB383" s="42" t="n">
        <f aca="false">-($D$378+$J$378)*(AB$5=0)+IF(AND(AB$5-$K$378&gt;=1,AB$5-$K$378&lt;=Inputs!$C$13),INDEX($N$381:$AL$381,1,AB$5-$K$378+1)*INDEX($N$382:$AL$382,1,AB$5-$K$378+1),0)-$I$378*((AB$5=Inputs!$C$12)*$C$380*$D$378+(AB$5=Inputs!$C$13)*$D$380*($D$378+Inputs!$C$14))+$I$378*((AB$5=Inputs!$C$15+$K$378)*$E$380*$I$380+(AB$5=Inputs!$C$16+$K$378)*$F$380*$J$380+(AB$5=Inputs!$C$17)*$G$380*$H$378*$H$380)</f>
        <v>163.3359</v>
      </c>
      <c r="AC383" s="42" t="n">
        <f aca="false">-($D$378+$J$378)*(AC$5=0)+IF(AND(AC$5-$K$378&gt;=1,AC$5-$K$378&lt;=Inputs!$C$13),INDEX($N$381:$AL$381,1,AC$5-$K$378+1)*INDEX($N$382:$AL$382,1,AC$5-$K$378+1),0)-$I$378*((AC$5=Inputs!$C$12)*$C$380*$D$378+(AC$5=Inputs!$C$13)*$D$380*($D$378+Inputs!$C$14))+$I$378*((AC$5=Inputs!$C$15+$K$378)*$E$380*$I$380+(AC$5=Inputs!$C$16+$K$378)*$F$380*$J$380+(AC$5=Inputs!$C$17)*$G$380*$H$378*$H$380)</f>
        <v>164.9634</v>
      </c>
      <c r="AD383" s="42" t="n">
        <f aca="false">-($D$378+$J$378)*(AD$5=0)+IF(AND(AD$5-$K$378&gt;=1,AD$5-$K$378&lt;=Inputs!$C$13),INDEX($N$381:$AL$381,1,AD$5-$K$378+1)*INDEX($N$382:$AL$382,1,AD$5-$K$378+1),0)-$I$378*((AD$5=Inputs!$C$12)*$C$380*$D$378+(AD$5=Inputs!$C$13)*$D$380*($D$378+Inputs!$C$14))+$I$378*((AD$5=Inputs!$C$15+$K$378)*$E$380*$I$380+(AD$5=Inputs!$C$16+$K$378)*$F$380*$J$380+(AD$5=Inputs!$C$17)*$G$380*$H$378*$H$380)</f>
        <v>166.590900000001</v>
      </c>
      <c r="AE383" s="42" t="n">
        <f aca="false">-($D$378+$J$378)*(AE$5=0)+IF(AND(AE$5-$K$378&gt;=1,AE$5-$K$378&lt;=Inputs!$C$13),INDEX($N$381:$AL$381,1,AE$5-$K$378+1)*INDEX($N$382:$AL$382,1,AE$5-$K$378+1),0)-$I$378*((AE$5=Inputs!$C$12)*$C$380*$D$378+(AE$5=Inputs!$C$13)*$D$380*($D$378+Inputs!$C$14))+$I$378*((AE$5=Inputs!$C$15+$K$378)*$E$380*$I$380+(AE$5=Inputs!$C$16+$K$378)*$F$380*$J$380+(AE$5=Inputs!$C$17)*$G$380*$H$378*$H$380)</f>
        <v>168.2184</v>
      </c>
      <c r="AF383" s="42" t="n">
        <f aca="false">-($D$378+$J$378)*(AF$5=0)+IF(AND(AF$5-$K$378&gt;=1,AF$5-$K$378&lt;=Inputs!$C$13),INDEX($N$381:$AL$381,1,AF$5-$K$378+1)*INDEX($N$382:$AL$382,1,AF$5-$K$378+1),0)-$I$378*((AF$5=Inputs!$C$12)*$C$380*$D$378+(AF$5=Inputs!$C$13)*$D$380*($D$378+Inputs!$C$14))+$I$378*((AF$5=Inputs!$C$15+$K$378)*$E$380*$I$380+(AF$5=Inputs!$C$16+$K$378)*$F$380*$J$380+(AF$5=Inputs!$C$17)*$G$380*$H$378*$H$380)</f>
        <v>169.8459</v>
      </c>
      <c r="AG383" s="42" t="n">
        <f aca="false">-($D$378+$J$378)*(AG$5=0)+IF(AND(AG$5-$K$378&gt;=1,AG$5-$K$378&lt;=Inputs!$C$13),INDEX($N$381:$AL$381,1,AG$5-$K$378+1)*INDEX($N$382:$AL$382,1,AG$5-$K$378+1),0)-$I$378*((AG$5=Inputs!$C$12)*$C$380*$D$378+(AG$5=Inputs!$C$13)*$D$380*($D$378+Inputs!$C$14))+$I$378*((AG$5=Inputs!$C$15+$K$378)*$E$380*$I$380+(AG$5=Inputs!$C$16+$K$378)*$F$380*$J$380+(AG$5=Inputs!$C$17)*$G$380*$H$378*$H$380)</f>
        <v>171.4734</v>
      </c>
      <c r="AH383" s="42" t="n">
        <f aca="false">-($D$378+$J$378)*(AH$5=0)+IF(AND(AH$5-$K$378&gt;=1,AH$5-$K$378&lt;=Inputs!$C$13),INDEX($N$381:$AL$381,1,AH$5-$K$378+1)*INDEX($N$382:$AL$382,1,AH$5-$K$378+1),0)-$I$378*((AH$5=Inputs!$C$12)*$C$380*$D$378+(AH$5=Inputs!$C$13)*$D$380*($D$378+Inputs!$C$14))+$I$378*((AH$5=Inputs!$C$15+$K$378)*$E$380*$I$380+(AH$5=Inputs!$C$16+$K$378)*$F$380*$J$380+(AH$5=Inputs!$C$17)*$G$380*$H$378*$H$380)</f>
        <v>123.6435</v>
      </c>
      <c r="AI383" s="42" t="n">
        <f aca="false">-($D$378+$J$378)*(AI$5=0)+IF(AND(AI$5-$K$378&gt;=1,AI$5-$K$378&lt;=Inputs!$C$13),INDEX($N$381:$AL$381,1,AI$5-$K$378+1)*INDEX($N$382:$AL$382,1,AI$5-$K$378+1),0)-$I$378*((AI$5=Inputs!$C$12)*$C$380*$D$378+(AI$5=Inputs!$C$13)*$D$380*($D$378+Inputs!$C$14))+$I$378*((AI$5=Inputs!$C$15+$K$378)*$E$380*$I$380+(AI$5=Inputs!$C$16+$K$378)*$F$380*$J$380+(AI$5=Inputs!$C$17)*$G$380*$H$378*$H$380)</f>
        <v>124.806</v>
      </c>
      <c r="AJ383" s="42" t="n">
        <f aca="false">-($D$378+$J$378)*(AJ$5=0)+IF(AND(AJ$5-$K$378&gt;=1,AJ$5-$K$378&lt;=Inputs!$C$13),INDEX($N$381:$AL$381,1,AJ$5-$K$378+1)*INDEX($N$382:$AL$382,1,AJ$5-$K$378+1),0)-$I$378*((AJ$5=Inputs!$C$12)*$C$380*$D$378+(AJ$5=Inputs!$C$13)*$D$380*($D$378+Inputs!$C$14))+$I$378*((AJ$5=Inputs!$C$15+$K$378)*$E$380*$I$380+(AJ$5=Inputs!$C$16+$K$378)*$F$380*$J$380+(AJ$5=Inputs!$C$17)*$G$380*$H$378*$H$380)</f>
        <v>125.9685</v>
      </c>
      <c r="AK383" s="42" t="n">
        <f aca="false">-($D$378+$J$378)*(AK$5=0)+IF(AND(AK$5-$K$378&gt;=1,AK$5-$K$378&lt;=Inputs!$C$13),INDEX($N$381:$AL$381,1,AK$5-$K$378+1)*INDEX($N$382:$AL$382,1,AK$5-$K$378+1),0)-$I$378*((AK$5=Inputs!$C$12)*$C$380*$D$378+(AK$5=Inputs!$C$13)*$D$380*($D$378+Inputs!$C$14))+$I$378*((AK$5=Inputs!$C$15+$K$378)*$E$380*$I$380+(AK$5=Inputs!$C$16+$K$378)*$F$380*$J$380+(AK$5=Inputs!$C$17)*$G$380*$H$378*$H$380)</f>
        <v>127.131</v>
      </c>
      <c r="AL383" s="42" t="n">
        <f aca="false">-($D$378+$J$378)*(AL$5=0)+IF(AND(AL$5-$K$378&gt;=1,AL$5-$K$378&lt;=Inputs!$C$13),INDEX($N$381:$AL$381,1,AL$5-$K$378+1)*INDEX($N$382:$AL$382,1,AL$5-$K$378+1),0)-$I$378*((AL$5=Inputs!$C$12)*$C$380*$D$378+(AL$5=Inputs!$C$13)*$D$380*($D$378+Inputs!$C$14))+$I$378*((AL$5=Inputs!$C$15+$K$378)*$E$380*$I$380+(AL$5=Inputs!$C$16+$K$378)*$F$380*$J$380+(AL$5=Inputs!$C$17)*$G$380*$H$378*$H$380)</f>
        <v>-249.706499999999</v>
      </c>
      <c r="AM383" s="42" t="n">
        <f aca="false">-($D$378+$J$378)*(AM$5=0)+IF(AND(AM$5-$K$378&gt;=1,AM$5-$K$378&lt;=Inputs!$C$13),INDEX($N$381:$AL$381,1,AM$5-$K$378+1)*INDEX($N$382:$AL$382,1,AM$5-$K$378+1),0)-$I$378*((AM$5=Inputs!$C$12)*$C$380*$D$378+(AM$5=Inputs!$C$13)*$D$380*($D$378+Inputs!$C$14))+$I$378*((AM$5=Inputs!$C$15+$K$378)*$E$380*$I$380+(AM$5=Inputs!$C$16+$K$378)*$F$380*$J$380+(AM$5=Inputs!$C$17)*$G$380*$H$378*$H$380)</f>
        <v>129.456</v>
      </c>
      <c r="AN383" s="42" t="n">
        <f aca="false">-($D$378+$J$378)*(AN$5=0)+IF(AND(AN$5-$K$378&gt;=1,AN$5-$K$378&lt;=Inputs!$C$13),INDEX($N$381:$AL$381,1,AN$5-$K$378+1)*INDEX($N$382:$AL$382,1,AN$5-$K$378+1),0)-$I$378*((AN$5=Inputs!$C$12)*$C$380*$D$378+(AN$5=Inputs!$C$13)*$D$380*($D$378+Inputs!$C$14))+$I$378*((AN$5=Inputs!$C$15+$K$378)*$E$380*$I$380+(AN$5=Inputs!$C$16+$K$378)*$F$380*$J$380+(AN$5=Inputs!$C$17)*$G$380*$H$378*$H$380)</f>
        <v>0</v>
      </c>
      <c r="AO383" s="42" t="n">
        <f aca="false">-($D$378+$J$378)*(AO$5=0)+IF(AND(AO$5-$K$378&gt;=1,AO$5-$K$378&lt;=Inputs!$C$13),INDEX($N$381:$AL$381,1,AO$5-$K$378+1)*INDEX($N$382:$AL$382,1,AO$5-$K$378+1),0)-$I$378*((AO$5=Inputs!$C$12)*$C$380*$D$378+(AO$5=Inputs!$C$13)*$D$380*($D$378+Inputs!$C$14))+$I$378*((AO$5=Inputs!$C$15+$K$378)*$E$380*$I$380+(AO$5=Inputs!$C$16+$K$378)*$F$380*$J$380+(AO$5=Inputs!$C$17)*$G$380*$H$378*$H$380)</f>
        <v>0</v>
      </c>
      <c r="AP383" s="42" t="n">
        <f aca="false">-($D$378+$J$378)*(AP$5=0)+IF(AND(AP$5-$K$378&gt;=1,AP$5-$K$378&lt;=Inputs!$C$13),INDEX($N$381:$AL$381,1,AP$5-$K$378+1)*INDEX($N$382:$AL$382,1,AP$5-$K$378+1),0)-$I$378*((AP$5=Inputs!$C$12)*$C$380*$D$378+(AP$5=Inputs!$C$13)*$D$380*($D$378+Inputs!$C$14))+$I$378*((AP$5=Inputs!$C$15+$K$378)*$E$380*$I$380+(AP$5=Inputs!$C$16+$K$378)*$F$380*$J$380+(AP$5=Inputs!$C$17)*$G$380*$H$378*$H$380)</f>
        <v>593.838</v>
      </c>
      <c r="AQ383" s="42" t="n">
        <f aca="false">-($D$378+$J$378)*(AQ$5=0)+IF(AND(AQ$5-$K$378&gt;=1,AQ$5-$K$378&lt;=Inputs!$C$13),INDEX($N$381:$AL$381,1,AQ$5-$K$378+1)*INDEX($N$382:$AL$382,1,AQ$5-$K$378+1),0)-$I$378*((AQ$5=Inputs!$C$12)*$C$380*$D$378+(AQ$5=Inputs!$C$13)*$D$380*($D$378+Inputs!$C$14))+$I$378*((AQ$5=Inputs!$C$15+$K$378)*$E$380*$I$380+(AQ$5=Inputs!$C$16+$K$378)*$F$380*$J$380+(AQ$5=Inputs!$C$17)*$G$380*$H$378*$H$380)</f>
        <v>0</v>
      </c>
      <c r="AR383" s="42" t="n">
        <f aca="false">-($D$378+$J$378)*(AR$5=0)+IF(AND(AR$5-$K$378&gt;=1,AR$5-$K$378&lt;=Inputs!$C$13),INDEX($N$381:$AL$381,1,AR$5-$K$378+1)*INDEX($N$382:$AL$382,1,AR$5-$K$378+1),0)-$I$378*((AR$5=Inputs!$C$12)*$C$380*$D$378+(AR$5=Inputs!$C$13)*$D$380*($D$378+Inputs!$C$14))+$I$378*((AR$5=Inputs!$C$15+$K$378)*$E$380*$I$380+(AR$5=Inputs!$C$16+$K$378)*$F$380*$J$380+(AR$5=Inputs!$C$17)*$G$380*$H$378*$H$380)</f>
        <v>0</v>
      </c>
      <c r="AS383" s="42" t="n">
        <f aca="false">-($D$378+$J$378)*(AS$5=0)+IF(AND(AS$5-$K$378&gt;=1,AS$5-$K$378&lt;=Inputs!$C$13),INDEX($N$381:$AL$381,1,AS$5-$K$378+1)*INDEX($N$382:$AL$382,1,AS$5-$K$378+1),0)-$I$378*((AS$5=Inputs!$C$12)*$C$380*$D$378+(AS$5=Inputs!$C$13)*$D$380*($D$378+Inputs!$C$14))+$I$378*((AS$5=Inputs!$C$15+$K$378)*$E$380*$I$380+(AS$5=Inputs!$C$16+$K$378)*$F$380*$J$380+(AS$5=Inputs!$C$17)*$G$380*$H$378*$H$380)</f>
        <v>345.7188</v>
      </c>
      <c r="AT383" s="42" t="n">
        <f aca="false">-($D$378+$J$378)*(AT$5=0)+IF(AND(AT$5-$K$378&gt;=1,AT$5-$K$378&lt;=Inputs!$C$13),INDEX($N$381:$AL$381,1,AT$5-$K$378+1)*INDEX($N$382:$AL$382,1,AT$5-$K$378+1),0)-$I$378*((AT$5=Inputs!$C$12)*$C$380*$D$378+(AT$5=Inputs!$C$13)*$D$380*($D$378+Inputs!$C$14))+$I$378*((AT$5=Inputs!$C$15+$K$378)*$E$380*$I$380+(AT$5=Inputs!$C$16+$K$378)*$F$380*$J$380+(AT$5=Inputs!$C$17)*$G$380*$H$378*$H$380)</f>
        <v>0</v>
      </c>
      <c r="AU383" s="42" t="n">
        <f aca="false">-($D$378+$J$378)*(AU$5=0)+IF(AND(AU$5-$K$378&gt;=1,AU$5-$K$378&lt;=Inputs!$C$13),INDEX($N$381:$AL$381,1,AU$5-$K$378+1)*INDEX($N$382:$AL$382,1,AU$5-$K$378+1),0)-$I$378*((AU$5=Inputs!$C$12)*$C$380*$D$378+(AU$5=Inputs!$C$13)*$D$380*($D$378+Inputs!$C$14))+$I$378*((AU$5=Inputs!$C$15+$K$378)*$E$380*$I$380+(AU$5=Inputs!$C$16+$K$378)*$F$380*$J$380+(AU$5=Inputs!$C$17)*$G$380*$H$378*$H$380)</f>
        <v>0</v>
      </c>
      <c r="AV383" s="42" t="n">
        <f aca="false">-($D$378+$J$378)*(AV$5=0)+IF(AND(AV$5-$K$378&gt;=1,AV$5-$K$378&lt;=Inputs!$C$13),INDEX($N$381:$AL$381,1,AV$5-$K$378+1)*INDEX($N$382:$AL$382,1,AV$5-$K$378+1),0)-$I$378*((AV$5=Inputs!$C$12)*$C$380*$D$378+(AV$5=Inputs!$C$13)*$D$380*($D$378+Inputs!$C$14))+$I$378*((AV$5=Inputs!$C$15+$K$378)*$E$380*$I$380+(AV$5=Inputs!$C$16+$K$378)*$F$380*$J$380+(AV$5=Inputs!$C$17)*$G$380*$H$378*$H$380)</f>
        <v>0</v>
      </c>
      <c r="AW383" s="42" t="n">
        <f aca="false">-($D$378+$J$378)*(AW$5=0)+IF(AND(AW$5-$K$378&gt;=1,AW$5-$K$378&lt;=Inputs!$C$13),INDEX($N$381:$AL$381,1,AW$5-$K$378+1)*INDEX($N$382:$AL$382,1,AW$5-$K$378+1),0)-$I$378*((AW$5=Inputs!$C$12)*$C$380*$D$378+(AW$5=Inputs!$C$13)*$D$380*($D$378+Inputs!$C$14))+$I$378*((AW$5=Inputs!$C$15+$K$378)*$E$380*$I$380+(AW$5=Inputs!$C$16+$K$378)*$F$380*$J$380+(AW$5=Inputs!$C$17)*$G$380*$H$378*$H$380)</f>
        <v>0</v>
      </c>
      <c r="AX383" s="42" t="n">
        <f aca="false">-($D$378+$J$378)*(AX$5=0)+IF(AND(AX$5-$K$378&gt;=1,AX$5-$K$378&lt;=Inputs!$C$13),INDEX($N$381:$AL$381,1,AX$5-$K$378+1)*INDEX($N$382:$AL$382,1,AX$5-$K$378+1),0)-$I$378*((AX$5=Inputs!$C$12)*$C$380*$D$378+(AX$5=Inputs!$C$13)*$D$380*($D$378+Inputs!$C$14))+$I$378*((AX$5=Inputs!$C$15+$K$378)*$E$380*$I$380+(AX$5=Inputs!$C$16+$K$378)*$F$380*$J$380+(AX$5=Inputs!$C$17)*$G$380*$H$378*$H$380)</f>
        <v>47.628</v>
      </c>
      <c r="AY383" s="42" t="n">
        <f aca="false">-($D$378+$J$378)*(AY$5=0)+IF(AND(AY$5-$K$378&gt;=1,AY$5-$K$378&lt;=Inputs!$C$13),INDEX($N$381:$AL$381,1,AY$5-$K$378+1)*INDEX($N$382:$AL$382,1,AY$5-$K$378+1),0)-$I$378*((AY$5=Inputs!$C$12)*$C$380*$D$378+(AY$5=Inputs!$C$13)*$D$380*($D$378+Inputs!$C$14))+$I$378*((AY$5=Inputs!$C$15+$K$378)*$E$380*$I$380+(AY$5=Inputs!$C$16+$K$378)*$F$380*$J$380+(AY$5=Inputs!$C$17)*$G$380*$H$378*$H$380)</f>
        <v>0</v>
      </c>
    </row>
    <row r="385" customFormat="false" ht="15" hidden="false" customHeight="false" outlineLevel="0" collapsed="false">
      <c r="B385" s="7" t="s">
        <v>283</v>
      </c>
      <c r="C385" s="8"/>
      <c r="D385" s="8"/>
      <c r="E385" s="8"/>
      <c r="F385" s="8"/>
      <c r="G385" s="8"/>
      <c r="H385" s="8"/>
      <c r="I385" s="8"/>
      <c r="J385" s="8"/>
      <c r="K385" s="8"/>
      <c r="L385" s="8"/>
    </row>
    <row r="386" customFormat="false" ht="30" hidden="false" customHeight="true" outlineLevel="0" collapsed="false">
      <c r="B386" s="37"/>
      <c r="C386" s="38" t="s">
        <v>169</v>
      </c>
      <c r="D386" s="38" t="s">
        <v>170</v>
      </c>
      <c r="E386" s="38" t="s">
        <v>171</v>
      </c>
      <c r="F386" s="38" t="s">
        <v>43</v>
      </c>
      <c r="G386" s="38" t="s">
        <v>44</v>
      </c>
      <c r="H386" s="38" t="s">
        <v>45</v>
      </c>
      <c r="I386" s="38" t="s">
        <v>172</v>
      </c>
      <c r="J386" s="38" t="s">
        <v>90</v>
      </c>
      <c r="K386" s="38" t="s">
        <v>89</v>
      </c>
      <c r="L386" s="38" t="s">
        <v>173</v>
      </c>
    </row>
    <row r="387" customFormat="false" ht="15" hidden="false" customHeight="false" outlineLevel="0" collapsed="false">
      <c r="B387" s="39" t="s">
        <v>174</v>
      </c>
      <c r="C387" s="26" t="n">
        <f aca="false">Inputs!$F$41*Inputs!$E$63</f>
        <v>0.09</v>
      </c>
      <c r="D387" s="30" t="n">
        <f aca="false">Inputs!$E$41</f>
        <v>9500</v>
      </c>
      <c r="E387" s="26" t="n">
        <f aca="false">IF(Inputs!$G$41=1,Inputs!$F$27,MIN(1,MAX(0,INDEX(Inputs!$F$23:$F$27,MATCH(Inputs!$C$41,Inputs!$B$23:$B$27,0))+INDEX(Inputs!$C$48:$C$51,MATCH(Inputs!$D$63,Inputs!$B$48:$B$51,0)))))</f>
        <v>0.9</v>
      </c>
      <c r="F387" s="25" t="n">
        <f aca="false">IF(Inputs!$G$41=1,Inputs!$G$27,INDEX(Inputs!$G$23:$G$27,MATCH(Inputs!$C$41,Inputs!$B$23:$B$27,0)))</f>
        <v>0.6</v>
      </c>
      <c r="G387" s="25" t="n">
        <f aca="false">IF(Inputs!$G$41=1,Inputs!$H$27,INDEX(Inputs!$H$23:$H$27,MATCH(Inputs!$C$41,Inputs!$B$23:$B$27,0)))*INDEX(Inputs!$D$48:$D$51,MATCH(Inputs!$D$63,Inputs!$B$48:$B$51,0))</f>
        <v>0.8</v>
      </c>
      <c r="H387" s="25" t="n">
        <f aca="false">MAX(0,IF(Inputs!$G$41=1,Inputs!$I$27,INDEX(Inputs!$I$23:$I$27,MATCH(Inputs!$C$41,Inputs!$B$23:$B$27,0)))+INDEX(Inputs!$E$48:$E$51,MATCH(Inputs!$D$63,Inputs!$B$48:$B$51,0)))</f>
        <v>0.9</v>
      </c>
      <c r="I387" s="22" t="n">
        <f aca="false">IF(Inputs!$G$41=1,0,INDEX(Inputs!$J$23:$J$27,MATCH(Inputs!$C$41,Inputs!$B$23:$B$27,0)))</f>
        <v>1</v>
      </c>
      <c r="J387" s="23" t="n">
        <f aca="false">Inputs!$G$63</f>
        <v>0</v>
      </c>
      <c r="K387" s="22" t="n">
        <f aca="false">Inputs!$F$63</f>
        <v>1</v>
      </c>
      <c r="L387" s="22" t="n">
        <f aca="false">Inputs!$C$63</f>
        <v>1</v>
      </c>
    </row>
    <row r="388" customFormat="false" ht="30" hidden="false" customHeight="true" outlineLevel="0" collapsed="false">
      <c r="B388" s="37"/>
      <c r="C388" s="38" t="s">
        <v>175</v>
      </c>
      <c r="D388" s="38" t="s">
        <v>176</v>
      </c>
      <c r="E388" s="38" t="s">
        <v>177</v>
      </c>
      <c r="F388" s="38" t="s">
        <v>178</v>
      </c>
      <c r="G388" s="38" t="s">
        <v>112</v>
      </c>
      <c r="H388" s="38" t="s">
        <v>179</v>
      </c>
      <c r="I388" s="38" t="s">
        <v>180</v>
      </c>
      <c r="J388" s="38" t="s">
        <v>181</v>
      </c>
      <c r="K388" s="38" t="s">
        <v>182</v>
      </c>
      <c r="L388" s="38" t="s">
        <v>183</v>
      </c>
    </row>
    <row r="389" customFormat="false" ht="15" hidden="false" customHeight="false" outlineLevel="0" collapsed="false">
      <c r="B389" s="39" t="s">
        <v>184</v>
      </c>
      <c r="C389" s="40" t="n">
        <f aca="false">1-$E$387*CHOOSE($L$387,INDEX(Timing!$C$7:$AA$7,1,Inputs!$C$12+1),INDEX(Timing!$C$8:$AA$8,1,Inputs!$C$12+1))</f>
        <v>0.316</v>
      </c>
      <c r="D389" s="40" t="n">
        <f aca="false">1-$E$387*CHOOSE($L$387,INDEX(Timing!$C$7:$AA$7,1,Inputs!$C$13+1),INDEX(Timing!$C$8:$AA$8,1,Inputs!$C$13+1))</f>
        <v>0.1</v>
      </c>
      <c r="E389" s="40" t="n">
        <f aca="false">$I$387*$D$389*$F$387</f>
        <v>0.06</v>
      </c>
      <c r="F389" s="40" t="n">
        <f aca="false">$I$387*($D$389-$E$389)*$G$387</f>
        <v>0.032</v>
      </c>
      <c r="G389" s="40" t="n">
        <f aca="false">$I$387*($D$389-$E$389-$F$389)</f>
        <v>0.008</v>
      </c>
      <c r="H389" s="23" t="n">
        <f aca="false">$I$387*(3*$D$387+Inputs!$C$14)</f>
        <v>30300</v>
      </c>
      <c r="I389" s="23" t="n">
        <f aca="false">$I$387*($D$387*(1+IF($C$387&lt;=0,0,MAX($C$387*Inputs!$C$15/12,Inputs!$C$8)))+$D$387*(1+Inputs!$C$11*(Inputs!$C$15-Inputs!$C$12)/12)+$D$387*(1+Inputs!$C$11*(Inputs!$C$15-Inputs!$C$13)/12)+Inputs!$C$14)</f>
        <v>34788.75</v>
      </c>
      <c r="J389" s="23" t="n">
        <f aca="false">$I$387*($D$387*(1+IF($C$387&lt;=0,0,MAX($C$387*Inputs!$C$16/12,Inputs!$C$8)))+$D$387*(1+Inputs!$C$11*(Inputs!$C$16-Inputs!$C$12)/12)+$D$387*(1+Inputs!$C$11*(Inputs!$C$16-Inputs!$C$13)/12)+Inputs!$C$14)</f>
        <v>35857.5</v>
      </c>
      <c r="K389" s="40" t="n">
        <f aca="false">IRR($N$392:$AY$392,0.005)</f>
        <v>0.00821043841835618</v>
      </c>
      <c r="L389" s="41" t="n">
        <f aca="false">(1+$K$389)^12-1</f>
        <v>0.10309845080117</v>
      </c>
    </row>
    <row r="390" customFormat="false" ht="15" hidden="false" customHeight="false" outlineLevel="0" collapsed="false">
      <c r="B390" s="9" t="s">
        <v>185</v>
      </c>
      <c r="N390" s="40" t="n">
        <f aca="false">0</f>
        <v>0</v>
      </c>
      <c r="O390" s="40" t="n">
        <f aca="false">$E$387*(CHOOSE($L$387,Timing!D$7,Timing!D$8)-CHOOSE($L$387,Timing!C$7,Timing!C$8))</f>
        <v>0.108</v>
      </c>
      <c r="P390" s="40" t="n">
        <f aca="false">$E$387*(CHOOSE($L$387,Timing!E$7,Timing!E$8)-CHOOSE($L$387,Timing!D$7,Timing!D$8))</f>
        <v>0.09</v>
      </c>
      <c r="Q390" s="40" t="n">
        <f aca="false">$E$387*(CHOOSE($L$387,Timing!F$7,Timing!F$8)-CHOOSE($L$387,Timing!E$7,Timing!E$8))</f>
        <v>0.081</v>
      </c>
      <c r="R390" s="40" t="n">
        <f aca="false">$E$387*(CHOOSE($L$387,Timing!G$7,Timing!G$8)-CHOOSE($L$387,Timing!F$7,Timing!F$8))</f>
        <v>0.063</v>
      </c>
      <c r="S390" s="40" t="n">
        <f aca="false">$E$387*(CHOOSE($L$387,Timing!H$7,Timing!H$8)-CHOOSE($L$387,Timing!G$7,Timing!G$8))</f>
        <v>0.063</v>
      </c>
      <c r="T390" s="40" t="n">
        <f aca="false">$E$387*(CHOOSE($L$387,Timing!I$7,Timing!I$8)-CHOOSE($L$387,Timing!H$7,Timing!H$8))</f>
        <v>0.063</v>
      </c>
      <c r="U390" s="40" t="n">
        <f aca="false">$E$387*(CHOOSE($L$387,Timing!J$7,Timing!J$8)-CHOOSE($L$387,Timing!I$7,Timing!I$8))</f>
        <v>0.039</v>
      </c>
      <c r="V390" s="40" t="n">
        <f aca="false">$E$387*(CHOOSE($L$387,Timing!K$7,Timing!K$8)-CHOOSE($L$387,Timing!J$7,Timing!J$8))</f>
        <v>0.039</v>
      </c>
      <c r="W390" s="40" t="n">
        <f aca="false">$E$387*(CHOOSE($L$387,Timing!L$7,Timing!L$8)-CHOOSE($L$387,Timing!K$7,Timing!K$8))</f>
        <v>0.039</v>
      </c>
      <c r="X390" s="40" t="n">
        <f aca="false">$E$387*(CHOOSE($L$387,Timing!M$7,Timing!M$8)-CHOOSE($L$387,Timing!L$7,Timing!L$8))</f>
        <v>0.033</v>
      </c>
      <c r="Y390" s="40" t="n">
        <f aca="false">$E$387*(CHOOSE($L$387,Timing!N$7,Timing!N$8)-CHOOSE($L$387,Timing!M$7,Timing!M$8))</f>
        <v>0.0330000000000001</v>
      </c>
      <c r="Z390" s="40" t="n">
        <f aca="false">$E$387*(CHOOSE($L$387,Timing!O$7,Timing!O$8)-CHOOSE($L$387,Timing!N$7,Timing!N$8))</f>
        <v>0.033</v>
      </c>
      <c r="AA390" s="40" t="n">
        <f aca="false">$E$387*(CHOOSE($L$387,Timing!P$7,Timing!P$8)-CHOOSE($L$387,Timing!O$7,Timing!O$8))</f>
        <v>0.021</v>
      </c>
      <c r="AB390" s="40" t="n">
        <f aca="false">$E$387*(CHOOSE($L$387,Timing!Q$7,Timing!Q$8)-CHOOSE($L$387,Timing!P$7,Timing!P$8))</f>
        <v>0.021</v>
      </c>
      <c r="AC390" s="40" t="n">
        <f aca="false">$E$387*(CHOOSE($L$387,Timing!R$7,Timing!R$8)-CHOOSE($L$387,Timing!Q$7,Timing!Q$8))</f>
        <v>0.0210000000000001</v>
      </c>
      <c r="AD390" s="40" t="n">
        <f aca="false">$E$387*(CHOOSE($L$387,Timing!S$7,Timing!S$8)-CHOOSE($L$387,Timing!R$7,Timing!R$8))</f>
        <v>0.021</v>
      </c>
      <c r="AE390" s="40" t="n">
        <f aca="false">$E$387*(CHOOSE($L$387,Timing!T$7,Timing!T$8)-CHOOSE($L$387,Timing!S$7,Timing!S$8))</f>
        <v>0.021</v>
      </c>
      <c r="AF390" s="40" t="n">
        <f aca="false">$E$387*(CHOOSE($L$387,Timing!U$7,Timing!U$8)-CHOOSE($L$387,Timing!T$7,Timing!T$8))</f>
        <v>0.021</v>
      </c>
      <c r="AG390" s="40" t="n">
        <f aca="false">$E$387*(CHOOSE($L$387,Timing!V$7,Timing!V$8)-CHOOSE($L$387,Timing!U$7,Timing!U$8))</f>
        <v>0.015</v>
      </c>
      <c r="AH390" s="40" t="n">
        <f aca="false">$E$387*(CHOOSE($L$387,Timing!W$7,Timing!W$8)-CHOOSE($L$387,Timing!V$7,Timing!V$8))</f>
        <v>0.0149999999999999</v>
      </c>
      <c r="AI390" s="40" t="n">
        <f aca="false">$E$387*(CHOOSE($L$387,Timing!X$7,Timing!X$8)-CHOOSE($L$387,Timing!W$7,Timing!W$8))</f>
        <v>0.0149999999999999</v>
      </c>
      <c r="AJ390" s="40" t="n">
        <f aca="false">$E$387*(CHOOSE($L$387,Timing!Y$7,Timing!Y$8)-CHOOSE($L$387,Timing!X$7,Timing!X$8))</f>
        <v>0.015</v>
      </c>
      <c r="AK390" s="40" t="n">
        <f aca="false">$E$387*(CHOOSE($L$387,Timing!Z$7,Timing!Z$8)-CHOOSE($L$387,Timing!Y$7,Timing!Y$8))</f>
        <v>0.015</v>
      </c>
      <c r="AL390" s="40" t="n">
        <f aca="false">$E$387*(CHOOSE($L$387,Timing!AA$7,Timing!AA$8)-CHOOSE($L$387,Timing!Z$7,Timing!Z$8))</f>
        <v>0.0149999999999999</v>
      </c>
    </row>
    <row r="391" customFormat="false" ht="15" hidden="false" customHeight="false" outlineLevel="0" collapsed="false">
      <c r="B391" s="9" t="s">
        <v>186</v>
      </c>
      <c r="N391" s="42" t="n">
        <f aca="false">0</f>
        <v>0</v>
      </c>
      <c r="O391" s="42" t="n">
        <f aca="false">$D$387*(1+IF($C$387&lt;=0,0,MAX($C$387*O$5/12,Inputs!$C$8)))+$I$387*(O$5&gt;Inputs!$C$12)*$D$387*(1+Inputs!$C$11*(O$5-Inputs!$C$12)/12)</f>
        <v>9975</v>
      </c>
      <c r="P391" s="42" t="n">
        <f aca="false">$D$387*(1+IF($C$387&lt;=0,0,MAX($C$387*P$5/12,Inputs!$C$8)))+$I$387*(P$5&gt;Inputs!$C$12)*$D$387*(1+Inputs!$C$11*(P$5-Inputs!$C$12)/12)</f>
        <v>9975</v>
      </c>
      <c r="Q391" s="42" t="n">
        <f aca="false">$D$387*(1+IF($C$387&lt;=0,0,MAX($C$387*Q$5/12,Inputs!$C$8)))+$I$387*(Q$5&gt;Inputs!$C$12)*$D$387*(1+Inputs!$C$11*(Q$5-Inputs!$C$12)/12)</f>
        <v>9975</v>
      </c>
      <c r="R391" s="42" t="n">
        <f aca="false">$D$387*(1+IF($C$387&lt;=0,0,MAX($C$387*R$5/12,Inputs!$C$8)))+$I$387*(R$5&gt;Inputs!$C$12)*$D$387*(1+Inputs!$C$11*(R$5-Inputs!$C$12)/12)</f>
        <v>9975</v>
      </c>
      <c r="S391" s="42" t="n">
        <f aca="false">$D$387*(1+IF($C$387&lt;=0,0,MAX($C$387*S$5/12,Inputs!$C$8)))+$I$387*(S$5&gt;Inputs!$C$12)*$D$387*(1+Inputs!$C$11*(S$5-Inputs!$C$12)/12)</f>
        <v>9975</v>
      </c>
      <c r="T391" s="42" t="n">
        <f aca="false">$D$387*(1+IF($C$387&lt;=0,0,MAX($C$387*T$5/12,Inputs!$C$8)))+$I$387*(T$5&gt;Inputs!$C$12)*$D$387*(1+Inputs!$C$11*(T$5-Inputs!$C$12)/12)</f>
        <v>9975</v>
      </c>
      <c r="U391" s="42" t="n">
        <f aca="false">$D$387*(1+IF($C$387&lt;=0,0,MAX($C$387*U$5/12,Inputs!$C$8)))+$I$387*(U$5&gt;Inputs!$C$12)*$D$387*(1+Inputs!$C$11*(U$5-Inputs!$C$12)/12)</f>
        <v>9998.75</v>
      </c>
      <c r="V391" s="42" t="n">
        <f aca="false">$D$387*(1+IF($C$387&lt;=0,0,MAX($C$387*V$5/12,Inputs!$C$8)))+$I$387*(V$5&gt;Inputs!$C$12)*$D$387*(1+Inputs!$C$11*(V$5-Inputs!$C$12)/12)</f>
        <v>10070</v>
      </c>
      <c r="W391" s="42" t="n">
        <f aca="false">$D$387*(1+IF($C$387&lt;=0,0,MAX($C$387*W$5/12,Inputs!$C$8)))+$I$387*(W$5&gt;Inputs!$C$12)*$D$387*(1+Inputs!$C$11*(W$5-Inputs!$C$12)/12)</f>
        <v>10141.25</v>
      </c>
      <c r="X391" s="42" t="n">
        <f aca="false">$D$387*(1+IF($C$387&lt;=0,0,MAX($C$387*X$5/12,Inputs!$C$8)))+$I$387*(X$5&gt;Inputs!$C$12)*$D$387*(1+Inputs!$C$11*(X$5-Inputs!$C$12)/12)</f>
        <v>10212.5</v>
      </c>
      <c r="Y391" s="42" t="n">
        <f aca="false">$D$387*(1+IF($C$387&lt;=0,0,MAX($C$387*Y$5/12,Inputs!$C$8)))+$I$387*(Y$5&gt;Inputs!$C$12)*$D$387*(1+Inputs!$C$11*(Y$5-Inputs!$C$12)/12)</f>
        <v>10283.75</v>
      </c>
      <c r="Z391" s="42" t="n">
        <f aca="false">$D$387*(1+IF($C$387&lt;=0,0,MAX($C$387*Z$5/12,Inputs!$C$8)))+$I$387*(Z$5&gt;Inputs!$C$12)*$D$387*(1+Inputs!$C$11*(Z$5-Inputs!$C$12)/12)</f>
        <v>10355</v>
      </c>
      <c r="AA391" s="42" t="n">
        <f aca="false">$D$387*(1+IF($C$387&lt;=0,0,MAX($C$387*AA$5/12,Inputs!$C$8)))+$I$387*(AA$5&gt;Inputs!$C$12)*$D$387*(1+Inputs!$C$11*(AA$5-Inputs!$C$12)/12)</f>
        <v>20068.75</v>
      </c>
      <c r="AB391" s="42" t="n">
        <f aca="false">$D$387*(1+IF($C$387&lt;=0,0,MAX($C$387*AB$5/12,Inputs!$C$8)))+$I$387*(AB$5&gt;Inputs!$C$12)*$D$387*(1+Inputs!$C$11*(AB$5-Inputs!$C$12)/12)</f>
        <v>20282.5</v>
      </c>
      <c r="AC391" s="42" t="n">
        <f aca="false">$D$387*(1+IF($C$387&lt;=0,0,MAX($C$387*AC$5/12,Inputs!$C$8)))+$I$387*(AC$5&gt;Inputs!$C$12)*$D$387*(1+Inputs!$C$11*(AC$5-Inputs!$C$12)/12)</f>
        <v>20496.25</v>
      </c>
      <c r="AD391" s="42" t="n">
        <f aca="false">$D$387*(1+IF($C$387&lt;=0,0,MAX($C$387*AD$5/12,Inputs!$C$8)))+$I$387*(AD$5&gt;Inputs!$C$12)*$D$387*(1+Inputs!$C$11*(AD$5-Inputs!$C$12)/12)</f>
        <v>20710</v>
      </c>
      <c r="AE391" s="42" t="n">
        <f aca="false">$D$387*(1+IF($C$387&lt;=0,0,MAX($C$387*AE$5/12,Inputs!$C$8)))+$I$387*(AE$5&gt;Inputs!$C$12)*$D$387*(1+Inputs!$C$11*(AE$5-Inputs!$C$12)/12)</f>
        <v>20923.75</v>
      </c>
      <c r="AF391" s="42" t="n">
        <f aca="false">$D$387*(1+IF($C$387&lt;=0,0,MAX($C$387*AF$5/12,Inputs!$C$8)))+$I$387*(AF$5&gt;Inputs!$C$12)*$D$387*(1+Inputs!$C$11*(AF$5-Inputs!$C$12)/12)</f>
        <v>21137.5</v>
      </c>
      <c r="AG391" s="42" t="n">
        <f aca="false">$D$387*(1+IF($C$387&lt;=0,0,MAX($C$387*AG$5/12,Inputs!$C$8)))+$I$387*(AG$5&gt;Inputs!$C$12)*$D$387*(1+Inputs!$C$11*(AG$5-Inputs!$C$12)/12)</f>
        <v>21351.25</v>
      </c>
      <c r="AH391" s="42" t="n">
        <f aca="false">$D$387*(1+IF($C$387&lt;=0,0,MAX($C$387*AH$5/12,Inputs!$C$8)))+$I$387*(AH$5&gt;Inputs!$C$12)*$D$387*(1+Inputs!$C$11*(AH$5-Inputs!$C$12)/12)</f>
        <v>21565</v>
      </c>
      <c r="AI391" s="42" t="n">
        <f aca="false">$D$387*(1+IF($C$387&lt;=0,0,MAX($C$387*AI$5/12,Inputs!$C$8)))+$I$387*(AI$5&gt;Inputs!$C$12)*$D$387*(1+Inputs!$C$11*(AI$5-Inputs!$C$12)/12)</f>
        <v>21778.75</v>
      </c>
      <c r="AJ391" s="42" t="n">
        <f aca="false">$D$387*(1+IF($C$387&lt;=0,0,MAX($C$387*AJ$5/12,Inputs!$C$8)))+$I$387*(AJ$5&gt;Inputs!$C$12)*$D$387*(1+Inputs!$C$11*(AJ$5-Inputs!$C$12)/12)</f>
        <v>21992.5</v>
      </c>
      <c r="AK391" s="42" t="n">
        <f aca="false">$D$387*(1+IF($C$387&lt;=0,0,MAX($C$387*AK$5/12,Inputs!$C$8)))+$I$387*(AK$5&gt;Inputs!$C$12)*$D$387*(1+Inputs!$C$11*(AK$5-Inputs!$C$12)/12)</f>
        <v>22206.25</v>
      </c>
      <c r="AL391" s="42" t="n">
        <f aca="false">$D$387*(1+IF($C$387&lt;=0,0,MAX($C$387*AL$5/12,Inputs!$C$8)))+$I$387*(AL$5&gt;Inputs!$C$12)*$D$387*(1+Inputs!$C$11*(AL$5-Inputs!$C$12)/12)</f>
        <v>22420</v>
      </c>
    </row>
    <row r="392" customFormat="false" ht="15" hidden="false" customHeight="false" outlineLevel="0" collapsed="false">
      <c r="B392" s="31" t="s">
        <v>187</v>
      </c>
      <c r="N392" s="42" t="n">
        <f aca="false">-($D$387+$J$387)*(N$5=0)+IF(AND(N$5-$K$387&gt;=1,N$5-$K$387&lt;=Inputs!$C$13),INDEX($N$390:$AL$390,1,N$5-$K$387+1)*INDEX($N$391:$AL$391,1,N$5-$K$387+1),0)-$I$387*((N$5=Inputs!$C$12)*$C$389*$D$387+(N$5=Inputs!$C$13)*$D$389*($D$387+Inputs!$C$14))+$I$387*((N$5=Inputs!$C$15+$K$387)*$E$389*$I$389+(N$5=Inputs!$C$16+$K$387)*$F$389*$J$389+(N$5=Inputs!$C$17)*$G$389*$H$387*$H$389)</f>
        <v>-9500</v>
      </c>
      <c r="O392" s="42" t="n">
        <f aca="false">-($D$387+$J$387)*(O$5=0)+IF(AND(O$5-$K$387&gt;=1,O$5-$K$387&lt;=Inputs!$C$13),INDEX($N$390:$AL$390,1,O$5-$K$387+1)*INDEX($N$391:$AL$391,1,O$5-$K$387+1),0)-$I$387*((O$5=Inputs!$C$12)*$C$389*$D$387+(O$5=Inputs!$C$13)*$D$389*($D$387+Inputs!$C$14))+$I$387*((O$5=Inputs!$C$15+$K$387)*$E$389*$I$389+(O$5=Inputs!$C$16+$K$387)*$F$389*$J$389+(O$5=Inputs!$C$17)*$G$389*$H$387*$H$389)</f>
        <v>0</v>
      </c>
      <c r="P392" s="42" t="n">
        <f aca="false">-($D$387+$J$387)*(P$5=0)+IF(AND(P$5-$K$387&gt;=1,P$5-$K$387&lt;=Inputs!$C$13),INDEX($N$390:$AL$390,1,P$5-$K$387+1)*INDEX($N$391:$AL$391,1,P$5-$K$387+1),0)-$I$387*((P$5=Inputs!$C$12)*$C$389*$D$387+(P$5=Inputs!$C$13)*$D$389*($D$387+Inputs!$C$14))+$I$387*((P$5=Inputs!$C$15+$K$387)*$E$389*$I$389+(P$5=Inputs!$C$16+$K$387)*$F$389*$J$389+(P$5=Inputs!$C$17)*$G$389*$H$387*$H$389)</f>
        <v>1077.3</v>
      </c>
      <c r="Q392" s="42" t="n">
        <f aca="false">-($D$387+$J$387)*(Q$5=0)+IF(AND(Q$5-$K$387&gt;=1,Q$5-$K$387&lt;=Inputs!$C$13),INDEX($N$390:$AL$390,1,Q$5-$K$387+1)*INDEX($N$391:$AL$391,1,Q$5-$K$387+1),0)-$I$387*((Q$5=Inputs!$C$12)*$C$389*$D$387+(Q$5=Inputs!$C$13)*$D$389*($D$387+Inputs!$C$14))+$I$387*((Q$5=Inputs!$C$15+$K$387)*$E$389*$I$389+(Q$5=Inputs!$C$16+$K$387)*$F$389*$J$389+(Q$5=Inputs!$C$17)*$G$389*$H$387*$H$389)</f>
        <v>897.75</v>
      </c>
      <c r="R392" s="42" t="n">
        <f aca="false">-($D$387+$J$387)*(R$5=0)+IF(AND(R$5-$K$387&gt;=1,R$5-$K$387&lt;=Inputs!$C$13),INDEX($N$390:$AL$390,1,R$5-$K$387+1)*INDEX($N$391:$AL$391,1,R$5-$K$387+1),0)-$I$387*((R$5=Inputs!$C$12)*$C$389*$D$387+(R$5=Inputs!$C$13)*$D$389*($D$387+Inputs!$C$14))+$I$387*((R$5=Inputs!$C$15+$K$387)*$E$389*$I$389+(R$5=Inputs!$C$16+$K$387)*$F$389*$J$389+(R$5=Inputs!$C$17)*$G$389*$H$387*$H$389)</f>
        <v>807.975</v>
      </c>
      <c r="S392" s="42" t="n">
        <f aca="false">-($D$387+$J$387)*(S$5=0)+IF(AND(S$5-$K$387&gt;=1,S$5-$K$387&lt;=Inputs!$C$13),INDEX($N$390:$AL$390,1,S$5-$K$387+1)*INDEX($N$391:$AL$391,1,S$5-$K$387+1),0)-$I$387*((S$5=Inputs!$C$12)*$C$389*$D$387+(S$5=Inputs!$C$13)*$D$389*($D$387+Inputs!$C$14))+$I$387*((S$5=Inputs!$C$15+$K$387)*$E$389*$I$389+(S$5=Inputs!$C$16+$K$387)*$F$389*$J$389+(S$5=Inputs!$C$17)*$G$389*$H$387*$H$389)</f>
        <v>628.425</v>
      </c>
      <c r="T392" s="42" t="n">
        <f aca="false">-($D$387+$J$387)*(T$5=0)+IF(AND(T$5-$K$387&gt;=1,T$5-$K$387&lt;=Inputs!$C$13),INDEX($N$390:$AL$390,1,T$5-$K$387+1)*INDEX($N$391:$AL$391,1,T$5-$K$387+1),0)-$I$387*((T$5=Inputs!$C$12)*$C$389*$D$387+(T$5=Inputs!$C$13)*$D$389*($D$387+Inputs!$C$14))+$I$387*((T$5=Inputs!$C$15+$K$387)*$E$389*$I$389+(T$5=Inputs!$C$16+$K$387)*$F$389*$J$389+(T$5=Inputs!$C$17)*$G$389*$H$387*$H$389)</f>
        <v>628.425</v>
      </c>
      <c r="U392" s="42" t="n">
        <f aca="false">-($D$387+$J$387)*(U$5=0)+IF(AND(U$5-$K$387&gt;=1,U$5-$K$387&lt;=Inputs!$C$13),INDEX($N$390:$AL$390,1,U$5-$K$387+1)*INDEX($N$391:$AL$391,1,U$5-$K$387+1),0)-$I$387*((U$5=Inputs!$C$12)*$C$389*$D$387+(U$5=Inputs!$C$13)*$D$389*($D$387+Inputs!$C$14))+$I$387*((U$5=Inputs!$C$15+$K$387)*$E$389*$I$389+(U$5=Inputs!$C$16+$K$387)*$F$389*$J$389+(U$5=Inputs!$C$17)*$G$389*$H$387*$H$389)</f>
        <v>628.425</v>
      </c>
      <c r="V392" s="42" t="n">
        <f aca="false">-($D$387+$J$387)*(V$5=0)+IF(AND(V$5-$K$387&gt;=1,V$5-$K$387&lt;=Inputs!$C$13),INDEX($N$390:$AL$390,1,V$5-$K$387+1)*INDEX($N$391:$AL$391,1,V$5-$K$387+1),0)-$I$387*((V$5=Inputs!$C$12)*$C$389*$D$387+(V$5=Inputs!$C$13)*$D$389*($D$387+Inputs!$C$14))+$I$387*((V$5=Inputs!$C$15+$K$387)*$E$389*$I$389+(V$5=Inputs!$C$16+$K$387)*$F$389*$J$389+(V$5=Inputs!$C$17)*$G$389*$H$387*$H$389)</f>
        <v>389.95125</v>
      </c>
      <c r="W392" s="42" t="n">
        <f aca="false">-($D$387+$J$387)*(W$5=0)+IF(AND(W$5-$K$387&gt;=1,W$5-$K$387&lt;=Inputs!$C$13),INDEX($N$390:$AL$390,1,W$5-$K$387+1)*INDEX($N$391:$AL$391,1,W$5-$K$387+1),0)-$I$387*((W$5=Inputs!$C$12)*$C$389*$D$387+(W$5=Inputs!$C$13)*$D$389*($D$387+Inputs!$C$14))+$I$387*((W$5=Inputs!$C$15+$K$387)*$E$389*$I$389+(W$5=Inputs!$C$16+$K$387)*$F$389*$J$389+(W$5=Inputs!$C$17)*$G$389*$H$387*$H$389)</f>
        <v>392.73</v>
      </c>
      <c r="X392" s="42" t="n">
        <f aca="false">-($D$387+$J$387)*(X$5=0)+IF(AND(X$5-$K$387&gt;=1,X$5-$K$387&lt;=Inputs!$C$13),INDEX($N$390:$AL$390,1,X$5-$K$387+1)*INDEX($N$391:$AL$391,1,X$5-$K$387+1),0)-$I$387*((X$5=Inputs!$C$12)*$C$389*$D$387+(X$5=Inputs!$C$13)*$D$389*($D$387+Inputs!$C$14))+$I$387*((X$5=Inputs!$C$15+$K$387)*$E$389*$I$389+(X$5=Inputs!$C$16+$K$387)*$F$389*$J$389+(X$5=Inputs!$C$17)*$G$389*$H$387*$H$389)</f>
        <v>395.50875</v>
      </c>
      <c r="Y392" s="42" t="n">
        <f aca="false">-($D$387+$J$387)*(Y$5=0)+IF(AND(Y$5-$K$387&gt;=1,Y$5-$K$387&lt;=Inputs!$C$13),INDEX($N$390:$AL$390,1,Y$5-$K$387+1)*INDEX($N$391:$AL$391,1,Y$5-$K$387+1),0)-$I$387*((Y$5=Inputs!$C$12)*$C$389*$D$387+(Y$5=Inputs!$C$13)*$D$389*($D$387+Inputs!$C$14))+$I$387*((Y$5=Inputs!$C$15+$K$387)*$E$389*$I$389+(Y$5=Inputs!$C$16+$K$387)*$F$389*$J$389+(Y$5=Inputs!$C$17)*$G$389*$H$387*$H$389)</f>
        <v>337.0125</v>
      </c>
      <c r="Z392" s="42" t="n">
        <f aca="false">-($D$387+$J$387)*(Z$5=0)+IF(AND(Z$5-$K$387&gt;=1,Z$5-$K$387&lt;=Inputs!$C$13),INDEX($N$390:$AL$390,1,Z$5-$K$387+1)*INDEX($N$391:$AL$391,1,Z$5-$K$387+1),0)-$I$387*((Z$5=Inputs!$C$12)*$C$389*$D$387+(Z$5=Inputs!$C$13)*$D$389*($D$387+Inputs!$C$14))+$I$387*((Z$5=Inputs!$C$15+$K$387)*$E$389*$I$389+(Z$5=Inputs!$C$16+$K$387)*$F$389*$J$389+(Z$5=Inputs!$C$17)*$G$389*$H$387*$H$389)</f>
        <v>-2662.63625</v>
      </c>
      <c r="AA392" s="42" t="n">
        <f aca="false">-($D$387+$J$387)*(AA$5=0)+IF(AND(AA$5-$K$387&gt;=1,AA$5-$K$387&lt;=Inputs!$C$13),INDEX($N$390:$AL$390,1,AA$5-$K$387+1)*INDEX($N$391:$AL$391,1,AA$5-$K$387+1),0)-$I$387*((AA$5=Inputs!$C$12)*$C$389*$D$387+(AA$5=Inputs!$C$13)*$D$389*($D$387+Inputs!$C$14))+$I$387*((AA$5=Inputs!$C$15+$K$387)*$E$389*$I$389+(AA$5=Inputs!$C$16+$K$387)*$F$389*$J$389+(AA$5=Inputs!$C$17)*$G$389*$H$387*$H$389)</f>
        <v>341.715</v>
      </c>
      <c r="AB392" s="42" t="n">
        <f aca="false">-($D$387+$J$387)*(AB$5=0)+IF(AND(AB$5-$K$387&gt;=1,AB$5-$K$387&lt;=Inputs!$C$13),INDEX($N$390:$AL$390,1,AB$5-$K$387+1)*INDEX($N$391:$AL$391,1,AB$5-$K$387+1),0)-$I$387*((AB$5=Inputs!$C$12)*$C$389*$D$387+(AB$5=Inputs!$C$13)*$D$389*($D$387+Inputs!$C$14))+$I$387*((AB$5=Inputs!$C$15+$K$387)*$E$389*$I$389+(AB$5=Inputs!$C$16+$K$387)*$F$389*$J$389+(AB$5=Inputs!$C$17)*$G$389*$H$387*$H$389)</f>
        <v>421.44375</v>
      </c>
      <c r="AC392" s="42" t="n">
        <f aca="false">-($D$387+$J$387)*(AC$5=0)+IF(AND(AC$5-$K$387&gt;=1,AC$5-$K$387&lt;=Inputs!$C$13),INDEX($N$390:$AL$390,1,AC$5-$K$387+1)*INDEX($N$391:$AL$391,1,AC$5-$K$387+1),0)-$I$387*((AC$5=Inputs!$C$12)*$C$389*$D$387+(AC$5=Inputs!$C$13)*$D$389*($D$387+Inputs!$C$14))+$I$387*((AC$5=Inputs!$C$15+$K$387)*$E$389*$I$389+(AC$5=Inputs!$C$16+$K$387)*$F$389*$J$389+(AC$5=Inputs!$C$17)*$G$389*$H$387*$H$389)</f>
        <v>425.9325</v>
      </c>
      <c r="AD392" s="42" t="n">
        <f aca="false">-($D$387+$J$387)*(AD$5=0)+IF(AND(AD$5-$K$387&gt;=1,AD$5-$K$387&lt;=Inputs!$C$13),INDEX($N$390:$AL$390,1,AD$5-$K$387+1)*INDEX($N$391:$AL$391,1,AD$5-$K$387+1),0)-$I$387*((AD$5=Inputs!$C$12)*$C$389*$D$387+(AD$5=Inputs!$C$13)*$D$389*($D$387+Inputs!$C$14))+$I$387*((AD$5=Inputs!$C$15+$K$387)*$E$389*$I$389+(AD$5=Inputs!$C$16+$K$387)*$F$389*$J$389+(AD$5=Inputs!$C$17)*$G$389*$H$387*$H$389)</f>
        <v>430.421250000002</v>
      </c>
      <c r="AE392" s="42" t="n">
        <f aca="false">-($D$387+$J$387)*(AE$5=0)+IF(AND(AE$5-$K$387&gt;=1,AE$5-$K$387&lt;=Inputs!$C$13),INDEX($N$390:$AL$390,1,AE$5-$K$387+1)*INDEX($N$391:$AL$391,1,AE$5-$K$387+1),0)-$I$387*((AE$5=Inputs!$C$12)*$C$389*$D$387+(AE$5=Inputs!$C$13)*$D$389*($D$387+Inputs!$C$14))+$I$387*((AE$5=Inputs!$C$15+$K$387)*$E$389*$I$389+(AE$5=Inputs!$C$16+$K$387)*$F$389*$J$389+(AE$5=Inputs!$C$17)*$G$389*$H$387*$H$389)</f>
        <v>434.91</v>
      </c>
      <c r="AF392" s="42" t="n">
        <f aca="false">-($D$387+$J$387)*(AF$5=0)+IF(AND(AF$5-$K$387&gt;=1,AF$5-$K$387&lt;=Inputs!$C$13),INDEX($N$390:$AL$390,1,AF$5-$K$387+1)*INDEX($N$391:$AL$391,1,AF$5-$K$387+1),0)-$I$387*((AF$5=Inputs!$C$12)*$C$389*$D$387+(AF$5=Inputs!$C$13)*$D$389*($D$387+Inputs!$C$14))+$I$387*((AF$5=Inputs!$C$15+$K$387)*$E$389*$I$389+(AF$5=Inputs!$C$16+$K$387)*$F$389*$J$389+(AF$5=Inputs!$C$17)*$G$389*$H$387*$H$389)</f>
        <v>439.39875</v>
      </c>
      <c r="AG392" s="42" t="n">
        <f aca="false">-($D$387+$J$387)*(AG$5=0)+IF(AND(AG$5-$K$387&gt;=1,AG$5-$K$387&lt;=Inputs!$C$13),INDEX($N$390:$AL$390,1,AG$5-$K$387+1)*INDEX($N$391:$AL$391,1,AG$5-$K$387+1),0)-$I$387*((AG$5=Inputs!$C$12)*$C$389*$D$387+(AG$5=Inputs!$C$13)*$D$389*($D$387+Inputs!$C$14))+$I$387*((AG$5=Inputs!$C$15+$K$387)*$E$389*$I$389+(AG$5=Inputs!$C$16+$K$387)*$F$389*$J$389+(AG$5=Inputs!$C$17)*$G$389*$H$387*$H$389)</f>
        <v>443.8875</v>
      </c>
      <c r="AH392" s="42" t="n">
        <f aca="false">-($D$387+$J$387)*(AH$5=0)+IF(AND(AH$5-$K$387&gt;=1,AH$5-$K$387&lt;=Inputs!$C$13),INDEX($N$390:$AL$390,1,AH$5-$K$387+1)*INDEX($N$391:$AL$391,1,AH$5-$K$387+1),0)-$I$387*((AH$5=Inputs!$C$12)*$C$389*$D$387+(AH$5=Inputs!$C$13)*$D$389*($D$387+Inputs!$C$14))+$I$387*((AH$5=Inputs!$C$15+$K$387)*$E$389*$I$389+(AH$5=Inputs!$C$16+$K$387)*$F$389*$J$389+(AH$5=Inputs!$C$17)*$G$389*$H$387*$H$389)</f>
        <v>320.268750000001</v>
      </c>
      <c r="AI392" s="42" t="n">
        <f aca="false">-($D$387+$J$387)*(AI$5=0)+IF(AND(AI$5-$K$387&gt;=1,AI$5-$K$387&lt;=Inputs!$C$13),INDEX($N$390:$AL$390,1,AI$5-$K$387+1)*INDEX($N$391:$AL$391,1,AI$5-$K$387+1),0)-$I$387*((AI$5=Inputs!$C$12)*$C$389*$D$387+(AI$5=Inputs!$C$13)*$D$389*($D$387+Inputs!$C$14))+$I$387*((AI$5=Inputs!$C$15+$K$387)*$E$389*$I$389+(AI$5=Inputs!$C$16+$K$387)*$F$389*$J$389+(AI$5=Inputs!$C$17)*$G$389*$H$387*$H$389)</f>
        <v>323.474999999999</v>
      </c>
      <c r="AJ392" s="42" t="n">
        <f aca="false">-($D$387+$J$387)*(AJ$5=0)+IF(AND(AJ$5-$K$387&gt;=1,AJ$5-$K$387&lt;=Inputs!$C$13),INDEX($N$390:$AL$390,1,AJ$5-$K$387+1)*INDEX($N$391:$AL$391,1,AJ$5-$K$387+1),0)-$I$387*((AJ$5=Inputs!$C$12)*$C$389*$D$387+(AJ$5=Inputs!$C$13)*$D$389*($D$387+Inputs!$C$14))+$I$387*((AJ$5=Inputs!$C$15+$K$387)*$E$389*$I$389+(AJ$5=Inputs!$C$16+$K$387)*$F$389*$J$389+(AJ$5=Inputs!$C$17)*$G$389*$H$387*$H$389)</f>
        <v>326.681249999999</v>
      </c>
      <c r="AK392" s="42" t="n">
        <f aca="false">-($D$387+$J$387)*(AK$5=0)+IF(AND(AK$5-$K$387&gt;=1,AK$5-$K$387&lt;=Inputs!$C$13),INDEX($N$390:$AL$390,1,AK$5-$K$387+1)*INDEX($N$391:$AL$391,1,AK$5-$K$387+1),0)-$I$387*((AK$5=Inputs!$C$12)*$C$389*$D$387+(AK$5=Inputs!$C$13)*$D$389*($D$387+Inputs!$C$14))+$I$387*((AK$5=Inputs!$C$15+$K$387)*$E$389*$I$389+(AK$5=Inputs!$C$16+$K$387)*$F$389*$J$389+(AK$5=Inputs!$C$17)*$G$389*$H$387*$H$389)</f>
        <v>329.887500000001</v>
      </c>
      <c r="AL392" s="42" t="n">
        <f aca="false">-($D$387+$J$387)*(AL$5=0)+IF(AND(AL$5-$K$387&gt;=1,AL$5-$K$387&lt;=Inputs!$C$13),INDEX($N$390:$AL$390,1,AL$5-$K$387+1)*INDEX($N$391:$AL$391,1,AL$5-$K$387+1),0)-$I$387*((AL$5=Inputs!$C$12)*$C$389*$D$387+(AL$5=Inputs!$C$13)*$D$389*($D$387+Inputs!$C$14))+$I$387*((AL$5=Inputs!$C$15+$K$387)*$E$389*$I$389+(AL$5=Inputs!$C$16+$K$387)*$F$389*$J$389+(AL$5=Inputs!$C$17)*$G$389*$H$387*$H$389)</f>
        <v>-796.906249999999</v>
      </c>
      <c r="AM392" s="42" t="n">
        <f aca="false">-($D$387+$J$387)*(AM$5=0)+IF(AND(AM$5-$K$387&gt;=1,AM$5-$K$387&lt;=Inputs!$C$13),INDEX($N$390:$AL$390,1,AM$5-$K$387+1)*INDEX($N$391:$AL$391,1,AM$5-$K$387+1),0)-$I$387*((AM$5=Inputs!$C$12)*$C$389*$D$387+(AM$5=Inputs!$C$13)*$D$389*($D$387+Inputs!$C$14))+$I$387*((AM$5=Inputs!$C$15+$K$387)*$E$389*$I$389+(AM$5=Inputs!$C$16+$K$387)*$F$389*$J$389+(AM$5=Inputs!$C$17)*$G$389*$H$387*$H$389)</f>
        <v>336.299999999999</v>
      </c>
      <c r="AN392" s="42" t="n">
        <f aca="false">-($D$387+$J$387)*(AN$5=0)+IF(AND(AN$5-$K$387&gt;=1,AN$5-$K$387&lt;=Inputs!$C$13),INDEX($N$390:$AL$390,1,AN$5-$K$387+1)*INDEX($N$391:$AL$391,1,AN$5-$K$387+1),0)-$I$387*((AN$5=Inputs!$C$12)*$C$389*$D$387+(AN$5=Inputs!$C$13)*$D$389*($D$387+Inputs!$C$14))+$I$387*((AN$5=Inputs!$C$15+$K$387)*$E$389*$I$389+(AN$5=Inputs!$C$16+$K$387)*$F$389*$J$389+(AN$5=Inputs!$C$17)*$G$389*$H$387*$H$389)</f>
        <v>0</v>
      </c>
      <c r="AO392" s="42" t="n">
        <f aca="false">-($D$387+$J$387)*(AO$5=0)+IF(AND(AO$5-$K$387&gt;=1,AO$5-$K$387&lt;=Inputs!$C$13),INDEX($N$390:$AL$390,1,AO$5-$K$387+1)*INDEX($N$391:$AL$391,1,AO$5-$K$387+1),0)-$I$387*((AO$5=Inputs!$C$12)*$C$389*$D$387+(AO$5=Inputs!$C$13)*$D$389*($D$387+Inputs!$C$14))+$I$387*((AO$5=Inputs!$C$15+$K$387)*$E$389*$I$389+(AO$5=Inputs!$C$16+$K$387)*$F$389*$J$389+(AO$5=Inputs!$C$17)*$G$389*$H$387*$H$389)</f>
        <v>0</v>
      </c>
      <c r="AP392" s="42" t="n">
        <f aca="false">-($D$387+$J$387)*(AP$5=0)+IF(AND(AP$5-$K$387&gt;=1,AP$5-$K$387&lt;=Inputs!$C$13),INDEX($N$390:$AL$390,1,AP$5-$K$387+1)*INDEX($N$391:$AL$391,1,AP$5-$K$387+1),0)-$I$387*((AP$5=Inputs!$C$12)*$C$389*$D$387+(AP$5=Inputs!$C$13)*$D$389*($D$387+Inputs!$C$14))+$I$387*((AP$5=Inputs!$C$15+$K$387)*$E$389*$I$389+(AP$5=Inputs!$C$16+$K$387)*$F$389*$J$389+(AP$5=Inputs!$C$17)*$G$389*$H$387*$H$389)</f>
        <v>2087.325</v>
      </c>
      <c r="AQ392" s="42" t="n">
        <f aca="false">-($D$387+$J$387)*(AQ$5=0)+IF(AND(AQ$5-$K$387&gt;=1,AQ$5-$K$387&lt;=Inputs!$C$13),INDEX($N$390:$AL$390,1,AQ$5-$K$387+1)*INDEX($N$391:$AL$391,1,AQ$5-$K$387+1),0)-$I$387*((AQ$5=Inputs!$C$12)*$C$389*$D$387+(AQ$5=Inputs!$C$13)*$D$389*($D$387+Inputs!$C$14))+$I$387*((AQ$5=Inputs!$C$15+$K$387)*$E$389*$I$389+(AQ$5=Inputs!$C$16+$K$387)*$F$389*$J$389+(AQ$5=Inputs!$C$17)*$G$389*$H$387*$H$389)</f>
        <v>0</v>
      </c>
      <c r="AR392" s="42" t="n">
        <f aca="false">-($D$387+$J$387)*(AR$5=0)+IF(AND(AR$5-$K$387&gt;=1,AR$5-$K$387&lt;=Inputs!$C$13),INDEX($N$390:$AL$390,1,AR$5-$K$387+1)*INDEX($N$391:$AL$391,1,AR$5-$K$387+1),0)-$I$387*((AR$5=Inputs!$C$12)*$C$389*$D$387+(AR$5=Inputs!$C$13)*$D$389*($D$387+Inputs!$C$14))+$I$387*((AR$5=Inputs!$C$15+$K$387)*$E$389*$I$389+(AR$5=Inputs!$C$16+$K$387)*$F$389*$J$389+(AR$5=Inputs!$C$17)*$G$389*$H$387*$H$389)</f>
        <v>0</v>
      </c>
      <c r="AS392" s="42" t="n">
        <f aca="false">-($D$387+$J$387)*(AS$5=0)+IF(AND(AS$5-$K$387&gt;=1,AS$5-$K$387&lt;=Inputs!$C$13),INDEX($N$390:$AL$390,1,AS$5-$K$387+1)*INDEX($N$391:$AL$391,1,AS$5-$K$387+1),0)-$I$387*((AS$5=Inputs!$C$12)*$C$389*$D$387+(AS$5=Inputs!$C$13)*$D$389*($D$387+Inputs!$C$14))+$I$387*((AS$5=Inputs!$C$15+$K$387)*$E$389*$I$389+(AS$5=Inputs!$C$16+$K$387)*$F$389*$J$389+(AS$5=Inputs!$C$17)*$G$389*$H$387*$H$389)</f>
        <v>1147.44</v>
      </c>
      <c r="AT392" s="42" t="n">
        <f aca="false">-($D$387+$J$387)*(AT$5=0)+IF(AND(AT$5-$K$387&gt;=1,AT$5-$K$387&lt;=Inputs!$C$13),INDEX($N$390:$AL$390,1,AT$5-$K$387+1)*INDEX($N$391:$AL$391,1,AT$5-$K$387+1),0)-$I$387*((AT$5=Inputs!$C$12)*$C$389*$D$387+(AT$5=Inputs!$C$13)*$D$389*($D$387+Inputs!$C$14))+$I$387*((AT$5=Inputs!$C$15+$K$387)*$E$389*$I$389+(AT$5=Inputs!$C$16+$K$387)*$F$389*$J$389+(AT$5=Inputs!$C$17)*$G$389*$H$387*$H$389)</f>
        <v>0</v>
      </c>
      <c r="AU392" s="42" t="n">
        <f aca="false">-($D$387+$J$387)*(AU$5=0)+IF(AND(AU$5-$K$387&gt;=1,AU$5-$K$387&lt;=Inputs!$C$13),INDEX($N$390:$AL$390,1,AU$5-$K$387+1)*INDEX($N$391:$AL$391,1,AU$5-$K$387+1),0)-$I$387*((AU$5=Inputs!$C$12)*$C$389*$D$387+(AU$5=Inputs!$C$13)*$D$389*($D$387+Inputs!$C$14))+$I$387*((AU$5=Inputs!$C$15+$K$387)*$E$389*$I$389+(AU$5=Inputs!$C$16+$K$387)*$F$389*$J$389+(AU$5=Inputs!$C$17)*$G$389*$H$387*$H$389)</f>
        <v>0</v>
      </c>
      <c r="AV392" s="42" t="n">
        <f aca="false">-($D$387+$J$387)*(AV$5=0)+IF(AND(AV$5-$K$387&gt;=1,AV$5-$K$387&lt;=Inputs!$C$13),INDEX($N$390:$AL$390,1,AV$5-$K$387+1)*INDEX($N$391:$AL$391,1,AV$5-$K$387+1),0)-$I$387*((AV$5=Inputs!$C$12)*$C$389*$D$387+(AV$5=Inputs!$C$13)*$D$389*($D$387+Inputs!$C$14))+$I$387*((AV$5=Inputs!$C$15+$K$387)*$E$389*$I$389+(AV$5=Inputs!$C$16+$K$387)*$F$389*$J$389+(AV$5=Inputs!$C$17)*$G$389*$H$387*$H$389)</f>
        <v>0</v>
      </c>
      <c r="AW392" s="42" t="n">
        <f aca="false">-($D$387+$J$387)*(AW$5=0)+IF(AND(AW$5-$K$387&gt;=1,AW$5-$K$387&lt;=Inputs!$C$13),INDEX($N$390:$AL$390,1,AW$5-$K$387+1)*INDEX($N$391:$AL$391,1,AW$5-$K$387+1),0)-$I$387*((AW$5=Inputs!$C$12)*$C$389*$D$387+(AW$5=Inputs!$C$13)*$D$389*($D$387+Inputs!$C$14))+$I$387*((AW$5=Inputs!$C$15+$K$387)*$E$389*$I$389+(AW$5=Inputs!$C$16+$K$387)*$F$389*$J$389+(AW$5=Inputs!$C$17)*$G$389*$H$387*$H$389)</f>
        <v>0</v>
      </c>
      <c r="AX392" s="42" t="n">
        <f aca="false">-($D$387+$J$387)*(AX$5=0)+IF(AND(AX$5-$K$387&gt;=1,AX$5-$K$387&lt;=Inputs!$C$13),INDEX($N$390:$AL$390,1,AX$5-$K$387+1)*INDEX($N$391:$AL$391,1,AX$5-$K$387+1),0)-$I$387*((AX$5=Inputs!$C$12)*$C$389*$D$387+(AX$5=Inputs!$C$13)*$D$389*($D$387+Inputs!$C$14))+$I$387*((AX$5=Inputs!$C$15+$K$387)*$E$389*$I$389+(AX$5=Inputs!$C$16+$K$387)*$F$389*$J$389+(AX$5=Inputs!$C$17)*$G$389*$H$387*$H$389)</f>
        <v>218.16</v>
      </c>
      <c r="AY392" s="42" t="n">
        <f aca="false">-($D$387+$J$387)*(AY$5=0)+IF(AND(AY$5-$K$387&gt;=1,AY$5-$K$387&lt;=Inputs!$C$13),INDEX($N$390:$AL$390,1,AY$5-$K$387+1)*INDEX($N$391:$AL$391,1,AY$5-$K$387+1),0)-$I$387*((AY$5=Inputs!$C$12)*$C$389*$D$387+(AY$5=Inputs!$C$13)*$D$389*($D$387+Inputs!$C$14))+$I$387*((AY$5=Inputs!$C$15+$K$387)*$E$389*$I$389+(AY$5=Inputs!$C$16+$K$387)*$F$389*$J$389+(AY$5=Inputs!$C$17)*$G$389*$H$387*$H$389)</f>
        <v>0</v>
      </c>
    </row>
    <row r="394" customFormat="false" ht="15" hidden="false" customHeight="false" outlineLevel="0" collapsed="false">
      <c r="B394" s="7" t="s">
        <v>284</v>
      </c>
      <c r="C394" s="8"/>
      <c r="D394" s="8"/>
      <c r="E394" s="8"/>
      <c r="F394" s="8"/>
      <c r="G394" s="8"/>
      <c r="H394" s="8"/>
      <c r="I394" s="8"/>
      <c r="J394" s="8"/>
      <c r="K394" s="8"/>
      <c r="L394" s="8"/>
    </row>
    <row r="395" customFormat="false" ht="30" hidden="false" customHeight="true" outlineLevel="0" collapsed="false">
      <c r="B395" s="37"/>
      <c r="C395" s="38" t="s">
        <v>169</v>
      </c>
      <c r="D395" s="38" t="s">
        <v>170</v>
      </c>
      <c r="E395" s="38" t="s">
        <v>171</v>
      </c>
      <c r="F395" s="38" t="s">
        <v>43</v>
      </c>
      <c r="G395" s="38" t="s">
        <v>44</v>
      </c>
      <c r="H395" s="38" t="s">
        <v>45</v>
      </c>
      <c r="I395" s="38" t="s">
        <v>172</v>
      </c>
      <c r="J395" s="38" t="s">
        <v>90</v>
      </c>
      <c r="K395" s="38" t="s">
        <v>89</v>
      </c>
      <c r="L395" s="38" t="s">
        <v>173</v>
      </c>
    </row>
    <row r="396" customFormat="false" ht="15" hidden="false" customHeight="false" outlineLevel="0" collapsed="false">
      <c r="B396" s="39" t="s">
        <v>174</v>
      </c>
      <c r="C396" s="26" t="n">
        <f aca="false">Inputs!$F$42*Inputs!$E$63</f>
        <v>0.13</v>
      </c>
      <c r="D396" s="30" t="n">
        <f aca="false">Inputs!$E$42</f>
        <v>1600</v>
      </c>
      <c r="E396" s="26" t="n">
        <f aca="false">IF(Inputs!$G$42=1,Inputs!$F$27,MIN(1,MAX(0,INDEX(Inputs!$F$23:$F$27,MATCH(Inputs!$C$42,Inputs!$B$23:$B$27,0))+INDEX(Inputs!$C$48:$C$51,MATCH(Inputs!$D$63,Inputs!$B$48:$B$51,0)))))</f>
        <v>0.8</v>
      </c>
      <c r="F396" s="25" t="n">
        <f aca="false">IF(Inputs!$G$42=1,Inputs!$G$27,INDEX(Inputs!$G$23:$G$27,MATCH(Inputs!$C$42,Inputs!$B$23:$B$27,0)))</f>
        <v>0.4</v>
      </c>
      <c r="G396" s="25" t="n">
        <f aca="false">IF(Inputs!$G$42=1,Inputs!$H$27,INDEX(Inputs!$H$23:$H$27,MATCH(Inputs!$C$42,Inputs!$B$23:$B$27,0)))*INDEX(Inputs!$D$48:$D$51,MATCH(Inputs!$D$63,Inputs!$B$48:$B$51,0))</f>
        <v>0.5</v>
      </c>
      <c r="H396" s="25" t="n">
        <f aca="false">MAX(0,IF(Inputs!$G$42=1,Inputs!$I$27,INDEX(Inputs!$I$23:$I$27,MATCH(Inputs!$C$42,Inputs!$B$23:$B$27,0)))+INDEX(Inputs!$E$48:$E$51,MATCH(Inputs!$D$63,Inputs!$B$48:$B$51,0)))</f>
        <v>0.7</v>
      </c>
      <c r="I396" s="22" t="n">
        <f aca="false">IF(Inputs!$G$42=1,0,INDEX(Inputs!$J$23:$J$27,MATCH(Inputs!$C$42,Inputs!$B$23:$B$27,0)))</f>
        <v>1</v>
      </c>
      <c r="J396" s="23" t="n">
        <f aca="false">Inputs!$G$63</f>
        <v>0</v>
      </c>
      <c r="K396" s="22" t="n">
        <f aca="false">Inputs!$F$63</f>
        <v>1</v>
      </c>
      <c r="L396" s="22" t="n">
        <f aca="false">Inputs!$C$63</f>
        <v>1</v>
      </c>
    </row>
    <row r="397" customFormat="false" ht="30" hidden="false" customHeight="true" outlineLevel="0" collapsed="false">
      <c r="B397" s="37"/>
      <c r="C397" s="38" t="s">
        <v>175</v>
      </c>
      <c r="D397" s="38" t="s">
        <v>176</v>
      </c>
      <c r="E397" s="38" t="s">
        <v>177</v>
      </c>
      <c r="F397" s="38" t="s">
        <v>178</v>
      </c>
      <c r="G397" s="38" t="s">
        <v>112</v>
      </c>
      <c r="H397" s="38" t="s">
        <v>179</v>
      </c>
      <c r="I397" s="38" t="s">
        <v>180</v>
      </c>
      <c r="J397" s="38" t="s">
        <v>181</v>
      </c>
      <c r="K397" s="38" t="s">
        <v>182</v>
      </c>
      <c r="L397" s="38" t="s">
        <v>183</v>
      </c>
    </row>
    <row r="398" customFormat="false" ht="15" hidden="false" customHeight="false" outlineLevel="0" collapsed="false">
      <c r="B398" s="39" t="s">
        <v>184</v>
      </c>
      <c r="C398" s="40" t="n">
        <f aca="false">1-$E$396*CHOOSE($L$396,INDEX(Timing!$C$7:$AA$7,1,Inputs!$C$12+1),INDEX(Timing!$C$8:$AA$8,1,Inputs!$C$12+1))</f>
        <v>0.392</v>
      </c>
      <c r="D398" s="40" t="n">
        <f aca="false">1-$E$396*CHOOSE($L$396,INDEX(Timing!$C$7:$AA$7,1,Inputs!$C$13+1),INDEX(Timing!$C$8:$AA$8,1,Inputs!$C$13+1))</f>
        <v>0.2</v>
      </c>
      <c r="E398" s="40" t="n">
        <f aca="false">$I$396*$D$398*$F$396</f>
        <v>0.08</v>
      </c>
      <c r="F398" s="40" t="n">
        <f aca="false">$I$396*($D$398-$E$398)*$G$396</f>
        <v>0.06</v>
      </c>
      <c r="G398" s="40" t="n">
        <f aca="false">$I$396*($D$398-$E$398-$F$398)</f>
        <v>0.06</v>
      </c>
      <c r="H398" s="23" t="n">
        <f aca="false">$I$396*(3*$D$396+Inputs!$C$14)</f>
        <v>6600</v>
      </c>
      <c r="I398" s="23" t="n">
        <f aca="false">$I$396*($D$396*(1+IF($C$396&lt;=0,0,MAX($C$396*Inputs!$C$15/12,Inputs!$C$8)))+$D$396*(1+Inputs!$C$11*(Inputs!$C$15-Inputs!$C$12)/12)+$D$396*(1+Inputs!$C$11*(Inputs!$C$15-Inputs!$C$13)/12)+Inputs!$C$14)</f>
        <v>7500</v>
      </c>
      <c r="J398" s="23" t="n">
        <f aca="false">$I$396*($D$396*(1+IF($C$396&lt;=0,0,MAX($C$396*Inputs!$C$16/12,Inputs!$C$8)))+$D$396*(1+Inputs!$C$11*(Inputs!$C$16-Inputs!$C$12)/12)+$D$396*(1+Inputs!$C$11*(Inputs!$C$16-Inputs!$C$13)/12)+Inputs!$C$14)</f>
        <v>7696</v>
      </c>
      <c r="K398" s="40" t="n">
        <f aca="false">IRR($N$401:$AY$401,0.005)</f>
        <v>0.00502186298561818</v>
      </c>
      <c r="L398" s="41" t="n">
        <f aca="false">(1+$K$398)^12-1</f>
        <v>0.0619549966303594</v>
      </c>
    </row>
    <row r="399" customFormat="false" ht="15" hidden="false" customHeight="false" outlineLevel="0" collapsed="false">
      <c r="B399" s="9" t="s">
        <v>185</v>
      </c>
      <c r="N399" s="40" t="n">
        <f aca="false">0</f>
        <v>0</v>
      </c>
      <c r="O399" s="40" t="n">
        <f aca="false">$E$396*(CHOOSE($L$396,Timing!D$7,Timing!D$8)-CHOOSE($L$396,Timing!C$7,Timing!C$8))</f>
        <v>0.096</v>
      </c>
      <c r="P399" s="40" t="n">
        <f aca="false">$E$396*(CHOOSE($L$396,Timing!E$7,Timing!E$8)-CHOOSE($L$396,Timing!D$7,Timing!D$8))</f>
        <v>0.08</v>
      </c>
      <c r="Q399" s="40" t="n">
        <f aca="false">$E$396*(CHOOSE($L$396,Timing!F$7,Timing!F$8)-CHOOSE($L$396,Timing!E$7,Timing!E$8))</f>
        <v>0.072</v>
      </c>
      <c r="R399" s="40" t="n">
        <f aca="false">$E$396*(CHOOSE($L$396,Timing!G$7,Timing!G$8)-CHOOSE($L$396,Timing!F$7,Timing!F$8))</f>
        <v>0.056</v>
      </c>
      <c r="S399" s="40" t="n">
        <f aca="false">$E$396*(CHOOSE($L$396,Timing!H$7,Timing!H$8)-CHOOSE($L$396,Timing!G$7,Timing!G$8))</f>
        <v>0.056</v>
      </c>
      <c r="T399" s="40" t="n">
        <f aca="false">$E$396*(CHOOSE($L$396,Timing!I$7,Timing!I$8)-CHOOSE($L$396,Timing!H$7,Timing!H$8))</f>
        <v>0.056</v>
      </c>
      <c r="U399" s="40" t="n">
        <f aca="false">$E$396*(CHOOSE($L$396,Timing!J$7,Timing!J$8)-CHOOSE($L$396,Timing!I$7,Timing!I$8))</f>
        <v>0.0346666666666667</v>
      </c>
      <c r="V399" s="40" t="n">
        <f aca="false">$E$396*(CHOOSE($L$396,Timing!K$7,Timing!K$8)-CHOOSE($L$396,Timing!J$7,Timing!J$8))</f>
        <v>0.0346666666666667</v>
      </c>
      <c r="W399" s="40" t="n">
        <f aca="false">$E$396*(CHOOSE($L$396,Timing!L$7,Timing!L$8)-CHOOSE($L$396,Timing!K$7,Timing!K$8))</f>
        <v>0.0346666666666667</v>
      </c>
      <c r="X399" s="40" t="n">
        <f aca="false">$E$396*(CHOOSE($L$396,Timing!M$7,Timing!M$8)-CHOOSE($L$396,Timing!L$7,Timing!L$8))</f>
        <v>0.0293333333333333</v>
      </c>
      <c r="Y399" s="40" t="n">
        <f aca="false">$E$396*(CHOOSE($L$396,Timing!N$7,Timing!N$8)-CHOOSE($L$396,Timing!M$7,Timing!M$8))</f>
        <v>0.0293333333333334</v>
      </c>
      <c r="Z399" s="40" t="n">
        <f aca="false">$E$396*(CHOOSE($L$396,Timing!O$7,Timing!O$8)-CHOOSE($L$396,Timing!N$7,Timing!N$8))</f>
        <v>0.0293333333333333</v>
      </c>
      <c r="AA399" s="40" t="n">
        <f aca="false">$E$396*(CHOOSE($L$396,Timing!P$7,Timing!P$8)-CHOOSE($L$396,Timing!O$7,Timing!O$8))</f>
        <v>0.0186666666666667</v>
      </c>
      <c r="AB399" s="40" t="n">
        <f aca="false">$E$396*(CHOOSE($L$396,Timing!Q$7,Timing!Q$8)-CHOOSE($L$396,Timing!P$7,Timing!P$8))</f>
        <v>0.0186666666666667</v>
      </c>
      <c r="AC399" s="40" t="n">
        <f aca="false">$E$396*(CHOOSE($L$396,Timing!R$7,Timing!R$8)-CHOOSE($L$396,Timing!Q$7,Timing!Q$8))</f>
        <v>0.0186666666666667</v>
      </c>
      <c r="AD399" s="40" t="n">
        <f aca="false">$E$396*(CHOOSE($L$396,Timing!S$7,Timing!S$8)-CHOOSE($L$396,Timing!R$7,Timing!R$8))</f>
        <v>0.0186666666666667</v>
      </c>
      <c r="AE399" s="40" t="n">
        <f aca="false">$E$396*(CHOOSE($L$396,Timing!T$7,Timing!T$8)-CHOOSE($L$396,Timing!S$7,Timing!S$8))</f>
        <v>0.0186666666666667</v>
      </c>
      <c r="AF399" s="40" t="n">
        <f aca="false">$E$396*(CHOOSE($L$396,Timing!U$7,Timing!U$8)-CHOOSE($L$396,Timing!T$7,Timing!T$8))</f>
        <v>0.0186666666666667</v>
      </c>
      <c r="AG399" s="40" t="n">
        <f aca="false">$E$396*(CHOOSE($L$396,Timing!V$7,Timing!V$8)-CHOOSE($L$396,Timing!U$7,Timing!U$8))</f>
        <v>0.0133333333333334</v>
      </c>
      <c r="AH399" s="40" t="n">
        <f aca="false">$E$396*(CHOOSE($L$396,Timing!W$7,Timing!W$8)-CHOOSE($L$396,Timing!V$7,Timing!V$8))</f>
        <v>0.0133333333333333</v>
      </c>
      <c r="AI399" s="40" t="n">
        <f aca="false">$E$396*(CHOOSE($L$396,Timing!X$7,Timing!X$8)-CHOOSE($L$396,Timing!W$7,Timing!W$8))</f>
        <v>0.0133333333333333</v>
      </c>
      <c r="AJ399" s="40" t="n">
        <f aca="false">$E$396*(CHOOSE($L$396,Timing!Y$7,Timing!Y$8)-CHOOSE($L$396,Timing!X$7,Timing!X$8))</f>
        <v>0.0133333333333334</v>
      </c>
      <c r="AK399" s="40" t="n">
        <f aca="false">$E$396*(CHOOSE($L$396,Timing!Z$7,Timing!Z$8)-CHOOSE($L$396,Timing!Y$7,Timing!Y$8))</f>
        <v>0.0133333333333334</v>
      </c>
      <c r="AL399" s="40" t="n">
        <f aca="false">$E$396*(CHOOSE($L$396,Timing!AA$7,Timing!AA$8)-CHOOSE($L$396,Timing!Z$7,Timing!Z$8))</f>
        <v>0.0133333333333333</v>
      </c>
    </row>
    <row r="400" customFormat="false" ht="15" hidden="false" customHeight="false" outlineLevel="0" collapsed="false">
      <c r="B400" s="9" t="s">
        <v>186</v>
      </c>
      <c r="N400" s="42" t="n">
        <f aca="false">0</f>
        <v>0</v>
      </c>
      <c r="O400" s="42" t="n">
        <f aca="false">$D$396*(1+IF($C$396&lt;=0,0,MAX($C$396*O$5/12,Inputs!$C$8)))+$I$396*(O$5&gt;Inputs!$C$12)*$D$396*(1+Inputs!$C$11*(O$5-Inputs!$C$12)/12)</f>
        <v>1680</v>
      </c>
      <c r="P400" s="42" t="n">
        <f aca="false">$D$396*(1+IF($C$396&lt;=0,0,MAX($C$396*P$5/12,Inputs!$C$8)))+$I$396*(P$5&gt;Inputs!$C$12)*$D$396*(1+Inputs!$C$11*(P$5-Inputs!$C$12)/12)</f>
        <v>1680</v>
      </c>
      <c r="Q400" s="42" t="n">
        <f aca="false">$D$396*(1+IF($C$396&lt;=0,0,MAX($C$396*Q$5/12,Inputs!$C$8)))+$I$396*(Q$5&gt;Inputs!$C$12)*$D$396*(1+Inputs!$C$11*(Q$5-Inputs!$C$12)/12)</f>
        <v>1680</v>
      </c>
      <c r="R400" s="42" t="n">
        <f aca="false">$D$396*(1+IF($C$396&lt;=0,0,MAX($C$396*R$5/12,Inputs!$C$8)))+$I$396*(R$5&gt;Inputs!$C$12)*$D$396*(1+Inputs!$C$11*(R$5-Inputs!$C$12)/12)</f>
        <v>1680</v>
      </c>
      <c r="S400" s="42" t="n">
        <f aca="false">$D$396*(1+IF($C$396&lt;=0,0,MAX($C$396*S$5/12,Inputs!$C$8)))+$I$396*(S$5&gt;Inputs!$C$12)*$D$396*(1+Inputs!$C$11*(S$5-Inputs!$C$12)/12)</f>
        <v>1686.66666666667</v>
      </c>
      <c r="T400" s="42" t="n">
        <f aca="false">$D$396*(1+IF($C$396&lt;=0,0,MAX($C$396*T$5/12,Inputs!$C$8)))+$I$396*(T$5&gt;Inputs!$C$12)*$D$396*(1+Inputs!$C$11*(T$5-Inputs!$C$12)/12)</f>
        <v>1704</v>
      </c>
      <c r="U400" s="42" t="n">
        <f aca="false">$D$396*(1+IF($C$396&lt;=0,0,MAX($C$396*U$5/12,Inputs!$C$8)))+$I$396*(U$5&gt;Inputs!$C$12)*$D$396*(1+Inputs!$C$11*(U$5-Inputs!$C$12)/12)</f>
        <v>1721.33333333333</v>
      </c>
      <c r="V400" s="42" t="n">
        <f aca="false">$D$396*(1+IF($C$396&lt;=0,0,MAX($C$396*V$5/12,Inputs!$C$8)))+$I$396*(V$5&gt;Inputs!$C$12)*$D$396*(1+Inputs!$C$11*(V$5-Inputs!$C$12)/12)</f>
        <v>1738.66666666667</v>
      </c>
      <c r="W400" s="42" t="n">
        <f aca="false">$D$396*(1+IF($C$396&lt;=0,0,MAX($C$396*W$5/12,Inputs!$C$8)))+$I$396*(W$5&gt;Inputs!$C$12)*$D$396*(1+Inputs!$C$11*(W$5-Inputs!$C$12)/12)</f>
        <v>1756</v>
      </c>
      <c r="X400" s="42" t="n">
        <f aca="false">$D$396*(1+IF($C$396&lt;=0,0,MAX($C$396*X$5/12,Inputs!$C$8)))+$I$396*(X$5&gt;Inputs!$C$12)*$D$396*(1+Inputs!$C$11*(X$5-Inputs!$C$12)/12)</f>
        <v>1773.33333333333</v>
      </c>
      <c r="Y400" s="42" t="n">
        <f aca="false">$D$396*(1+IF($C$396&lt;=0,0,MAX($C$396*Y$5/12,Inputs!$C$8)))+$I$396*(Y$5&gt;Inputs!$C$12)*$D$396*(1+Inputs!$C$11*(Y$5-Inputs!$C$12)/12)</f>
        <v>1790.66666666667</v>
      </c>
      <c r="Z400" s="42" t="n">
        <f aca="false">$D$396*(1+IF($C$396&lt;=0,0,MAX($C$396*Z$5/12,Inputs!$C$8)))+$I$396*(Z$5&gt;Inputs!$C$12)*$D$396*(1+Inputs!$C$11*(Z$5-Inputs!$C$12)/12)</f>
        <v>1808</v>
      </c>
      <c r="AA400" s="42" t="n">
        <f aca="false">$D$396*(1+IF($C$396&lt;=0,0,MAX($C$396*AA$5/12,Inputs!$C$8)))+$I$396*(AA$5&gt;Inputs!$C$12)*$D$396*(1+Inputs!$C$11*(AA$5-Inputs!$C$12)/12)</f>
        <v>3449.33333333333</v>
      </c>
      <c r="AB400" s="42" t="n">
        <f aca="false">$D$396*(1+IF($C$396&lt;=0,0,MAX($C$396*AB$5/12,Inputs!$C$8)))+$I$396*(AB$5&gt;Inputs!$C$12)*$D$396*(1+Inputs!$C$11*(AB$5-Inputs!$C$12)/12)</f>
        <v>3490.66666666667</v>
      </c>
      <c r="AC400" s="42" t="n">
        <f aca="false">$D$396*(1+IF($C$396&lt;=0,0,MAX($C$396*AC$5/12,Inputs!$C$8)))+$I$396*(AC$5&gt;Inputs!$C$12)*$D$396*(1+Inputs!$C$11*(AC$5-Inputs!$C$12)/12)</f>
        <v>3532</v>
      </c>
      <c r="AD400" s="42" t="n">
        <f aca="false">$D$396*(1+IF($C$396&lt;=0,0,MAX($C$396*AD$5/12,Inputs!$C$8)))+$I$396*(AD$5&gt;Inputs!$C$12)*$D$396*(1+Inputs!$C$11*(AD$5-Inputs!$C$12)/12)</f>
        <v>3573.33333333333</v>
      </c>
      <c r="AE400" s="42" t="n">
        <f aca="false">$D$396*(1+IF($C$396&lt;=0,0,MAX($C$396*AE$5/12,Inputs!$C$8)))+$I$396*(AE$5&gt;Inputs!$C$12)*$D$396*(1+Inputs!$C$11*(AE$5-Inputs!$C$12)/12)</f>
        <v>3614.66666666667</v>
      </c>
      <c r="AF400" s="42" t="n">
        <f aca="false">$D$396*(1+IF($C$396&lt;=0,0,MAX($C$396*AF$5/12,Inputs!$C$8)))+$I$396*(AF$5&gt;Inputs!$C$12)*$D$396*(1+Inputs!$C$11*(AF$5-Inputs!$C$12)/12)</f>
        <v>3656</v>
      </c>
      <c r="AG400" s="42" t="n">
        <f aca="false">$D$396*(1+IF($C$396&lt;=0,0,MAX($C$396*AG$5/12,Inputs!$C$8)))+$I$396*(AG$5&gt;Inputs!$C$12)*$D$396*(1+Inputs!$C$11*(AG$5-Inputs!$C$12)/12)</f>
        <v>3697.33333333333</v>
      </c>
      <c r="AH400" s="42" t="n">
        <f aca="false">$D$396*(1+IF($C$396&lt;=0,0,MAX($C$396*AH$5/12,Inputs!$C$8)))+$I$396*(AH$5&gt;Inputs!$C$12)*$D$396*(1+Inputs!$C$11*(AH$5-Inputs!$C$12)/12)</f>
        <v>3738.66666666667</v>
      </c>
      <c r="AI400" s="42" t="n">
        <f aca="false">$D$396*(1+IF($C$396&lt;=0,0,MAX($C$396*AI$5/12,Inputs!$C$8)))+$I$396*(AI$5&gt;Inputs!$C$12)*$D$396*(1+Inputs!$C$11*(AI$5-Inputs!$C$12)/12)</f>
        <v>3780</v>
      </c>
      <c r="AJ400" s="42" t="n">
        <f aca="false">$D$396*(1+IF($C$396&lt;=0,0,MAX($C$396*AJ$5/12,Inputs!$C$8)))+$I$396*(AJ$5&gt;Inputs!$C$12)*$D$396*(1+Inputs!$C$11*(AJ$5-Inputs!$C$12)/12)</f>
        <v>3821.33333333333</v>
      </c>
      <c r="AK400" s="42" t="n">
        <f aca="false">$D$396*(1+IF($C$396&lt;=0,0,MAX($C$396*AK$5/12,Inputs!$C$8)))+$I$396*(AK$5&gt;Inputs!$C$12)*$D$396*(1+Inputs!$C$11*(AK$5-Inputs!$C$12)/12)</f>
        <v>3862.66666666667</v>
      </c>
      <c r="AL400" s="42" t="n">
        <f aca="false">$D$396*(1+IF($C$396&lt;=0,0,MAX($C$396*AL$5/12,Inputs!$C$8)))+$I$396*(AL$5&gt;Inputs!$C$12)*$D$396*(1+Inputs!$C$11*(AL$5-Inputs!$C$12)/12)</f>
        <v>3904</v>
      </c>
    </row>
    <row r="401" customFormat="false" ht="15" hidden="false" customHeight="false" outlineLevel="0" collapsed="false">
      <c r="B401" s="31" t="s">
        <v>187</v>
      </c>
      <c r="N401" s="42" t="n">
        <f aca="false">-($D$396+$J$396)*(N$5=0)+IF(AND(N$5-$K$396&gt;=1,N$5-$K$396&lt;=Inputs!$C$13),INDEX($N$399:$AL$399,1,N$5-$K$396+1)*INDEX($N$400:$AL$400,1,N$5-$K$396+1),0)-$I$396*((N$5=Inputs!$C$12)*$C$398*$D$396+(N$5=Inputs!$C$13)*$D$398*($D$396+Inputs!$C$14))+$I$396*((N$5=Inputs!$C$15+$K$396)*$E$398*$I$398+(N$5=Inputs!$C$16+$K$396)*$F$398*$J$398+(N$5=Inputs!$C$17)*$G$398*$H$396*$H$398)</f>
        <v>-1600</v>
      </c>
      <c r="O401" s="42" t="n">
        <f aca="false">-($D$396+$J$396)*(O$5=0)+IF(AND(O$5-$K$396&gt;=1,O$5-$K$396&lt;=Inputs!$C$13),INDEX($N$399:$AL$399,1,O$5-$K$396+1)*INDEX($N$400:$AL$400,1,O$5-$K$396+1),0)-$I$396*((O$5=Inputs!$C$12)*$C$398*$D$396+(O$5=Inputs!$C$13)*$D$398*($D$396+Inputs!$C$14))+$I$396*((O$5=Inputs!$C$15+$K$396)*$E$398*$I$398+(O$5=Inputs!$C$16+$K$396)*$F$398*$J$398+(O$5=Inputs!$C$17)*$G$398*$H$396*$H$398)</f>
        <v>0</v>
      </c>
      <c r="P401" s="42" t="n">
        <f aca="false">-($D$396+$J$396)*(P$5=0)+IF(AND(P$5-$K$396&gt;=1,P$5-$K$396&lt;=Inputs!$C$13),INDEX($N$399:$AL$399,1,P$5-$K$396+1)*INDEX($N$400:$AL$400,1,P$5-$K$396+1),0)-$I$396*((P$5=Inputs!$C$12)*$C$398*$D$396+(P$5=Inputs!$C$13)*$D$398*($D$396+Inputs!$C$14))+$I$396*((P$5=Inputs!$C$15+$K$396)*$E$398*$I$398+(P$5=Inputs!$C$16+$K$396)*$F$398*$J$398+(P$5=Inputs!$C$17)*$G$398*$H$396*$H$398)</f>
        <v>161.28</v>
      </c>
      <c r="Q401" s="42" t="n">
        <f aca="false">-($D$396+$J$396)*(Q$5=0)+IF(AND(Q$5-$K$396&gt;=1,Q$5-$K$396&lt;=Inputs!$C$13),INDEX($N$399:$AL$399,1,Q$5-$K$396+1)*INDEX($N$400:$AL$400,1,Q$5-$K$396+1),0)-$I$396*((Q$5=Inputs!$C$12)*$C$398*$D$396+(Q$5=Inputs!$C$13)*$D$398*($D$396+Inputs!$C$14))+$I$396*((Q$5=Inputs!$C$15+$K$396)*$E$398*$I$398+(Q$5=Inputs!$C$16+$K$396)*$F$398*$J$398+(Q$5=Inputs!$C$17)*$G$398*$H$396*$H$398)</f>
        <v>134.4</v>
      </c>
      <c r="R401" s="42" t="n">
        <f aca="false">-($D$396+$J$396)*(R$5=0)+IF(AND(R$5-$K$396&gt;=1,R$5-$K$396&lt;=Inputs!$C$13),INDEX($N$399:$AL$399,1,R$5-$K$396+1)*INDEX($N$400:$AL$400,1,R$5-$K$396+1),0)-$I$396*((R$5=Inputs!$C$12)*$C$398*$D$396+(R$5=Inputs!$C$13)*$D$398*($D$396+Inputs!$C$14))+$I$396*((R$5=Inputs!$C$15+$K$396)*$E$398*$I$398+(R$5=Inputs!$C$16+$K$396)*$F$398*$J$398+(R$5=Inputs!$C$17)*$G$398*$H$396*$H$398)</f>
        <v>120.96</v>
      </c>
      <c r="S401" s="42" t="n">
        <f aca="false">-($D$396+$J$396)*(S$5=0)+IF(AND(S$5-$K$396&gt;=1,S$5-$K$396&lt;=Inputs!$C$13),INDEX($N$399:$AL$399,1,S$5-$K$396+1)*INDEX($N$400:$AL$400,1,S$5-$K$396+1),0)-$I$396*((S$5=Inputs!$C$12)*$C$398*$D$396+(S$5=Inputs!$C$13)*$D$398*($D$396+Inputs!$C$14))+$I$396*((S$5=Inputs!$C$15+$K$396)*$E$398*$I$398+(S$5=Inputs!$C$16+$K$396)*$F$398*$J$398+(S$5=Inputs!$C$17)*$G$398*$H$396*$H$398)</f>
        <v>94.08</v>
      </c>
      <c r="T401" s="42" t="n">
        <f aca="false">-($D$396+$J$396)*(T$5=0)+IF(AND(T$5-$K$396&gt;=1,T$5-$K$396&lt;=Inputs!$C$13),INDEX($N$399:$AL$399,1,T$5-$K$396+1)*INDEX($N$400:$AL$400,1,T$5-$K$396+1),0)-$I$396*((T$5=Inputs!$C$12)*$C$398*$D$396+(T$5=Inputs!$C$13)*$D$398*($D$396+Inputs!$C$14))+$I$396*((T$5=Inputs!$C$15+$K$396)*$E$398*$I$398+(T$5=Inputs!$C$16+$K$396)*$F$398*$J$398+(T$5=Inputs!$C$17)*$G$398*$H$396*$H$398)</f>
        <v>94.4533333333334</v>
      </c>
      <c r="U401" s="42" t="n">
        <f aca="false">-($D$396+$J$396)*(U$5=0)+IF(AND(U$5-$K$396&gt;=1,U$5-$K$396&lt;=Inputs!$C$13),INDEX($N$399:$AL$399,1,U$5-$K$396+1)*INDEX($N$400:$AL$400,1,U$5-$K$396+1),0)-$I$396*((U$5=Inputs!$C$12)*$C$398*$D$396+(U$5=Inputs!$C$13)*$D$398*($D$396+Inputs!$C$14))+$I$396*((U$5=Inputs!$C$15+$K$396)*$E$398*$I$398+(U$5=Inputs!$C$16+$K$396)*$F$398*$J$398+(U$5=Inputs!$C$17)*$G$398*$H$396*$H$398)</f>
        <v>95.424</v>
      </c>
      <c r="V401" s="42" t="n">
        <f aca="false">-($D$396+$J$396)*(V$5=0)+IF(AND(V$5-$K$396&gt;=1,V$5-$K$396&lt;=Inputs!$C$13),INDEX($N$399:$AL$399,1,V$5-$K$396+1)*INDEX($N$400:$AL$400,1,V$5-$K$396+1),0)-$I$396*((V$5=Inputs!$C$12)*$C$398*$D$396+(V$5=Inputs!$C$13)*$D$398*($D$396+Inputs!$C$14))+$I$396*((V$5=Inputs!$C$15+$K$396)*$E$398*$I$398+(V$5=Inputs!$C$16+$K$396)*$F$398*$J$398+(V$5=Inputs!$C$17)*$G$398*$H$396*$H$398)</f>
        <v>59.6728888888889</v>
      </c>
      <c r="W401" s="42" t="n">
        <f aca="false">-($D$396+$J$396)*(W$5=0)+IF(AND(W$5-$K$396&gt;=1,W$5-$K$396&lt;=Inputs!$C$13),INDEX($N$399:$AL$399,1,W$5-$K$396+1)*INDEX($N$400:$AL$400,1,W$5-$K$396+1),0)-$I$396*((W$5=Inputs!$C$12)*$C$398*$D$396+(W$5=Inputs!$C$13)*$D$398*($D$396+Inputs!$C$14))+$I$396*((W$5=Inputs!$C$15+$K$396)*$E$398*$I$398+(W$5=Inputs!$C$16+$K$396)*$F$398*$J$398+(W$5=Inputs!$C$17)*$G$398*$H$396*$H$398)</f>
        <v>60.2737777777778</v>
      </c>
      <c r="X401" s="42" t="n">
        <f aca="false">-($D$396+$J$396)*(X$5=0)+IF(AND(X$5-$K$396&gt;=1,X$5-$K$396&lt;=Inputs!$C$13),INDEX($N$399:$AL$399,1,X$5-$K$396+1)*INDEX($N$400:$AL$400,1,X$5-$K$396+1),0)-$I$396*((X$5=Inputs!$C$12)*$C$398*$D$396+(X$5=Inputs!$C$13)*$D$398*($D$396+Inputs!$C$14))+$I$396*((X$5=Inputs!$C$15+$K$396)*$E$398*$I$398+(X$5=Inputs!$C$16+$K$396)*$F$398*$J$398+(X$5=Inputs!$C$17)*$G$398*$H$396*$H$398)</f>
        <v>60.8746666666667</v>
      </c>
      <c r="Y401" s="42" t="n">
        <f aca="false">-($D$396+$J$396)*(Y$5=0)+IF(AND(Y$5-$K$396&gt;=1,Y$5-$K$396&lt;=Inputs!$C$13),INDEX($N$399:$AL$399,1,Y$5-$K$396+1)*INDEX($N$400:$AL$400,1,Y$5-$K$396+1),0)-$I$396*((Y$5=Inputs!$C$12)*$C$398*$D$396+(Y$5=Inputs!$C$13)*$D$398*($D$396+Inputs!$C$14))+$I$396*((Y$5=Inputs!$C$15+$K$396)*$E$398*$I$398+(Y$5=Inputs!$C$16+$K$396)*$F$398*$J$398+(Y$5=Inputs!$C$17)*$G$398*$H$396*$H$398)</f>
        <v>52.0177777777777</v>
      </c>
      <c r="Z401" s="42" t="n">
        <f aca="false">-($D$396+$J$396)*(Z$5=0)+IF(AND(Z$5-$K$396&gt;=1,Z$5-$K$396&lt;=Inputs!$C$13),INDEX($N$399:$AL$399,1,Z$5-$K$396+1)*INDEX($N$400:$AL$400,1,Z$5-$K$396+1),0)-$I$396*((Z$5=Inputs!$C$12)*$C$398*$D$396+(Z$5=Inputs!$C$13)*$D$398*($D$396+Inputs!$C$14))+$I$396*((Z$5=Inputs!$C$15+$K$396)*$E$398*$I$398+(Z$5=Inputs!$C$16+$K$396)*$F$398*$J$398+(Z$5=Inputs!$C$17)*$G$398*$H$396*$H$398)</f>
        <v>-574.673777777777</v>
      </c>
      <c r="AA401" s="42" t="n">
        <f aca="false">-($D$396+$J$396)*(AA$5=0)+IF(AND(AA$5-$K$396&gt;=1,AA$5-$K$396&lt;=Inputs!$C$13),INDEX($N$399:$AL$399,1,AA$5-$K$396+1)*INDEX($N$400:$AL$400,1,AA$5-$K$396+1),0)-$I$396*((AA$5=Inputs!$C$12)*$C$398*$D$396+(AA$5=Inputs!$C$13)*$D$398*($D$396+Inputs!$C$14))+$I$396*((AA$5=Inputs!$C$15+$K$396)*$E$398*$I$398+(AA$5=Inputs!$C$16+$K$396)*$F$398*$J$398+(AA$5=Inputs!$C$17)*$G$398*$H$396*$H$398)</f>
        <v>53.0346666666666</v>
      </c>
      <c r="AB401" s="42" t="n">
        <f aca="false">-($D$396+$J$396)*(AB$5=0)+IF(AND(AB$5-$K$396&gt;=1,AB$5-$K$396&lt;=Inputs!$C$13),INDEX($N$399:$AL$399,1,AB$5-$K$396+1)*INDEX($N$400:$AL$400,1,AB$5-$K$396+1),0)-$I$396*((AB$5=Inputs!$C$12)*$C$398*$D$396+(AB$5=Inputs!$C$13)*$D$398*($D$396+Inputs!$C$14))+$I$396*((AB$5=Inputs!$C$15+$K$396)*$E$398*$I$398+(AB$5=Inputs!$C$16+$K$396)*$F$398*$J$398+(AB$5=Inputs!$C$17)*$G$398*$H$396*$H$398)</f>
        <v>64.3875555555555</v>
      </c>
      <c r="AC401" s="42" t="n">
        <f aca="false">-($D$396+$J$396)*(AC$5=0)+IF(AND(AC$5-$K$396&gt;=1,AC$5-$K$396&lt;=Inputs!$C$13),INDEX($N$399:$AL$399,1,AC$5-$K$396+1)*INDEX($N$400:$AL$400,1,AC$5-$K$396+1),0)-$I$396*((AC$5=Inputs!$C$12)*$C$398*$D$396+(AC$5=Inputs!$C$13)*$D$398*($D$396+Inputs!$C$14))+$I$396*((AC$5=Inputs!$C$15+$K$396)*$E$398*$I$398+(AC$5=Inputs!$C$16+$K$396)*$F$398*$J$398+(AC$5=Inputs!$C$17)*$G$398*$H$396*$H$398)</f>
        <v>65.1591111111111</v>
      </c>
      <c r="AD401" s="42" t="n">
        <f aca="false">-($D$396+$J$396)*(AD$5=0)+IF(AND(AD$5-$K$396&gt;=1,AD$5-$K$396&lt;=Inputs!$C$13),INDEX($N$399:$AL$399,1,AD$5-$K$396+1)*INDEX($N$400:$AL$400,1,AD$5-$K$396+1),0)-$I$396*((AD$5=Inputs!$C$12)*$C$398*$D$396+(AD$5=Inputs!$C$13)*$D$398*($D$396+Inputs!$C$14))+$I$396*((AD$5=Inputs!$C$15+$K$396)*$E$398*$I$398+(AD$5=Inputs!$C$16+$K$396)*$F$398*$J$398+(AD$5=Inputs!$C$17)*$G$398*$H$396*$H$398)</f>
        <v>65.9306666666669</v>
      </c>
      <c r="AE401" s="42" t="n">
        <f aca="false">-($D$396+$J$396)*(AE$5=0)+IF(AND(AE$5-$K$396&gt;=1,AE$5-$K$396&lt;=Inputs!$C$13),INDEX($N$399:$AL$399,1,AE$5-$K$396+1)*INDEX($N$400:$AL$400,1,AE$5-$K$396+1),0)-$I$396*((AE$5=Inputs!$C$12)*$C$398*$D$396+(AE$5=Inputs!$C$13)*$D$398*($D$396+Inputs!$C$14))+$I$396*((AE$5=Inputs!$C$15+$K$396)*$E$398*$I$398+(AE$5=Inputs!$C$16+$K$396)*$F$398*$J$398+(AE$5=Inputs!$C$17)*$G$398*$H$396*$H$398)</f>
        <v>66.7022222222222</v>
      </c>
      <c r="AF401" s="42" t="n">
        <f aca="false">-($D$396+$J$396)*(AF$5=0)+IF(AND(AF$5-$K$396&gt;=1,AF$5-$K$396&lt;=Inputs!$C$13),INDEX($N$399:$AL$399,1,AF$5-$K$396+1)*INDEX($N$400:$AL$400,1,AF$5-$K$396+1),0)-$I$396*((AF$5=Inputs!$C$12)*$C$398*$D$396+(AF$5=Inputs!$C$13)*$D$398*($D$396+Inputs!$C$14))+$I$396*((AF$5=Inputs!$C$15+$K$396)*$E$398*$I$398+(AF$5=Inputs!$C$16+$K$396)*$F$398*$J$398+(AF$5=Inputs!$C$17)*$G$398*$H$396*$H$398)</f>
        <v>67.4737777777777</v>
      </c>
      <c r="AG401" s="42" t="n">
        <f aca="false">-($D$396+$J$396)*(AG$5=0)+IF(AND(AG$5-$K$396&gt;=1,AG$5-$K$396&lt;=Inputs!$C$13),INDEX($N$399:$AL$399,1,AG$5-$K$396+1)*INDEX($N$400:$AL$400,1,AG$5-$K$396+1),0)-$I$396*((AG$5=Inputs!$C$12)*$C$398*$D$396+(AG$5=Inputs!$C$13)*$D$398*($D$396+Inputs!$C$14))+$I$396*((AG$5=Inputs!$C$15+$K$396)*$E$398*$I$398+(AG$5=Inputs!$C$16+$K$396)*$F$398*$J$398+(AG$5=Inputs!$C$17)*$G$398*$H$396*$H$398)</f>
        <v>68.2453333333333</v>
      </c>
      <c r="AH401" s="42" t="n">
        <f aca="false">-($D$396+$J$396)*(AH$5=0)+IF(AND(AH$5-$K$396&gt;=1,AH$5-$K$396&lt;=Inputs!$C$13),INDEX($N$399:$AL$399,1,AH$5-$K$396+1)*INDEX($N$400:$AL$400,1,AH$5-$K$396+1),0)-$I$396*((AH$5=Inputs!$C$12)*$C$398*$D$396+(AH$5=Inputs!$C$13)*$D$398*($D$396+Inputs!$C$14))+$I$396*((AH$5=Inputs!$C$15+$K$396)*$E$398*$I$398+(AH$5=Inputs!$C$16+$K$396)*$F$398*$J$398+(AH$5=Inputs!$C$17)*$G$398*$H$396*$H$398)</f>
        <v>49.2977777777779</v>
      </c>
      <c r="AI401" s="42" t="n">
        <f aca="false">-($D$396+$J$396)*(AI$5=0)+IF(AND(AI$5-$K$396&gt;=1,AI$5-$K$396&lt;=Inputs!$C$13),INDEX($N$399:$AL$399,1,AI$5-$K$396+1)*INDEX($N$400:$AL$400,1,AI$5-$K$396+1),0)-$I$396*((AI$5=Inputs!$C$12)*$C$398*$D$396+(AI$5=Inputs!$C$13)*$D$398*($D$396+Inputs!$C$14))+$I$396*((AI$5=Inputs!$C$15+$K$396)*$E$398*$I$398+(AI$5=Inputs!$C$16+$K$396)*$F$398*$J$398+(AI$5=Inputs!$C$17)*$G$398*$H$396*$H$398)</f>
        <v>49.8488888888887</v>
      </c>
      <c r="AJ401" s="42" t="n">
        <f aca="false">-($D$396+$J$396)*(AJ$5=0)+IF(AND(AJ$5-$K$396&gt;=1,AJ$5-$K$396&lt;=Inputs!$C$13),INDEX($N$399:$AL$399,1,AJ$5-$K$396+1)*INDEX($N$400:$AL$400,1,AJ$5-$K$396+1),0)-$I$396*((AJ$5=Inputs!$C$12)*$C$398*$D$396+(AJ$5=Inputs!$C$13)*$D$398*($D$396+Inputs!$C$14))+$I$396*((AJ$5=Inputs!$C$15+$K$396)*$E$398*$I$398+(AJ$5=Inputs!$C$16+$K$396)*$F$398*$J$398+(AJ$5=Inputs!$C$17)*$G$398*$H$396*$H$398)</f>
        <v>50.3999999999998</v>
      </c>
      <c r="AK401" s="42" t="n">
        <f aca="false">-($D$396+$J$396)*(AK$5=0)+IF(AND(AK$5-$K$396&gt;=1,AK$5-$K$396&lt;=Inputs!$C$13),INDEX($N$399:$AL$399,1,AK$5-$K$396+1)*INDEX($N$400:$AL$400,1,AK$5-$K$396+1),0)-$I$396*((AK$5=Inputs!$C$12)*$C$398*$D$396+(AK$5=Inputs!$C$13)*$D$398*($D$396+Inputs!$C$14))+$I$396*((AK$5=Inputs!$C$15+$K$396)*$E$398*$I$398+(AK$5=Inputs!$C$16+$K$396)*$F$398*$J$398+(AK$5=Inputs!$C$17)*$G$398*$H$396*$H$398)</f>
        <v>50.9511111111113</v>
      </c>
      <c r="AL401" s="42" t="n">
        <f aca="false">-($D$396+$J$396)*(AL$5=0)+IF(AND(AL$5-$K$396&gt;=1,AL$5-$K$396&lt;=Inputs!$C$13),INDEX($N$399:$AL$399,1,AL$5-$K$396+1)*INDEX($N$400:$AL$400,1,AL$5-$K$396+1),0)-$I$396*((AL$5=Inputs!$C$12)*$C$398*$D$396+(AL$5=Inputs!$C$13)*$D$398*($D$396+Inputs!$C$14))+$I$396*((AL$5=Inputs!$C$15+$K$396)*$E$398*$I$398+(AL$5=Inputs!$C$16+$K$396)*$F$398*$J$398+(AL$5=Inputs!$C$17)*$G$398*$H$396*$H$398)</f>
        <v>-628.497777777778</v>
      </c>
      <c r="AM401" s="42" t="n">
        <f aca="false">-($D$396+$J$396)*(AM$5=0)+IF(AND(AM$5-$K$396&gt;=1,AM$5-$K$396&lt;=Inputs!$C$13),INDEX($N$399:$AL$399,1,AM$5-$K$396+1)*INDEX($N$400:$AL$400,1,AM$5-$K$396+1),0)-$I$396*((AM$5=Inputs!$C$12)*$C$398*$D$396+(AM$5=Inputs!$C$13)*$D$398*($D$396+Inputs!$C$14))+$I$396*((AM$5=Inputs!$C$15+$K$396)*$E$398*$I$398+(AM$5=Inputs!$C$16+$K$396)*$F$398*$J$398+(AM$5=Inputs!$C$17)*$G$398*$H$396*$H$398)</f>
        <v>52.0533333333332</v>
      </c>
      <c r="AN401" s="42" t="n">
        <f aca="false">-($D$396+$J$396)*(AN$5=0)+IF(AND(AN$5-$K$396&gt;=1,AN$5-$K$396&lt;=Inputs!$C$13),INDEX($N$399:$AL$399,1,AN$5-$K$396+1)*INDEX($N$400:$AL$400,1,AN$5-$K$396+1),0)-$I$396*((AN$5=Inputs!$C$12)*$C$398*$D$396+(AN$5=Inputs!$C$13)*$D$398*($D$396+Inputs!$C$14))+$I$396*((AN$5=Inputs!$C$15+$K$396)*$E$398*$I$398+(AN$5=Inputs!$C$16+$K$396)*$F$398*$J$398+(AN$5=Inputs!$C$17)*$G$398*$H$396*$H$398)</f>
        <v>0</v>
      </c>
      <c r="AO401" s="42" t="n">
        <f aca="false">-($D$396+$J$396)*(AO$5=0)+IF(AND(AO$5-$K$396&gt;=1,AO$5-$K$396&lt;=Inputs!$C$13),INDEX($N$399:$AL$399,1,AO$5-$K$396+1)*INDEX($N$400:$AL$400,1,AO$5-$K$396+1),0)-$I$396*((AO$5=Inputs!$C$12)*$C$398*$D$396+(AO$5=Inputs!$C$13)*$D$398*($D$396+Inputs!$C$14))+$I$396*((AO$5=Inputs!$C$15+$K$396)*$E$398*$I$398+(AO$5=Inputs!$C$16+$K$396)*$F$398*$J$398+(AO$5=Inputs!$C$17)*$G$398*$H$396*$H$398)</f>
        <v>0</v>
      </c>
      <c r="AP401" s="42" t="n">
        <f aca="false">-($D$396+$J$396)*(AP$5=0)+IF(AND(AP$5-$K$396&gt;=1,AP$5-$K$396&lt;=Inputs!$C$13),INDEX($N$399:$AL$399,1,AP$5-$K$396+1)*INDEX($N$400:$AL$400,1,AP$5-$K$396+1),0)-$I$396*((AP$5=Inputs!$C$12)*$C$398*$D$396+(AP$5=Inputs!$C$13)*$D$398*($D$396+Inputs!$C$14))+$I$396*((AP$5=Inputs!$C$15+$K$396)*$E$398*$I$398+(AP$5=Inputs!$C$16+$K$396)*$F$398*$J$398+(AP$5=Inputs!$C$17)*$G$398*$H$396*$H$398)</f>
        <v>600</v>
      </c>
      <c r="AQ401" s="42" t="n">
        <f aca="false">-($D$396+$J$396)*(AQ$5=0)+IF(AND(AQ$5-$K$396&gt;=1,AQ$5-$K$396&lt;=Inputs!$C$13),INDEX($N$399:$AL$399,1,AQ$5-$K$396+1)*INDEX($N$400:$AL$400,1,AQ$5-$K$396+1),0)-$I$396*((AQ$5=Inputs!$C$12)*$C$398*$D$396+(AQ$5=Inputs!$C$13)*$D$398*($D$396+Inputs!$C$14))+$I$396*((AQ$5=Inputs!$C$15+$K$396)*$E$398*$I$398+(AQ$5=Inputs!$C$16+$K$396)*$F$398*$J$398+(AQ$5=Inputs!$C$17)*$G$398*$H$396*$H$398)</f>
        <v>0</v>
      </c>
      <c r="AR401" s="42" t="n">
        <f aca="false">-($D$396+$J$396)*(AR$5=0)+IF(AND(AR$5-$K$396&gt;=1,AR$5-$K$396&lt;=Inputs!$C$13),INDEX($N$399:$AL$399,1,AR$5-$K$396+1)*INDEX($N$400:$AL$400,1,AR$5-$K$396+1),0)-$I$396*((AR$5=Inputs!$C$12)*$C$398*$D$396+(AR$5=Inputs!$C$13)*$D$398*($D$396+Inputs!$C$14))+$I$396*((AR$5=Inputs!$C$15+$K$396)*$E$398*$I$398+(AR$5=Inputs!$C$16+$K$396)*$F$398*$J$398+(AR$5=Inputs!$C$17)*$G$398*$H$396*$H$398)</f>
        <v>0</v>
      </c>
      <c r="AS401" s="42" t="n">
        <f aca="false">-($D$396+$J$396)*(AS$5=0)+IF(AND(AS$5-$K$396&gt;=1,AS$5-$K$396&lt;=Inputs!$C$13),INDEX($N$399:$AL$399,1,AS$5-$K$396+1)*INDEX($N$400:$AL$400,1,AS$5-$K$396+1),0)-$I$396*((AS$5=Inputs!$C$12)*$C$398*$D$396+(AS$5=Inputs!$C$13)*$D$398*($D$396+Inputs!$C$14))+$I$396*((AS$5=Inputs!$C$15+$K$396)*$E$398*$I$398+(AS$5=Inputs!$C$16+$K$396)*$F$398*$J$398+(AS$5=Inputs!$C$17)*$G$398*$H$396*$H$398)</f>
        <v>461.76</v>
      </c>
      <c r="AT401" s="42" t="n">
        <f aca="false">-($D$396+$J$396)*(AT$5=0)+IF(AND(AT$5-$K$396&gt;=1,AT$5-$K$396&lt;=Inputs!$C$13),INDEX($N$399:$AL$399,1,AT$5-$K$396+1)*INDEX($N$400:$AL$400,1,AT$5-$K$396+1),0)-$I$396*((AT$5=Inputs!$C$12)*$C$398*$D$396+(AT$5=Inputs!$C$13)*$D$398*($D$396+Inputs!$C$14))+$I$396*((AT$5=Inputs!$C$15+$K$396)*$E$398*$I$398+(AT$5=Inputs!$C$16+$K$396)*$F$398*$J$398+(AT$5=Inputs!$C$17)*$G$398*$H$396*$H$398)</f>
        <v>0</v>
      </c>
      <c r="AU401" s="42" t="n">
        <f aca="false">-($D$396+$J$396)*(AU$5=0)+IF(AND(AU$5-$K$396&gt;=1,AU$5-$K$396&lt;=Inputs!$C$13),INDEX($N$399:$AL$399,1,AU$5-$K$396+1)*INDEX($N$400:$AL$400,1,AU$5-$K$396+1),0)-$I$396*((AU$5=Inputs!$C$12)*$C$398*$D$396+(AU$5=Inputs!$C$13)*$D$398*($D$396+Inputs!$C$14))+$I$396*((AU$5=Inputs!$C$15+$K$396)*$E$398*$I$398+(AU$5=Inputs!$C$16+$K$396)*$F$398*$J$398+(AU$5=Inputs!$C$17)*$G$398*$H$396*$H$398)</f>
        <v>0</v>
      </c>
      <c r="AV401" s="42" t="n">
        <f aca="false">-($D$396+$J$396)*(AV$5=0)+IF(AND(AV$5-$K$396&gt;=1,AV$5-$K$396&lt;=Inputs!$C$13),INDEX($N$399:$AL$399,1,AV$5-$K$396+1)*INDEX($N$400:$AL$400,1,AV$5-$K$396+1),0)-$I$396*((AV$5=Inputs!$C$12)*$C$398*$D$396+(AV$5=Inputs!$C$13)*$D$398*($D$396+Inputs!$C$14))+$I$396*((AV$5=Inputs!$C$15+$K$396)*$E$398*$I$398+(AV$5=Inputs!$C$16+$K$396)*$F$398*$J$398+(AV$5=Inputs!$C$17)*$G$398*$H$396*$H$398)</f>
        <v>0</v>
      </c>
      <c r="AW401" s="42" t="n">
        <f aca="false">-($D$396+$J$396)*(AW$5=0)+IF(AND(AW$5-$K$396&gt;=1,AW$5-$K$396&lt;=Inputs!$C$13),INDEX($N$399:$AL$399,1,AW$5-$K$396+1)*INDEX($N$400:$AL$400,1,AW$5-$K$396+1),0)-$I$396*((AW$5=Inputs!$C$12)*$C$398*$D$396+(AW$5=Inputs!$C$13)*$D$398*($D$396+Inputs!$C$14))+$I$396*((AW$5=Inputs!$C$15+$K$396)*$E$398*$I$398+(AW$5=Inputs!$C$16+$K$396)*$F$398*$J$398+(AW$5=Inputs!$C$17)*$G$398*$H$396*$H$398)</f>
        <v>0</v>
      </c>
      <c r="AX401" s="42" t="n">
        <f aca="false">-($D$396+$J$396)*(AX$5=0)+IF(AND(AX$5-$K$396&gt;=1,AX$5-$K$396&lt;=Inputs!$C$13),INDEX($N$399:$AL$399,1,AX$5-$K$396+1)*INDEX($N$400:$AL$400,1,AX$5-$K$396+1),0)-$I$396*((AX$5=Inputs!$C$12)*$C$398*$D$396+(AX$5=Inputs!$C$13)*$D$398*($D$396+Inputs!$C$14))+$I$396*((AX$5=Inputs!$C$15+$K$396)*$E$398*$I$398+(AX$5=Inputs!$C$16+$K$396)*$F$398*$J$398+(AX$5=Inputs!$C$17)*$G$398*$H$396*$H$398)</f>
        <v>277.2</v>
      </c>
      <c r="AY401" s="42" t="n">
        <f aca="false">-($D$396+$J$396)*(AY$5=0)+IF(AND(AY$5-$K$396&gt;=1,AY$5-$K$396&lt;=Inputs!$C$13),INDEX($N$399:$AL$399,1,AY$5-$K$396+1)*INDEX($N$400:$AL$400,1,AY$5-$K$396+1),0)-$I$396*((AY$5=Inputs!$C$12)*$C$398*$D$396+(AY$5=Inputs!$C$13)*$D$398*($D$396+Inputs!$C$14))+$I$396*((AY$5=Inputs!$C$15+$K$396)*$E$398*$I$398+(AY$5=Inputs!$C$16+$K$396)*$F$398*$J$398+(AY$5=Inputs!$C$17)*$G$398*$H$396*$H$398)</f>
        <v>0</v>
      </c>
    </row>
    <row r="403" customFormat="false" ht="15" hidden="false" customHeight="false" outlineLevel="0" collapsed="false">
      <c r="B403" s="7" t="s">
        <v>285</v>
      </c>
      <c r="C403" s="8"/>
      <c r="D403" s="8"/>
      <c r="E403" s="8"/>
      <c r="F403" s="8"/>
      <c r="G403" s="8"/>
      <c r="H403" s="8"/>
      <c r="I403" s="8"/>
      <c r="J403" s="8"/>
      <c r="K403" s="8"/>
      <c r="L403" s="8"/>
    </row>
    <row r="404" customFormat="false" ht="30" hidden="false" customHeight="true" outlineLevel="0" collapsed="false">
      <c r="B404" s="37"/>
      <c r="C404" s="38" t="s">
        <v>169</v>
      </c>
      <c r="D404" s="38" t="s">
        <v>170</v>
      </c>
      <c r="E404" s="38" t="s">
        <v>171</v>
      </c>
      <c r="F404" s="38" t="s">
        <v>43</v>
      </c>
      <c r="G404" s="38" t="s">
        <v>44</v>
      </c>
      <c r="H404" s="38" t="s">
        <v>45</v>
      </c>
      <c r="I404" s="38" t="s">
        <v>172</v>
      </c>
      <c r="J404" s="38" t="s">
        <v>90</v>
      </c>
      <c r="K404" s="38" t="s">
        <v>89</v>
      </c>
      <c r="L404" s="38" t="s">
        <v>173</v>
      </c>
    </row>
    <row r="405" customFormat="false" ht="15" hidden="false" customHeight="false" outlineLevel="0" collapsed="false">
      <c r="B405" s="39" t="s">
        <v>174</v>
      </c>
      <c r="C405" s="26" t="n">
        <f aca="false">Inputs!$F$43*Inputs!$E$63</f>
        <v>0.13</v>
      </c>
      <c r="D405" s="30" t="n">
        <f aca="false">Inputs!$E$43</f>
        <v>1600</v>
      </c>
      <c r="E405" s="26" t="n">
        <f aca="false">IF(Inputs!$G$43=1,Inputs!$F$27,MIN(1,MAX(0,INDEX(Inputs!$F$23:$F$27,MATCH(Inputs!$C$43,Inputs!$B$23:$B$27,0))+INDEX(Inputs!$C$48:$C$51,MATCH(Inputs!$D$63,Inputs!$B$48:$B$51,0)))))</f>
        <v>0.35</v>
      </c>
      <c r="F405" s="25" t="n">
        <f aca="false">IF(Inputs!$G$43=1,Inputs!$G$27,INDEX(Inputs!$G$23:$G$27,MATCH(Inputs!$C$43,Inputs!$B$23:$B$27,0)))</f>
        <v>0.1</v>
      </c>
      <c r="G405" s="25" t="n">
        <f aca="false">IF(Inputs!$G$43=1,Inputs!$H$27,INDEX(Inputs!$H$23:$H$27,MATCH(Inputs!$C$43,Inputs!$B$23:$B$27,0)))*INDEX(Inputs!$D$48:$D$51,MATCH(Inputs!$D$63,Inputs!$B$48:$B$51,0))</f>
        <v>0.05</v>
      </c>
      <c r="H405" s="25" t="n">
        <f aca="false">MAX(0,IF(Inputs!$G$43=1,Inputs!$I$27,INDEX(Inputs!$I$23:$I$27,MATCH(Inputs!$C$43,Inputs!$B$23:$B$27,0)))+INDEX(Inputs!$E$48:$E$51,MATCH(Inputs!$D$63,Inputs!$B$48:$B$51,0)))</f>
        <v>0</v>
      </c>
      <c r="I405" s="22" t="n">
        <f aca="false">IF(Inputs!$G$43=1,0,INDEX(Inputs!$J$23:$J$27,MATCH(Inputs!$C$43,Inputs!$B$23:$B$27,0)))</f>
        <v>0</v>
      </c>
      <c r="J405" s="23" t="n">
        <f aca="false">Inputs!$G$63</f>
        <v>0</v>
      </c>
      <c r="K405" s="22" t="n">
        <f aca="false">Inputs!$F$63</f>
        <v>1</v>
      </c>
      <c r="L405" s="22" t="n">
        <f aca="false">Inputs!$C$63</f>
        <v>1</v>
      </c>
    </row>
    <row r="406" customFormat="false" ht="30" hidden="false" customHeight="true" outlineLevel="0" collapsed="false">
      <c r="B406" s="37"/>
      <c r="C406" s="38" t="s">
        <v>175</v>
      </c>
      <c r="D406" s="38" t="s">
        <v>176</v>
      </c>
      <c r="E406" s="38" t="s">
        <v>177</v>
      </c>
      <c r="F406" s="38" t="s">
        <v>178</v>
      </c>
      <c r="G406" s="38" t="s">
        <v>112</v>
      </c>
      <c r="H406" s="38" t="s">
        <v>179</v>
      </c>
      <c r="I406" s="38" t="s">
        <v>180</v>
      </c>
      <c r="J406" s="38" t="s">
        <v>181</v>
      </c>
      <c r="K406" s="38" t="s">
        <v>182</v>
      </c>
      <c r="L406" s="38" t="s">
        <v>183</v>
      </c>
    </row>
    <row r="407" customFormat="false" ht="15" hidden="false" customHeight="false" outlineLevel="0" collapsed="false">
      <c r="B407" s="39" t="s">
        <v>184</v>
      </c>
      <c r="C407" s="40" t="n">
        <f aca="false">1-$E$405*CHOOSE($L$405,INDEX(Timing!$C$7:$AA$7,1,Inputs!$C$12+1),INDEX(Timing!$C$8:$AA$8,1,Inputs!$C$12+1))</f>
        <v>0.734</v>
      </c>
      <c r="D407" s="40" t="n">
        <f aca="false">1-$E$405*CHOOSE($L$405,INDEX(Timing!$C$7:$AA$7,1,Inputs!$C$13+1),INDEX(Timing!$C$8:$AA$8,1,Inputs!$C$13+1))</f>
        <v>0.65</v>
      </c>
      <c r="E407" s="40" t="n">
        <f aca="false">$I$405*$D$407*$F$405</f>
        <v>0</v>
      </c>
      <c r="F407" s="40" t="n">
        <f aca="false">$I$405*($D$407-$E$407)*$G$405</f>
        <v>0</v>
      </c>
      <c r="G407" s="40" t="n">
        <f aca="false">$I$405*($D$407-$E$407-$F$407)</f>
        <v>0</v>
      </c>
      <c r="H407" s="23" t="n">
        <f aca="false">$I$405*(3*$D$405+Inputs!$C$14)</f>
        <v>0</v>
      </c>
      <c r="I407" s="23" t="n">
        <f aca="false">$I$405*($D$405*(1+IF($C$405&lt;=0,0,MAX($C$405*Inputs!$C$15/12,Inputs!$C$8)))+$D$405*(1+Inputs!$C$11*(Inputs!$C$15-Inputs!$C$12)/12)+$D$405*(1+Inputs!$C$11*(Inputs!$C$15-Inputs!$C$13)/12)+Inputs!$C$14)</f>
        <v>0</v>
      </c>
      <c r="J407" s="23" t="n">
        <f aca="false">$I$405*($D$405*(1+IF($C$405&lt;=0,0,MAX($C$405*Inputs!$C$16/12,Inputs!$C$8)))+$D$405*(1+Inputs!$C$11*(Inputs!$C$16-Inputs!$C$12)/12)+$D$405*(1+Inputs!$C$11*(Inputs!$C$16-Inputs!$C$13)/12)+Inputs!$C$14)</f>
        <v>0</v>
      </c>
      <c r="K407" s="40" t="n">
        <f aca="false">IRR($N$410:$AY$410,-0.05)</f>
        <v>-0.0792732151011555</v>
      </c>
      <c r="L407" s="41" t="n">
        <f aca="false">(1+$K$407)^12-1</f>
        <v>-0.628833023691462</v>
      </c>
    </row>
    <row r="408" customFormat="false" ht="15" hidden="false" customHeight="false" outlineLevel="0" collapsed="false">
      <c r="B408" s="9" t="s">
        <v>185</v>
      </c>
      <c r="N408" s="40" t="n">
        <f aca="false">0</f>
        <v>0</v>
      </c>
      <c r="O408" s="40" t="n">
        <f aca="false">$E$405*(CHOOSE($L$405,Timing!D$7,Timing!D$8)-CHOOSE($L$405,Timing!C$7,Timing!C$8))</f>
        <v>0.042</v>
      </c>
      <c r="P408" s="40" t="n">
        <f aca="false">$E$405*(CHOOSE($L$405,Timing!E$7,Timing!E$8)-CHOOSE($L$405,Timing!D$7,Timing!D$8))</f>
        <v>0.035</v>
      </c>
      <c r="Q408" s="40" t="n">
        <f aca="false">$E$405*(CHOOSE($L$405,Timing!F$7,Timing!F$8)-CHOOSE($L$405,Timing!E$7,Timing!E$8))</f>
        <v>0.0315</v>
      </c>
      <c r="R408" s="40" t="n">
        <f aca="false">$E$405*(CHOOSE($L$405,Timing!G$7,Timing!G$8)-CHOOSE($L$405,Timing!F$7,Timing!F$8))</f>
        <v>0.0245</v>
      </c>
      <c r="S408" s="40" t="n">
        <f aca="false">$E$405*(CHOOSE($L$405,Timing!H$7,Timing!H$8)-CHOOSE($L$405,Timing!G$7,Timing!G$8))</f>
        <v>0.0245</v>
      </c>
      <c r="T408" s="40" t="n">
        <f aca="false">$E$405*(CHOOSE($L$405,Timing!I$7,Timing!I$8)-CHOOSE($L$405,Timing!H$7,Timing!H$8))</f>
        <v>0.0245</v>
      </c>
      <c r="U408" s="40" t="n">
        <f aca="false">$E$405*(CHOOSE($L$405,Timing!J$7,Timing!J$8)-CHOOSE($L$405,Timing!I$7,Timing!I$8))</f>
        <v>0.0151666666666667</v>
      </c>
      <c r="V408" s="40" t="n">
        <f aca="false">$E$405*(CHOOSE($L$405,Timing!K$7,Timing!K$8)-CHOOSE($L$405,Timing!J$7,Timing!J$8))</f>
        <v>0.0151666666666667</v>
      </c>
      <c r="W408" s="40" t="n">
        <f aca="false">$E$405*(CHOOSE($L$405,Timing!L$7,Timing!L$8)-CHOOSE($L$405,Timing!K$7,Timing!K$8))</f>
        <v>0.0151666666666667</v>
      </c>
      <c r="X408" s="40" t="n">
        <f aca="false">$E$405*(CHOOSE($L$405,Timing!M$7,Timing!M$8)-CHOOSE($L$405,Timing!L$7,Timing!L$8))</f>
        <v>0.0128333333333333</v>
      </c>
      <c r="Y408" s="40" t="n">
        <f aca="false">$E$405*(CHOOSE($L$405,Timing!N$7,Timing!N$8)-CHOOSE($L$405,Timing!M$7,Timing!M$8))</f>
        <v>0.0128333333333334</v>
      </c>
      <c r="Z408" s="40" t="n">
        <f aca="false">$E$405*(CHOOSE($L$405,Timing!O$7,Timing!O$8)-CHOOSE($L$405,Timing!N$7,Timing!N$8))</f>
        <v>0.0128333333333333</v>
      </c>
      <c r="AA408" s="40" t="n">
        <f aca="false">$E$405*(CHOOSE($L$405,Timing!P$7,Timing!P$8)-CHOOSE($L$405,Timing!O$7,Timing!O$8))</f>
        <v>0.00816666666666666</v>
      </c>
      <c r="AB408" s="40" t="n">
        <f aca="false">$E$405*(CHOOSE($L$405,Timing!Q$7,Timing!Q$8)-CHOOSE($L$405,Timing!P$7,Timing!P$8))</f>
        <v>0.00816666666666666</v>
      </c>
      <c r="AC408" s="40" t="n">
        <f aca="false">$E$405*(CHOOSE($L$405,Timing!R$7,Timing!R$8)-CHOOSE($L$405,Timing!Q$7,Timing!Q$8))</f>
        <v>0.0081666666666667</v>
      </c>
      <c r="AD408" s="40" t="n">
        <f aca="false">$E$405*(CHOOSE($L$405,Timing!S$7,Timing!S$8)-CHOOSE($L$405,Timing!R$7,Timing!R$8))</f>
        <v>0.00816666666666666</v>
      </c>
      <c r="AE408" s="40" t="n">
        <f aca="false">$E$405*(CHOOSE($L$405,Timing!T$7,Timing!T$8)-CHOOSE($L$405,Timing!S$7,Timing!S$8))</f>
        <v>0.00816666666666666</v>
      </c>
      <c r="AF408" s="40" t="n">
        <f aca="false">$E$405*(CHOOSE($L$405,Timing!U$7,Timing!U$8)-CHOOSE($L$405,Timing!T$7,Timing!T$8))</f>
        <v>0.00816666666666666</v>
      </c>
      <c r="AG408" s="40" t="n">
        <f aca="false">$E$405*(CHOOSE($L$405,Timing!V$7,Timing!V$8)-CHOOSE($L$405,Timing!U$7,Timing!U$8))</f>
        <v>0.00583333333333335</v>
      </c>
      <c r="AH408" s="40" t="n">
        <f aca="false">$E$405*(CHOOSE($L$405,Timing!W$7,Timing!W$8)-CHOOSE($L$405,Timing!V$7,Timing!V$8))</f>
        <v>0.00583333333333331</v>
      </c>
      <c r="AI408" s="40" t="n">
        <f aca="false">$E$405*(CHOOSE($L$405,Timing!X$7,Timing!X$8)-CHOOSE($L$405,Timing!W$7,Timing!W$8))</f>
        <v>0.00583333333333331</v>
      </c>
      <c r="AJ408" s="40" t="n">
        <f aca="false">$E$405*(CHOOSE($L$405,Timing!Y$7,Timing!Y$8)-CHOOSE($L$405,Timing!X$7,Timing!X$8))</f>
        <v>0.00583333333333335</v>
      </c>
      <c r="AK408" s="40" t="n">
        <f aca="false">$E$405*(CHOOSE($L$405,Timing!Z$7,Timing!Z$8)-CHOOSE($L$405,Timing!Y$7,Timing!Y$8))</f>
        <v>0.00583333333333335</v>
      </c>
      <c r="AL408" s="40" t="n">
        <f aca="false">$E$405*(CHOOSE($L$405,Timing!AA$7,Timing!AA$8)-CHOOSE($L$405,Timing!Z$7,Timing!Z$8))</f>
        <v>0.00583333333333331</v>
      </c>
    </row>
    <row r="409" customFormat="false" ht="15" hidden="false" customHeight="false" outlineLevel="0" collapsed="false">
      <c r="B409" s="9" t="s">
        <v>186</v>
      </c>
      <c r="N409" s="42" t="n">
        <f aca="false">0</f>
        <v>0</v>
      </c>
      <c r="O409" s="42" t="n">
        <f aca="false">$D$405*(1+IF($C$405&lt;=0,0,MAX($C$405*O$5/12,Inputs!$C$8)))+$I$405*(O$5&gt;Inputs!$C$12)*$D$405*(1+Inputs!$C$11*(O$5-Inputs!$C$12)/12)</f>
        <v>1680</v>
      </c>
      <c r="P409" s="42" t="n">
        <f aca="false">$D$405*(1+IF($C$405&lt;=0,0,MAX($C$405*P$5/12,Inputs!$C$8)))+$I$405*(P$5&gt;Inputs!$C$12)*$D$405*(1+Inputs!$C$11*(P$5-Inputs!$C$12)/12)</f>
        <v>1680</v>
      </c>
      <c r="Q409" s="42" t="n">
        <f aca="false">$D$405*(1+IF($C$405&lt;=0,0,MAX($C$405*Q$5/12,Inputs!$C$8)))+$I$405*(Q$5&gt;Inputs!$C$12)*$D$405*(1+Inputs!$C$11*(Q$5-Inputs!$C$12)/12)</f>
        <v>1680</v>
      </c>
      <c r="R409" s="42" t="n">
        <f aca="false">$D$405*(1+IF($C$405&lt;=0,0,MAX($C$405*R$5/12,Inputs!$C$8)))+$I$405*(R$5&gt;Inputs!$C$12)*$D$405*(1+Inputs!$C$11*(R$5-Inputs!$C$12)/12)</f>
        <v>1680</v>
      </c>
      <c r="S409" s="42" t="n">
        <f aca="false">$D$405*(1+IF($C$405&lt;=0,0,MAX($C$405*S$5/12,Inputs!$C$8)))+$I$405*(S$5&gt;Inputs!$C$12)*$D$405*(1+Inputs!$C$11*(S$5-Inputs!$C$12)/12)</f>
        <v>1686.66666666667</v>
      </c>
      <c r="T409" s="42" t="n">
        <f aca="false">$D$405*(1+IF($C$405&lt;=0,0,MAX($C$405*T$5/12,Inputs!$C$8)))+$I$405*(T$5&gt;Inputs!$C$12)*$D$405*(1+Inputs!$C$11*(T$5-Inputs!$C$12)/12)</f>
        <v>1704</v>
      </c>
      <c r="U409" s="42" t="n">
        <f aca="false">$D$405*(1+IF($C$405&lt;=0,0,MAX($C$405*U$5/12,Inputs!$C$8)))+$I$405*(U$5&gt;Inputs!$C$12)*$D$405*(1+Inputs!$C$11*(U$5-Inputs!$C$12)/12)</f>
        <v>1721.33333333333</v>
      </c>
      <c r="V409" s="42" t="n">
        <f aca="false">$D$405*(1+IF($C$405&lt;=0,0,MAX($C$405*V$5/12,Inputs!$C$8)))+$I$405*(V$5&gt;Inputs!$C$12)*$D$405*(1+Inputs!$C$11*(V$5-Inputs!$C$12)/12)</f>
        <v>1738.66666666667</v>
      </c>
      <c r="W409" s="42" t="n">
        <f aca="false">$D$405*(1+IF($C$405&lt;=0,0,MAX($C$405*W$5/12,Inputs!$C$8)))+$I$405*(W$5&gt;Inputs!$C$12)*$D$405*(1+Inputs!$C$11*(W$5-Inputs!$C$12)/12)</f>
        <v>1756</v>
      </c>
      <c r="X409" s="42" t="n">
        <f aca="false">$D$405*(1+IF($C$405&lt;=0,0,MAX($C$405*X$5/12,Inputs!$C$8)))+$I$405*(X$5&gt;Inputs!$C$12)*$D$405*(1+Inputs!$C$11*(X$5-Inputs!$C$12)/12)</f>
        <v>1773.33333333333</v>
      </c>
      <c r="Y409" s="42" t="n">
        <f aca="false">$D$405*(1+IF($C$405&lt;=0,0,MAX($C$405*Y$5/12,Inputs!$C$8)))+$I$405*(Y$5&gt;Inputs!$C$12)*$D$405*(1+Inputs!$C$11*(Y$5-Inputs!$C$12)/12)</f>
        <v>1790.66666666667</v>
      </c>
      <c r="Z409" s="42" t="n">
        <f aca="false">$D$405*(1+IF($C$405&lt;=0,0,MAX($C$405*Z$5/12,Inputs!$C$8)))+$I$405*(Z$5&gt;Inputs!$C$12)*$D$405*(1+Inputs!$C$11*(Z$5-Inputs!$C$12)/12)</f>
        <v>1808</v>
      </c>
      <c r="AA409" s="42" t="n">
        <f aca="false">$D$405*(1+IF($C$405&lt;=0,0,MAX($C$405*AA$5/12,Inputs!$C$8)))+$I$405*(AA$5&gt;Inputs!$C$12)*$D$405*(1+Inputs!$C$11*(AA$5-Inputs!$C$12)/12)</f>
        <v>1825.33333333333</v>
      </c>
      <c r="AB409" s="42" t="n">
        <f aca="false">$D$405*(1+IF($C$405&lt;=0,0,MAX($C$405*AB$5/12,Inputs!$C$8)))+$I$405*(AB$5&gt;Inputs!$C$12)*$D$405*(1+Inputs!$C$11*(AB$5-Inputs!$C$12)/12)</f>
        <v>1842.66666666667</v>
      </c>
      <c r="AC409" s="42" t="n">
        <f aca="false">$D$405*(1+IF($C$405&lt;=0,0,MAX($C$405*AC$5/12,Inputs!$C$8)))+$I$405*(AC$5&gt;Inputs!$C$12)*$D$405*(1+Inputs!$C$11*(AC$5-Inputs!$C$12)/12)</f>
        <v>1860</v>
      </c>
      <c r="AD409" s="42" t="n">
        <f aca="false">$D$405*(1+IF($C$405&lt;=0,0,MAX($C$405*AD$5/12,Inputs!$C$8)))+$I$405*(AD$5&gt;Inputs!$C$12)*$D$405*(1+Inputs!$C$11*(AD$5-Inputs!$C$12)/12)</f>
        <v>1877.33333333333</v>
      </c>
      <c r="AE409" s="42" t="n">
        <f aca="false">$D$405*(1+IF($C$405&lt;=0,0,MAX($C$405*AE$5/12,Inputs!$C$8)))+$I$405*(AE$5&gt;Inputs!$C$12)*$D$405*(1+Inputs!$C$11*(AE$5-Inputs!$C$12)/12)</f>
        <v>1894.66666666667</v>
      </c>
      <c r="AF409" s="42" t="n">
        <f aca="false">$D$405*(1+IF($C$405&lt;=0,0,MAX($C$405*AF$5/12,Inputs!$C$8)))+$I$405*(AF$5&gt;Inputs!$C$12)*$D$405*(1+Inputs!$C$11*(AF$5-Inputs!$C$12)/12)</f>
        <v>1912</v>
      </c>
      <c r="AG409" s="42" t="n">
        <f aca="false">$D$405*(1+IF($C$405&lt;=0,0,MAX($C$405*AG$5/12,Inputs!$C$8)))+$I$405*(AG$5&gt;Inputs!$C$12)*$D$405*(1+Inputs!$C$11*(AG$5-Inputs!$C$12)/12)</f>
        <v>1929.33333333333</v>
      </c>
      <c r="AH409" s="42" t="n">
        <f aca="false">$D$405*(1+IF($C$405&lt;=0,0,MAX($C$405*AH$5/12,Inputs!$C$8)))+$I$405*(AH$5&gt;Inputs!$C$12)*$D$405*(1+Inputs!$C$11*(AH$5-Inputs!$C$12)/12)</f>
        <v>1946.66666666667</v>
      </c>
      <c r="AI409" s="42" t="n">
        <f aca="false">$D$405*(1+IF($C$405&lt;=0,0,MAX($C$405*AI$5/12,Inputs!$C$8)))+$I$405*(AI$5&gt;Inputs!$C$12)*$D$405*(1+Inputs!$C$11*(AI$5-Inputs!$C$12)/12)</f>
        <v>1964</v>
      </c>
      <c r="AJ409" s="42" t="n">
        <f aca="false">$D$405*(1+IF($C$405&lt;=0,0,MAX($C$405*AJ$5/12,Inputs!$C$8)))+$I$405*(AJ$5&gt;Inputs!$C$12)*$D$405*(1+Inputs!$C$11*(AJ$5-Inputs!$C$12)/12)</f>
        <v>1981.33333333333</v>
      </c>
      <c r="AK409" s="42" t="n">
        <f aca="false">$D$405*(1+IF($C$405&lt;=0,0,MAX($C$405*AK$5/12,Inputs!$C$8)))+$I$405*(AK$5&gt;Inputs!$C$12)*$D$405*(1+Inputs!$C$11*(AK$5-Inputs!$C$12)/12)</f>
        <v>1998.66666666667</v>
      </c>
      <c r="AL409" s="42" t="n">
        <f aca="false">$D$405*(1+IF($C$405&lt;=0,0,MAX($C$405*AL$5/12,Inputs!$C$8)))+$I$405*(AL$5&gt;Inputs!$C$12)*$D$405*(1+Inputs!$C$11*(AL$5-Inputs!$C$12)/12)</f>
        <v>2016</v>
      </c>
    </row>
    <row r="410" customFormat="false" ht="15" hidden="false" customHeight="false" outlineLevel="0" collapsed="false">
      <c r="B410" s="31" t="s">
        <v>187</v>
      </c>
      <c r="N410" s="42" t="n">
        <f aca="false">-($D$405+$J$405)*(N$5=0)+IF(AND(N$5-$K$405&gt;=1,N$5-$K$405&lt;=Inputs!$C$13),INDEX($N$408:$AL$408,1,N$5-$K$405+1)*INDEX($N$409:$AL$409,1,N$5-$K$405+1),0)-$I$405*((N$5=Inputs!$C$12)*$C$407*$D$405+(N$5=Inputs!$C$13)*$D$407*($D$405+Inputs!$C$14))+$I$405*((N$5=Inputs!$C$15+$K$405)*$E$407*$I$407+(N$5=Inputs!$C$16+$K$405)*$F$407*$J$407+(N$5=Inputs!$C$17)*$G$407*$H$405*$H$407)</f>
        <v>-1600</v>
      </c>
      <c r="O410" s="42" t="n">
        <f aca="false">-($D$405+$J$405)*(O$5=0)+IF(AND(O$5-$K$405&gt;=1,O$5-$K$405&lt;=Inputs!$C$13),INDEX($N$408:$AL$408,1,O$5-$K$405+1)*INDEX($N$409:$AL$409,1,O$5-$K$405+1),0)-$I$405*((O$5=Inputs!$C$12)*$C$407*$D$405+(O$5=Inputs!$C$13)*$D$407*($D$405+Inputs!$C$14))+$I$405*((O$5=Inputs!$C$15+$K$405)*$E$407*$I$407+(O$5=Inputs!$C$16+$K$405)*$F$407*$J$407+(O$5=Inputs!$C$17)*$G$407*$H$405*$H$407)</f>
        <v>0</v>
      </c>
      <c r="P410" s="42" t="n">
        <f aca="false">-($D$405+$J$405)*(P$5=0)+IF(AND(P$5-$K$405&gt;=1,P$5-$K$405&lt;=Inputs!$C$13),INDEX($N$408:$AL$408,1,P$5-$K$405+1)*INDEX($N$409:$AL$409,1,P$5-$K$405+1),0)-$I$405*((P$5=Inputs!$C$12)*$C$407*$D$405+(P$5=Inputs!$C$13)*$D$407*($D$405+Inputs!$C$14))+$I$405*((P$5=Inputs!$C$15+$K$405)*$E$407*$I$407+(P$5=Inputs!$C$16+$K$405)*$F$407*$J$407+(P$5=Inputs!$C$17)*$G$407*$H$405*$H$407)</f>
        <v>70.56</v>
      </c>
      <c r="Q410" s="42" t="n">
        <f aca="false">-($D$405+$J$405)*(Q$5=0)+IF(AND(Q$5-$K$405&gt;=1,Q$5-$K$405&lt;=Inputs!$C$13),INDEX($N$408:$AL$408,1,Q$5-$K$405+1)*INDEX($N$409:$AL$409,1,Q$5-$K$405+1),0)-$I$405*((Q$5=Inputs!$C$12)*$C$407*$D$405+(Q$5=Inputs!$C$13)*$D$407*($D$405+Inputs!$C$14))+$I$405*((Q$5=Inputs!$C$15+$K$405)*$E$407*$I$407+(Q$5=Inputs!$C$16+$K$405)*$F$407*$J$407+(Q$5=Inputs!$C$17)*$G$407*$H$405*$H$407)</f>
        <v>58.8</v>
      </c>
      <c r="R410" s="42" t="n">
        <f aca="false">-($D$405+$J$405)*(R$5=0)+IF(AND(R$5-$K$405&gt;=1,R$5-$K$405&lt;=Inputs!$C$13),INDEX($N$408:$AL$408,1,R$5-$K$405+1)*INDEX($N$409:$AL$409,1,R$5-$K$405+1),0)-$I$405*((R$5=Inputs!$C$12)*$C$407*$D$405+(R$5=Inputs!$C$13)*$D$407*($D$405+Inputs!$C$14))+$I$405*((R$5=Inputs!$C$15+$K$405)*$E$407*$I$407+(R$5=Inputs!$C$16+$K$405)*$F$407*$J$407+(R$5=Inputs!$C$17)*$G$407*$H$405*$H$407)</f>
        <v>52.92</v>
      </c>
      <c r="S410" s="42" t="n">
        <f aca="false">-($D$405+$J$405)*(S$5=0)+IF(AND(S$5-$K$405&gt;=1,S$5-$K$405&lt;=Inputs!$C$13),INDEX($N$408:$AL$408,1,S$5-$K$405+1)*INDEX($N$409:$AL$409,1,S$5-$K$405+1),0)-$I$405*((S$5=Inputs!$C$12)*$C$407*$D$405+(S$5=Inputs!$C$13)*$D$407*($D$405+Inputs!$C$14))+$I$405*((S$5=Inputs!$C$15+$K$405)*$E$407*$I$407+(S$5=Inputs!$C$16+$K$405)*$F$407*$J$407+(S$5=Inputs!$C$17)*$G$407*$H$405*$H$407)</f>
        <v>41.16</v>
      </c>
      <c r="T410" s="42" t="n">
        <f aca="false">-($D$405+$J$405)*(T$5=0)+IF(AND(T$5-$K$405&gt;=1,T$5-$K$405&lt;=Inputs!$C$13),INDEX($N$408:$AL$408,1,T$5-$K$405+1)*INDEX($N$409:$AL$409,1,T$5-$K$405+1),0)-$I$405*((T$5=Inputs!$C$12)*$C$407*$D$405+(T$5=Inputs!$C$13)*$D$407*($D$405+Inputs!$C$14))+$I$405*((T$5=Inputs!$C$15+$K$405)*$E$407*$I$407+(T$5=Inputs!$C$16+$K$405)*$F$407*$J$407+(T$5=Inputs!$C$17)*$G$407*$H$405*$H$407)</f>
        <v>41.3233333333333</v>
      </c>
      <c r="U410" s="42" t="n">
        <f aca="false">-($D$405+$J$405)*(U$5=0)+IF(AND(U$5-$K$405&gt;=1,U$5-$K$405&lt;=Inputs!$C$13),INDEX($N$408:$AL$408,1,U$5-$K$405+1)*INDEX($N$409:$AL$409,1,U$5-$K$405+1),0)-$I$405*((U$5=Inputs!$C$12)*$C$407*$D$405+(U$5=Inputs!$C$13)*$D$407*($D$405+Inputs!$C$14))+$I$405*((U$5=Inputs!$C$15+$K$405)*$E$407*$I$407+(U$5=Inputs!$C$16+$K$405)*$F$407*$J$407+(U$5=Inputs!$C$17)*$G$407*$H$405*$H$407)</f>
        <v>41.748</v>
      </c>
      <c r="V410" s="42" t="n">
        <f aca="false">-($D$405+$J$405)*(V$5=0)+IF(AND(V$5-$K$405&gt;=1,V$5-$K$405&lt;=Inputs!$C$13),INDEX($N$408:$AL$408,1,V$5-$K$405+1)*INDEX($N$409:$AL$409,1,V$5-$K$405+1),0)-$I$405*((V$5=Inputs!$C$12)*$C$407*$D$405+(V$5=Inputs!$C$13)*$D$407*($D$405+Inputs!$C$14))+$I$405*((V$5=Inputs!$C$15+$K$405)*$E$407*$I$407+(V$5=Inputs!$C$16+$K$405)*$F$407*$J$407+(V$5=Inputs!$C$17)*$G$407*$H$405*$H$407)</f>
        <v>26.1068888888889</v>
      </c>
      <c r="W410" s="42" t="n">
        <f aca="false">-($D$405+$J$405)*(W$5=0)+IF(AND(W$5-$K$405&gt;=1,W$5-$K$405&lt;=Inputs!$C$13),INDEX($N$408:$AL$408,1,W$5-$K$405+1)*INDEX($N$409:$AL$409,1,W$5-$K$405+1),0)-$I$405*((W$5=Inputs!$C$12)*$C$407*$D$405+(W$5=Inputs!$C$13)*$D$407*($D$405+Inputs!$C$14))+$I$405*((W$5=Inputs!$C$15+$K$405)*$E$407*$I$407+(W$5=Inputs!$C$16+$K$405)*$F$407*$J$407+(W$5=Inputs!$C$17)*$G$407*$H$405*$H$407)</f>
        <v>26.3697777777778</v>
      </c>
      <c r="X410" s="42" t="n">
        <f aca="false">-($D$405+$J$405)*(X$5=0)+IF(AND(X$5-$K$405&gt;=1,X$5-$K$405&lt;=Inputs!$C$13),INDEX($N$408:$AL$408,1,X$5-$K$405+1)*INDEX($N$409:$AL$409,1,X$5-$K$405+1),0)-$I$405*((X$5=Inputs!$C$12)*$C$407*$D$405+(X$5=Inputs!$C$13)*$D$407*($D$405+Inputs!$C$14))+$I$405*((X$5=Inputs!$C$15+$K$405)*$E$407*$I$407+(X$5=Inputs!$C$16+$K$405)*$F$407*$J$407+(X$5=Inputs!$C$17)*$G$407*$H$405*$H$407)</f>
        <v>26.6326666666667</v>
      </c>
      <c r="Y410" s="42" t="n">
        <f aca="false">-($D$405+$J$405)*(Y$5=0)+IF(AND(Y$5-$K$405&gt;=1,Y$5-$K$405&lt;=Inputs!$C$13),INDEX($N$408:$AL$408,1,Y$5-$K$405+1)*INDEX($N$409:$AL$409,1,Y$5-$K$405+1),0)-$I$405*((Y$5=Inputs!$C$12)*$C$407*$D$405+(Y$5=Inputs!$C$13)*$D$407*($D$405+Inputs!$C$14))+$I$405*((Y$5=Inputs!$C$15+$K$405)*$E$407*$I$407+(Y$5=Inputs!$C$16+$K$405)*$F$407*$J$407+(Y$5=Inputs!$C$17)*$G$407*$H$405*$H$407)</f>
        <v>22.7577777777778</v>
      </c>
      <c r="Z410" s="42" t="n">
        <f aca="false">-($D$405+$J$405)*(Z$5=0)+IF(AND(Z$5-$K$405&gt;=1,Z$5-$K$405&lt;=Inputs!$C$13),INDEX($N$408:$AL$408,1,Z$5-$K$405+1)*INDEX($N$409:$AL$409,1,Z$5-$K$405+1),0)-$I$405*((Z$5=Inputs!$C$12)*$C$407*$D$405+(Z$5=Inputs!$C$13)*$D$407*($D$405+Inputs!$C$14))+$I$405*((Z$5=Inputs!$C$15+$K$405)*$E$407*$I$407+(Z$5=Inputs!$C$16+$K$405)*$F$407*$J$407+(Z$5=Inputs!$C$17)*$G$407*$H$405*$H$407)</f>
        <v>22.9802222222223</v>
      </c>
      <c r="AA410" s="42" t="n">
        <f aca="false">-($D$405+$J$405)*(AA$5=0)+IF(AND(AA$5-$K$405&gt;=1,AA$5-$K$405&lt;=Inputs!$C$13),INDEX($N$408:$AL$408,1,AA$5-$K$405+1)*INDEX($N$409:$AL$409,1,AA$5-$K$405+1),0)-$I$405*((AA$5=Inputs!$C$12)*$C$407*$D$405+(AA$5=Inputs!$C$13)*$D$407*($D$405+Inputs!$C$14))+$I$405*((AA$5=Inputs!$C$15+$K$405)*$E$407*$I$407+(AA$5=Inputs!$C$16+$K$405)*$F$407*$J$407+(AA$5=Inputs!$C$17)*$G$407*$H$405*$H$407)</f>
        <v>23.2026666666666</v>
      </c>
      <c r="AB410" s="42" t="n">
        <f aca="false">-($D$405+$J$405)*(AB$5=0)+IF(AND(AB$5-$K$405&gt;=1,AB$5-$K$405&lt;=Inputs!$C$13),INDEX($N$408:$AL$408,1,AB$5-$K$405+1)*INDEX($N$409:$AL$409,1,AB$5-$K$405+1),0)-$I$405*((AB$5=Inputs!$C$12)*$C$407*$D$405+(AB$5=Inputs!$C$13)*$D$407*($D$405+Inputs!$C$14))+$I$405*((AB$5=Inputs!$C$15+$K$405)*$E$407*$I$407+(AB$5=Inputs!$C$16+$K$405)*$F$407*$J$407+(AB$5=Inputs!$C$17)*$G$407*$H$405*$H$407)</f>
        <v>14.9068888888889</v>
      </c>
      <c r="AC410" s="42" t="n">
        <f aca="false">-($D$405+$J$405)*(AC$5=0)+IF(AND(AC$5-$K$405&gt;=1,AC$5-$K$405&lt;=Inputs!$C$13),INDEX($N$408:$AL$408,1,AC$5-$K$405+1)*INDEX($N$409:$AL$409,1,AC$5-$K$405+1),0)-$I$405*((AC$5=Inputs!$C$12)*$C$407*$D$405+(AC$5=Inputs!$C$13)*$D$407*($D$405+Inputs!$C$14))+$I$405*((AC$5=Inputs!$C$15+$K$405)*$E$407*$I$407+(AC$5=Inputs!$C$16+$K$405)*$F$407*$J$407+(AC$5=Inputs!$C$17)*$G$407*$H$405*$H$407)</f>
        <v>15.0484444444444</v>
      </c>
      <c r="AD410" s="42" t="n">
        <f aca="false">-($D$405+$J$405)*(AD$5=0)+IF(AND(AD$5-$K$405&gt;=1,AD$5-$K$405&lt;=Inputs!$C$13),INDEX($N$408:$AL$408,1,AD$5-$K$405+1)*INDEX($N$409:$AL$409,1,AD$5-$K$405+1),0)-$I$405*((AD$5=Inputs!$C$12)*$C$407*$D$405+(AD$5=Inputs!$C$13)*$D$407*($D$405+Inputs!$C$14))+$I$405*((AD$5=Inputs!$C$15+$K$405)*$E$407*$I$407+(AD$5=Inputs!$C$16+$K$405)*$F$407*$J$407+(AD$5=Inputs!$C$17)*$G$407*$H$405*$H$407)</f>
        <v>15.1900000000001</v>
      </c>
      <c r="AE410" s="42" t="n">
        <f aca="false">-($D$405+$J$405)*(AE$5=0)+IF(AND(AE$5-$K$405&gt;=1,AE$5-$K$405&lt;=Inputs!$C$13),INDEX($N$408:$AL$408,1,AE$5-$K$405+1)*INDEX($N$409:$AL$409,1,AE$5-$K$405+1),0)-$I$405*((AE$5=Inputs!$C$12)*$C$407*$D$405+(AE$5=Inputs!$C$13)*$D$407*($D$405+Inputs!$C$14))+$I$405*((AE$5=Inputs!$C$15+$K$405)*$E$407*$I$407+(AE$5=Inputs!$C$16+$K$405)*$F$407*$J$407+(AE$5=Inputs!$C$17)*$G$407*$H$405*$H$407)</f>
        <v>15.3315555555555</v>
      </c>
      <c r="AF410" s="42" t="n">
        <f aca="false">-($D$405+$J$405)*(AF$5=0)+IF(AND(AF$5-$K$405&gt;=1,AF$5-$K$405&lt;=Inputs!$C$13),INDEX($N$408:$AL$408,1,AF$5-$K$405+1)*INDEX($N$409:$AL$409,1,AF$5-$K$405+1),0)-$I$405*((AF$5=Inputs!$C$12)*$C$407*$D$405+(AF$5=Inputs!$C$13)*$D$407*($D$405+Inputs!$C$14))+$I$405*((AF$5=Inputs!$C$15+$K$405)*$E$407*$I$407+(AF$5=Inputs!$C$16+$K$405)*$F$407*$J$407+(AF$5=Inputs!$C$17)*$G$407*$H$405*$H$407)</f>
        <v>15.4731111111111</v>
      </c>
      <c r="AG410" s="42" t="n">
        <f aca="false">-($D$405+$J$405)*(AG$5=0)+IF(AND(AG$5-$K$405&gt;=1,AG$5-$K$405&lt;=Inputs!$C$13),INDEX($N$408:$AL$408,1,AG$5-$K$405+1)*INDEX($N$409:$AL$409,1,AG$5-$K$405+1),0)-$I$405*((AG$5=Inputs!$C$12)*$C$407*$D$405+(AG$5=Inputs!$C$13)*$D$407*($D$405+Inputs!$C$14))+$I$405*((AG$5=Inputs!$C$15+$K$405)*$E$407*$I$407+(AG$5=Inputs!$C$16+$K$405)*$F$407*$J$407+(AG$5=Inputs!$C$17)*$G$407*$H$405*$H$407)</f>
        <v>15.6146666666667</v>
      </c>
      <c r="AH410" s="42" t="n">
        <f aca="false">-($D$405+$J$405)*(AH$5=0)+IF(AND(AH$5-$K$405&gt;=1,AH$5-$K$405&lt;=Inputs!$C$13),INDEX($N$408:$AL$408,1,AH$5-$K$405+1)*INDEX($N$409:$AL$409,1,AH$5-$K$405+1),0)-$I$405*((AH$5=Inputs!$C$12)*$C$407*$D$405+(AH$5=Inputs!$C$13)*$D$407*($D$405+Inputs!$C$14))+$I$405*((AH$5=Inputs!$C$15+$K$405)*$E$407*$I$407+(AH$5=Inputs!$C$16+$K$405)*$F$407*$J$407+(AH$5=Inputs!$C$17)*$G$407*$H$405*$H$407)</f>
        <v>11.2544444444445</v>
      </c>
      <c r="AI410" s="42" t="n">
        <f aca="false">-($D$405+$J$405)*(AI$5=0)+IF(AND(AI$5-$K$405&gt;=1,AI$5-$K$405&lt;=Inputs!$C$13),INDEX($N$408:$AL$408,1,AI$5-$K$405+1)*INDEX($N$409:$AL$409,1,AI$5-$K$405+1),0)-$I$405*((AI$5=Inputs!$C$12)*$C$407*$D$405+(AI$5=Inputs!$C$13)*$D$407*($D$405+Inputs!$C$14))+$I$405*((AI$5=Inputs!$C$15+$K$405)*$E$407*$I$407+(AI$5=Inputs!$C$16+$K$405)*$F$407*$J$407+(AI$5=Inputs!$C$17)*$G$407*$H$405*$H$407)</f>
        <v>11.3555555555555</v>
      </c>
      <c r="AJ410" s="42" t="n">
        <f aca="false">-($D$405+$J$405)*(AJ$5=0)+IF(AND(AJ$5-$K$405&gt;=1,AJ$5-$K$405&lt;=Inputs!$C$13),INDEX($N$408:$AL$408,1,AJ$5-$K$405+1)*INDEX($N$409:$AL$409,1,AJ$5-$K$405+1),0)-$I$405*((AJ$5=Inputs!$C$12)*$C$407*$D$405+(AJ$5=Inputs!$C$13)*$D$407*($D$405+Inputs!$C$14))+$I$405*((AJ$5=Inputs!$C$15+$K$405)*$E$407*$I$407+(AJ$5=Inputs!$C$16+$K$405)*$F$407*$J$407+(AJ$5=Inputs!$C$17)*$G$407*$H$405*$H$407)</f>
        <v>11.4566666666666</v>
      </c>
      <c r="AK410" s="42" t="n">
        <f aca="false">-($D$405+$J$405)*(AK$5=0)+IF(AND(AK$5-$K$405&gt;=1,AK$5-$K$405&lt;=Inputs!$C$13),INDEX($N$408:$AL$408,1,AK$5-$K$405+1)*INDEX($N$409:$AL$409,1,AK$5-$K$405+1),0)-$I$405*((AK$5=Inputs!$C$12)*$C$407*$D$405+(AK$5=Inputs!$C$13)*$D$407*($D$405+Inputs!$C$14))+$I$405*((AK$5=Inputs!$C$15+$K$405)*$E$407*$I$407+(AK$5=Inputs!$C$16+$K$405)*$F$407*$J$407+(AK$5=Inputs!$C$17)*$G$407*$H$405*$H$407)</f>
        <v>11.5577777777778</v>
      </c>
      <c r="AL410" s="42" t="n">
        <f aca="false">-($D$405+$J$405)*(AL$5=0)+IF(AND(AL$5-$K$405&gt;=1,AL$5-$K$405&lt;=Inputs!$C$13),INDEX($N$408:$AL$408,1,AL$5-$K$405+1)*INDEX($N$409:$AL$409,1,AL$5-$K$405+1),0)-$I$405*((AL$5=Inputs!$C$12)*$C$407*$D$405+(AL$5=Inputs!$C$13)*$D$407*($D$405+Inputs!$C$14))+$I$405*((AL$5=Inputs!$C$15+$K$405)*$E$407*$I$407+(AL$5=Inputs!$C$16+$K$405)*$F$407*$J$407+(AL$5=Inputs!$C$17)*$G$407*$H$405*$H$407)</f>
        <v>11.6588888888889</v>
      </c>
      <c r="AM410" s="42" t="n">
        <f aca="false">-($D$405+$J$405)*(AM$5=0)+IF(AND(AM$5-$K$405&gt;=1,AM$5-$K$405&lt;=Inputs!$C$13),INDEX($N$408:$AL$408,1,AM$5-$K$405+1)*INDEX($N$409:$AL$409,1,AM$5-$K$405+1),0)-$I$405*((AM$5=Inputs!$C$12)*$C$407*$D$405+(AM$5=Inputs!$C$13)*$D$407*($D$405+Inputs!$C$14))+$I$405*((AM$5=Inputs!$C$15+$K$405)*$E$407*$I$407+(AM$5=Inputs!$C$16+$K$405)*$F$407*$J$407+(AM$5=Inputs!$C$17)*$G$407*$H$405*$H$407)</f>
        <v>11.76</v>
      </c>
      <c r="AN410" s="42" t="n">
        <f aca="false">-($D$405+$J$405)*(AN$5=0)+IF(AND(AN$5-$K$405&gt;=1,AN$5-$K$405&lt;=Inputs!$C$13),INDEX($N$408:$AL$408,1,AN$5-$K$405+1)*INDEX($N$409:$AL$409,1,AN$5-$K$405+1),0)-$I$405*((AN$5=Inputs!$C$12)*$C$407*$D$405+(AN$5=Inputs!$C$13)*$D$407*($D$405+Inputs!$C$14))+$I$405*((AN$5=Inputs!$C$15+$K$405)*$E$407*$I$407+(AN$5=Inputs!$C$16+$K$405)*$F$407*$J$407+(AN$5=Inputs!$C$17)*$G$407*$H$405*$H$407)</f>
        <v>0</v>
      </c>
      <c r="AO410" s="42" t="n">
        <f aca="false">-($D$405+$J$405)*(AO$5=0)+IF(AND(AO$5-$K$405&gt;=1,AO$5-$K$405&lt;=Inputs!$C$13),INDEX($N$408:$AL$408,1,AO$5-$K$405+1)*INDEX($N$409:$AL$409,1,AO$5-$K$405+1),0)-$I$405*((AO$5=Inputs!$C$12)*$C$407*$D$405+(AO$5=Inputs!$C$13)*$D$407*($D$405+Inputs!$C$14))+$I$405*((AO$5=Inputs!$C$15+$K$405)*$E$407*$I$407+(AO$5=Inputs!$C$16+$K$405)*$F$407*$J$407+(AO$5=Inputs!$C$17)*$G$407*$H$405*$H$407)</f>
        <v>0</v>
      </c>
      <c r="AP410" s="42" t="n">
        <f aca="false">-($D$405+$J$405)*(AP$5=0)+IF(AND(AP$5-$K$405&gt;=1,AP$5-$K$405&lt;=Inputs!$C$13),INDEX($N$408:$AL$408,1,AP$5-$K$405+1)*INDEX($N$409:$AL$409,1,AP$5-$K$405+1),0)-$I$405*((AP$5=Inputs!$C$12)*$C$407*$D$405+(AP$5=Inputs!$C$13)*$D$407*($D$405+Inputs!$C$14))+$I$405*((AP$5=Inputs!$C$15+$K$405)*$E$407*$I$407+(AP$5=Inputs!$C$16+$K$405)*$F$407*$J$407+(AP$5=Inputs!$C$17)*$G$407*$H$405*$H$407)</f>
        <v>0</v>
      </c>
      <c r="AQ410" s="42" t="n">
        <f aca="false">-($D$405+$J$405)*(AQ$5=0)+IF(AND(AQ$5-$K$405&gt;=1,AQ$5-$K$405&lt;=Inputs!$C$13),INDEX($N$408:$AL$408,1,AQ$5-$K$405+1)*INDEX($N$409:$AL$409,1,AQ$5-$K$405+1),0)-$I$405*((AQ$5=Inputs!$C$12)*$C$407*$D$405+(AQ$5=Inputs!$C$13)*$D$407*($D$405+Inputs!$C$14))+$I$405*((AQ$5=Inputs!$C$15+$K$405)*$E$407*$I$407+(AQ$5=Inputs!$C$16+$K$405)*$F$407*$J$407+(AQ$5=Inputs!$C$17)*$G$407*$H$405*$H$407)</f>
        <v>0</v>
      </c>
      <c r="AR410" s="42" t="n">
        <f aca="false">-($D$405+$J$405)*(AR$5=0)+IF(AND(AR$5-$K$405&gt;=1,AR$5-$K$405&lt;=Inputs!$C$13),INDEX($N$408:$AL$408,1,AR$5-$K$405+1)*INDEX($N$409:$AL$409,1,AR$5-$K$405+1),0)-$I$405*((AR$5=Inputs!$C$12)*$C$407*$D$405+(AR$5=Inputs!$C$13)*$D$407*($D$405+Inputs!$C$14))+$I$405*((AR$5=Inputs!$C$15+$K$405)*$E$407*$I$407+(AR$5=Inputs!$C$16+$K$405)*$F$407*$J$407+(AR$5=Inputs!$C$17)*$G$407*$H$405*$H$407)</f>
        <v>0</v>
      </c>
      <c r="AS410" s="42" t="n">
        <f aca="false">-($D$405+$J$405)*(AS$5=0)+IF(AND(AS$5-$K$405&gt;=1,AS$5-$K$405&lt;=Inputs!$C$13),INDEX($N$408:$AL$408,1,AS$5-$K$405+1)*INDEX($N$409:$AL$409,1,AS$5-$K$405+1),0)-$I$405*((AS$5=Inputs!$C$12)*$C$407*$D$405+(AS$5=Inputs!$C$13)*$D$407*($D$405+Inputs!$C$14))+$I$405*((AS$5=Inputs!$C$15+$K$405)*$E$407*$I$407+(AS$5=Inputs!$C$16+$K$405)*$F$407*$J$407+(AS$5=Inputs!$C$17)*$G$407*$H$405*$H$407)</f>
        <v>0</v>
      </c>
      <c r="AT410" s="42" t="n">
        <f aca="false">-($D$405+$J$405)*(AT$5=0)+IF(AND(AT$5-$K$405&gt;=1,AT$5-$K$405&lt;=Inputs!$C$13),INDEX($N$408:$AL$408,1,AT$5-$K$405+1)*INDEX($N$409:$AL$409,1,AT$5-$K$405+1),0)-$I$405*((AT$5=Inputs!$C$12)*$C$407*$D$405+(AT$5=Inputs!$C$13)*$D$407*($D$405+Inputs!$C$14))+$I$405*((AT$5=Inputs!$C$15+$K$405)*$E$407*$I$407+(AT$5=Inputs!$C$16+$K$405)*$F$407*$J$407+(AT$5=Inputs!$C$17)*$G$407*$H$405*$H$407)</f>
        <v>0</v>
      </c>
      <c r="AU410" s="42" t="n">
        <f aca="false">-($D$405+$J$405)*(AU$5=0)+IF(AND(AU$5-$K$405&gt;=1,AU$5-$K$405&lt;=Inputs!$C$13),INDEX($N$408:$AL$408,1,AU$5-$K$405+1)*INDEX($N$409:$AL$409,1,AU$5-$K$405+1),0)-$I$405*((AU$5=Inputs!$C$12)*$C$407*$D$405+(AU$5=Inputs!$C$13)*$D$407*($D$405+Inputs!$C$14))+$I$405*((AU$5=Inputs!$C$15+$K$405)*$E$407*$I$407+(AU$5=Inputs!$C$16+$K$405)*$F$407*$J$407+(AU$5=Inputs!$C$17)*$G$407*$H$405*$H$407)</f>
        <v>0</v>
      </c>
      <c r="AV410" s="42" t="n">
        <f aca="false">-($D$405+$J$405)*(AV$5=0)+IF(AND(AV$5-$K$405&gt;=1,AV$5-$K$405&lt;=Inputs!$C$13),INDEX($N$408:$AL$408,1,AV$5-$K$405+1)*INDEX($N$409:$AL$409,1,AV$5-$K$405+1),0)-$I$405*((AV$5=Inputs!$C$12)*$C$407*$D$405+(AV$5=Inputs!$C$13)*$D$407*($D$405+Inputs!$C$14))+$I$405*((AV$5=Inputs!$C$15+$K$405)*$E$407*$I$407+(AV$5=Inputs!$C$16+$K$405)*$F$407*$J$407+(AV$5=Inputs!$C$17)*$G$407*$H$405*$H$407)</f>
        <v>0</v>
      </c>
      <c r="AW410" s="42" t="n">
        <f aca="false">-($D$405+$J$405)*(AW$5=0)+IF(AND(AW$5-$K$405&gt;=1,AW$5-$K$405&lt;=Inputs!$C$13),INDEX($N$408:$AL$408,1,AW$5-$K$405+1)*INDEX($N$409:$AL$409,1,AW$5-$K$405+1),0)-$I$405*((AW$5=Inputs!$C$12)*$C$407*$D$405+(AW$5=Inputs!$C$13)*$D$407*($D$405+Inputs!$C$14))+$I$405*((AW$5=Inputs!$C$15+$K$405)*$E$407*$I$407+(AW$5=Inputs!$C$16+$K$405)*$F$407*$J$407+(AW$5=Inputs!$C$17)*$G$407*$H$405*$H$407)</f>
        <v>0</v>
      </c>
      <c r="AX410" s="42" t="n">
        <f aca="false">-($D$405+$J$405)*(AX$5=0)+IF(AND(AX$5-$K$405&gt;=1,AX$5-$K$405&lt;=Inputs!$C$13),INDEX($N$408:$AL$408,1,AX$5-$K$405+1)*INDEX($N$409:$AL$409,1,AX$5-$K$405+1),0)-$I$405*((AX$5=Inputs!$C$12)*$C$407*$D$405+(AX$5=Inputs!$C$13)*$D$407*($D$405+Inputs!$C$14))+$I$405*((AX$5=Inputs!$C$15+$K$405)*$E$407*$I$407+(AX$5=Inputs!$C$16+$K$405)*$F$407*$J$407+(AX$5=Inputs!$C$17)*$G$407*$H$405*$H$407)</f>
        <v>0</v>
      </c>
      <c r="AY410" s="42" t="n">
        <f aca="false">-($D$405+$J$405)*(AY$5=0)+IF(AND(AY$5-$K$405&gt;=1,AY$5-$K$405&lt;=Inputs!$C$13),INDEX($N$408:$AL$408,1,AY$5-$K$405+1)*INDEX($N$409:$AL$409,1,AY$5-$K$405+1),0)-$I$405*((AY$5=Inputs!$C$12)*$C$407*$D$405+(AY$5=Inputs!$C$13)*$D$407*($D$405+Inputs!$C$14))+$I$405*((AY$5=Inputs!$C$15+$K$405)*$E$407*$I$407+(AY$5=Inputs!$C$16+$K$405)*$F$407*$J$407+(AY$5=Inputs!$C$17)*$G$407*$H$405*$H$407)</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AY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22"/>
    <col collapsed="false" customWidth="true" hidden="false" outlineLevel="0" max="4" min="4" style="0" width="9"/>
    <col collapsed="false" customWidth="true" hidden="false" outlineLevel="0" max="6" min="5" style="0" width="11"/>
    <col collapsed="false" customWidth="true" hidden="false" outlineLevel="0" max="10" min="7" style="0" width="13"/>
    <col collapsed="false" customWidth="true" hidden="false" outlineLevel="0" max="13" min="13" style="0" width="2"/>
    <col collapsed="false" customWidth="true" hidden="false" outlineLevel="0" max="51" min="14" style="0" width="10.5"/>
  </cols>
  <sheetData>
    <row r="1" customFormat="false" ht="6" hidden="false" customHeight="true" outlineLevel="0" collapsed="false"/>
    <row r="2" customFormat="false" ht="17.35" hidden="false" customHeight="false" outlineLevel="0" collapsed="false">
      <c r="B2" s="5" t="s">
        <v>286</v>
      </c>
    </row>
    <row r="3" customFormat="false" ht="15" hidden="false" customHeight="false" outlineLevel="0" collapsed="false">
      <c r="B3" s="6" t="s">
        <v>287</v>
      </c>
    </row>
    <row r="5" customFormat="false" ht="15" hidden="false" customHeight="false" outlineLevel="0" collapsed="false">
      <c r="B5" s="7" t="s">
        <v>167</v>
      </c>
      <c r="N5" s="24" t="n">
        <v>0</v>
      </c>
      <c r="O5" s="24" t="n">
        <v>1</v>
      </c>
      <c r="P5" s="24" t="n">
        <v>2</v>
      </c>
      <c r="Q5" s="24" t="n">
        <v>3</v>
      </c>
      <c r="R5" s="24" t="n">
        <v>4</v>
      </c>
      <c r="S5" s="24" t="n">
        <v>5</v>
      </c>
      <c r="T5" s="24" t="n">
        <v>6</v>
      </c>
      <c r="U5" s="24" t="n">
        <v>7</v>
      </c>
      <c r="V5" s="24" t="n">
        <v>8</v>
      </c>
      <c r="W5" s="24" t="n">
        <v>9</v>
      </c>
      <c r="X5" s="24" t="n">
        <v>10</v>
      </c>
      <c r="Y5" s="24" t="n">
        <v>11</v>
      </c>
      <c r="Z5" s="24" t="n">
        <v>12</v>
      </c>
      <c r="AA5" s="24" t="n">
        <v>13</v>
      </c>
      <c r="AB5" s="24" t="n">
        <v>14</v>
      </c>
      <c r="AC5" s="24" t="n">
        <v>15</v>
      </c>
      <c r="AD5" s="24" t="n">
        <v>16</v>
      </c>
      <c r="AE5" s="24" t="n">
        <v>17</v>
      </c>
      <c r="AF5" s="24" t="n">
        <v>18</v>
      </c>
      <c r="AG5" s="24" t="n">
        <v>19</v>
      </c>
      <c r="AH5" s="24" t="n">
        <v>20</v>
      </c>
      <c r="AI5" s="24" t="n">
        <v>21</v>
      </c>
      <c r="AJ5" s="24" t="n">
        <v>22</v>
      </c>
      <c r="AK5" s="24" t="n">
        <v>23</v>
      </c>
      <c r="AL5" s="24" t="n">
        <v>24</v>
      </c>
      <c r="AM5" s="24" t="n">
        <v>25</v>
      </c>
      <c r="AN5" s="24" t="n">
        <v>26</v>
      </c>
      <c r="AO5" s="24" t="n">
        <v>27</v>
      </c>
      <c r="AP5" s="24" t="n">
        <v>28</v>
      </c>
      <c r="AQ5" s="24" t="n">
        <v>29</v>
      </c>
      <c r="AR5" s="24" t="n">
        <v>30</v>
      </c>
      <c r="AS5" s="24" t="n">
        <v>31</v>
      </c>
      <c r="AT5" s="24" t="n">
        <v>32</v>
      </c>
      <c r="AU5" s="24" t="n">
        <v>33</v>
      </c>
      <c r="AV5" s="24" t="n">
        <v>34</v>
      </c>
      <c r="AW5" s="24" t="n">
        <v>35</v>
      </c>
      <c r="AX5" s="24" t="n">
        <v>36</v>
      </c>
      <c r="AY5" s="24" t="n">
        <v>37</v>
      </c>
    </row>
    <row r="6" customFormat="false" ht="30" hidden="false" customHeight="true" outlineLevel="0" collapsed="false">
      <c r="B6" s="14" t="s">
        <v>288</v>
      </c>
      <c r="C6" s="15" t="s">
        <v>86</v>
      </c>
      <c r="D6" s="15" t="s">
        <v>289</v>
      </c>
      <c r="E6" s="15" t="s">
        <v>182</v>
      </c>
      <c r="F6" s="15" t="s">
        <v>183</v>
      </c>
      <c r="G6" s="15" t="s">
        <v>290</v>
      </c>
      <c r="H6" s="15" t="s">
        <v>291</v>
      </c>
      <c r="I6" s="15" t="s">
        <v>292</v>
      </c>
      <c r="J6" s="15" t="s">
        <v>293</v>
      </c>
    </row>
    <row r="7" customFormat="false" ht="15" hidden="false" customHeight="false" outlineLevel="0" collapsed="false">
      <c r="B7" s="9" t="s">
        <v>294</v>
      </c>
      <c r="C7" s="27" t="str">
        <f aca="false">Inputs!$B$55</f>
        <v>Base</v>
      </c>
      <c r="D7" s="22" t="n">
        <f aca="false">Inputs!$D$43</f>
        <v>2</v>
      </c>
      <c r="E7" s="40" t="n">
        <f aca="false">IRR($N7:$AY7,0.005)</f>
        <v>0.00607759906207954</v>
      </c>
      <c r="F7" s="41" t="n">
        <f aca="false">(1+E7)^12-1</f>
        <v>0.0754191143018372</v>
      </c>
      <c r="G7" s="30" t="n">
        <f aca="false">-N7</f>
        <v>229300</v>
      </c>
      <c r="H7" s="30" t="n">
        <f aca="false">-SUMIF(O7:AY7,"&lt;0")</f>
        <v>72357.6611999999</v>
      </c>
      <c r="I7" s="30" t="n">
        <f aca="false">SUMIF($N7:$AY7,"&gt;0")</f>
        <v>321668.04185</v>
      </c>
      <c r="J7" s="30" t="n">
        <f aca="false">I7-G7-H7</f>
        <v>20010.38065</v>
      </c>
      <c r="N7" s="29" t="n">
        <f aca="false">Inputs!$D$39*Portfolio_Flows!N14+Inputs!$D$40*Portfolio_Flows!N23+Inputs!$D$41*Portfolio_Flows!N32+(Inputs!$D$42+Inputs!$D$43-$D7)*Portfolio_Flows!N41+$D7*Portfolio_Flows!N50</f>
        <v>-229300</v>
      </c>
      <c r="O7" s="29" t="n">
        <f aca="false">Inputs!$D$39*Portfolio_Flows!O14+Inputs!$D$40*Portfolio_Flows!O23+Inputs!$D$41*Portfolio_Flows!O32+(Inputs!$D$42+Inputs!$D$43-$D7)*Portfolio_Flows!O41+$D7*Portfolio_Flows!O50</f>
        <v>0</v>
      </c>
      <c r="P7" s="29" t="n">
        <f aca="false">Inputs!$D$39*Portfolio_Flows!P14+Inputs!$D$40*Portfolio_Flows!P23+Inputs!$D$41*Portfolio_Flows!P32+(Inputs!$D$42+Inputs!$D$43-$D7)*Portfolio_Flows!P41+$D7*Portfolio_Flows!P50</f>
        <v>26685.288</v>
      </c>
      <c r="Q7" s="29" t="n">
        <f aca="false">Inputs!$D$39*Portfolio_Flows!Q14+Inputs!$D$40*Portfolio_Flows!Q23+Inputs!$D$41*Portfolio_Flows!Q32+(Inputs!$D$42+Inputs!$D$43-$D7)*Portfolio_Flows!Q41+$D7*Portfolio_Flows!Q50</f>
        <v>22237.74</v>
      </c>
      <c r="R7" s="29" t="n">
        <f aca="false">Inputs!$D$39*Portfolio_Flows!R14+Inputs!$D$40*Portfolio_Flows!R23+Inputs!$D$41*Portfolio_Flows!R32+(Inputs!$D$42+Inputs!$D$43-$D7)*Portfolio_Flows!R41+$D7*Portfolio_Flows!R50</f>
        <v>20013.966</v>
      </c>
      <c r="S7" s="29" t="n">
        <f aca="false">Inputs!$D$39*Portfolio_Flows!S14+Inputs!$D$40*Portfolio_Flows!S23+Inputs!$D$41*Portfolio_Flows!S32+(Inputs!$D$42+Inputs!$D$43-$D7)*Portfolio_Flows!S41+$D7*Portfolio_Flows!S50</f>
        <v>15566.418</v>
      </c>
      <c r="T7" s="29" t="n">
        <f aca="false">Inputs!$D$39*Portfolio_Flows!T14+Inputs!$D$40*Portfolio_Flows!T23+Inputs!$D$41*Portfolio_Flows!T32+(Inputs!$D$42+Inputs!$D$43-$D7)*Portfolio_Flows!T41+$D7*Portfolio_Flows!T50</f>
        <v>15571.598</v>
      </c>
      <c r="U7" s="29" t="n">
        <f aca="false">Inputs!$D$39*Portfolio_Flows!U14+Inputs!$D$40*Portfolio_Flows!U23+Inputs!$D$41*Portfolio_Flows!U32+(Inputs!$D$42+Inputs!$D$43-$D7)*Portfolio_Flows!U41+$D7*Portfolio_Flows!U50</f>
        <v>15585.066</v>
      </c>
      <c r="V7" s="29" t="n">
        <f aca="false">Inputs!$D$39*Portfolio_Flows!V14+Inputs!$D$40*Portfolio_Flows!V23+Inputs!$D$41*Portfolio_Flows!V32+(Inputs!$D$42+Inputs!$D$43-$D7)*Portfolio_Flows!V41+$D7*Portfolio_Flows!V50</f>
        <v>9660.86658333333</v>
      </c>
      <c r="W7" s="29" t="n">
        <f aca="false">Inputs!$D$39*Portfolio_Flows!W14+Inputs!$D$40*Portfolio_Flows!W23+Inputs!$D$41*Portfolio_Flows!W32+(Inputs!$D$42+Inputs!$D$43-$D7)*Portfolio_Flows!W41+$D7*Portfolio_Flows!W50</f>
        <v>9683.09766666667</v>
      </c>
      <c r="X7" s="29" t="n">
        <f aca="false">Inputs!$D$39*Portfolio_Flows!X14+Inputs!$D$40*Portfolio_Flows!X23+Inputs!$D$41*Portfolio_Flows!X32+(Inputs!$D$42+Inputs!$D$43-$D7)*Portfolio_Flows!X41+$D7*Portfolio_Flows!X50</f>
        <v>9711.85735</v>
      </c>
      <c r="Y7" s="29" t="n">
        <f aca="false">Inputs!$D$39*Portfolio_Flows!Y14+Inputs!$D$40*Portfolio_Flows!Y23+Inputs!$D$41*Portfolio_Flows!Y32+(Inputs!$D$42+Inputs!$D$43-$D7)*Portfolio_Flows!Y41+$D7*Portfolio_Flows!Y50</f>
        <v>8249.42616666666</v>
      </c>
      <c r="Z7" s="29" t="n">
        <f aca="false">Inputs!$D$39*Portfolio_Flows!Z14+Inputs!$D$40*Portfolio_Flows!Z23+Inputs!$D$41*Portfolio_Flows!Z32+(Inputs!$D$42+Inputs!$D$43-$D7)*Portfolio_Flows!Z41+$D7*Portfolio_Flows!Z50</f>
        <v>-57111.1931166667</v>
      </c>
      <c r="AA7" s="29" t="n">
        <f aca="false">Inputs!$D$39*Portfolio_Flows!AA14+Inputs!$D$40*Portfolio_Flows!AA23+Inputs!$D$41*Portfolio_Flows!AA32+(Inputs!$D$42+Inputs!$D$43-$D7)*Portfolio_Flows!AA41+$D7*Portfolio_Flows!AA50</f>
        <v>8312.82759999999</v>
      </c>
      <c r="AB7" s="29" t="n">
        <f aca="false">Inputs!$D$39*Portfolio_Flows!AB14+Inputs!$D$40*Portfolio_Flows!AB23+Inputs!$D$41*Portfolio_Flows!AB32+(Inputs!$D$42+Inputs!$D$43-$D7)*Portfolio_Flows!AB41+$D7*Portfolio_Flows!AB50</f>
        <v>10299.47485</v>
      </c>
      <c r="AC7" s="29" t="n">
        <f aca="false">Inputs!$D$39*Portfolio_Flows!AC14+Inputs!$D$40*Portfolio_Flows!AC23+Inputs!$D$41*Portfolio_Flows!AC32+(Inputs!$D$42+Inputs!$D$43-$D7)*Portfolio_Flows!AC41+$D7*Portfolio_Flows!AC50</f>
        <v>10393.3818333333</v>
      </c>
      <c r="AD7" s="29" t="n">
        <f aca="false">Inputs!$D$39*Portfolio_Flows!AD14+Inputs!$D$40*Portfolio_Flows!AD23+Inputs!$D$41*Portfolio_Flows!AD32+(Inputs!$D$42+Inputs!$D$43-$D7)*Portfolio_Flows!AD41+$D7*Portfolio_Flows!AD50</f>
        <v>10487.2888166667</v>
      </c>
      <c r="AE7" s="29" t="n">
        <f aca="false">Inputs!$D$39*Portfolio_Flows!AE14+Inputs!$D$40*Portfolio_Flows!AE23+Inputs!$D$41*Portfolio_Flows!AE32+(Inputs!$D$42+Inputs!$D$43-$D7)*Portfolio_Flows!AE41+$D7*Portfolio_Flows!AE50</f>
        <v>10581.1958</v>
      </c>
      <c r="AF7" s="29" t="n">
        <f aca="false">Inputs!$D$39*Portfolio_Flows!AF14+Inputs!$D$40*Portfolio_Flows!AF23+Inputs!$D$41*Portfolio_Flows!AF32+(Inputs!$D$42+Inputs!$D$43-$D7)*Portfolio_Flows!AF41+$D7*Portfolio_Flows!AF50</f>
        <v>10675.1027833333</v>
      </c>
      <c r="AG7" s="29" t="n">
        <f aca="false">Inputs!$D$39*Portfolio_Flows!AG14+Inputs!$D$40*Portfolio_Flows!AG23+Inputs!$D$41*Portfolio_Flows!AG32+(Inputs!$D$42+Inputs!$D$43-$D7)*Portfolio_Flows!AG41+$D7*Portfolio_Flows!AG50</f>
        <v>10769.0097666667</v>
      </c>
      <c r="AH7" s="29" t="n">
        <f aca="false">Inputs!$D$39*Portfolio_Flows!AH14+Inputs!$D$40*Portfolio_Flows!AH23+Inputs!$D$41*Portfolio_Flows!AH32+(Inputs!$D$42+Inputs!$D$43-$D7)*Portfolio_Flows!AH41+$D7*Portfolio_Flows!AH50</f>
        <v>7759.22625000002</v>
      </c>
      <c r="AI7" s="29" t="n">
        <f aca="false">Inputs!$D$39*Portfolio_Flows!AI14+Inputs!$D$40*Portfolio_Flows!AI23+Inputs!$D$41*Portfolio_Flows!AI32+(Inputs!$D$42+Inputs!$D$43-$D7)*Portfolio_Flows!AI41+$D7*Portfolio_Flows!AI50</f>
        <v>7826.30266666664</v>
      </c>
      <c r="AJ7" s="29" t="n">
        <f aca="false">Inputs!$D$39*Portfolio_Flows!AJ14+Inputs!$D$40*Portfolio_Flows!AJ23+Inputs!$D$41*Portfolio_Flows!AJ32+(Inputs!$D$42+Inputs!$D$43-$D7)*Portfolio_Flows!AJ41+$D7*Portfolio_Flows!AJ50</f>
        <v>7893.37908333331</v>
      </c>
      <c r="AK7" s="29" t="n">
        <f aca="false">Inputs!$D$39*Portfolio_Flows!AK14+Inputs!$D$40*Portfolio_Flows!AK23+Inputs!$D$41*Portfolio_Flows!AK32+(Inputs!$D$42+Inputs!$D$43-$D7)*Portfolio_Flows!AK41+$D7*Portfolio_Flows!AK50</f>
        <v>7960.45550000003</v>
      </c>
      <c r="AL7" s="29" t="n">
        <f aca="false">Inputs!$D$39*Portfolio_Flows!AL14+Inputs!$D$40*Portfolio_Flows!AL23+Inputs!$D$41*Portfolio_Flows!AL32+(Inputs!$D$42+Inputs!$D$43-$D7)*Portfolio_Flows!AL41+$D7*Portfolio_Flows!AL50</f>
        <v>-15246.4680833333</v>
      </c>
      <c r="AM7" s="29" t="n">
        <f aca="false">Inputs!$D$39*Portfolio_Flows!AM14+Inputs!$D$40*Portfolio_Flows!AM23+Inputs!$D$41*Portfolio_Flows!AM32+(Inputs!$D$42+Inputs!$D$43-$D7)*Portfolio_Flows!AM41+$D7*Portfolio_Flows!AM50</f>
        <v>8094.60833333331</v>
      </c>
      <c r="AN7" s="29" t="n">
        <f aca="false">Inputs!$D$39*Portfolio_Flows!AN14+Inputs!$D$40*Portfolio_Flows!AN23+Inputs!$D$41*Portfolio_Flows!AN32+(Inputs!$D$42+Inputs!$D$43-$D7)*Portfolio_Flows!AN41+$D7*Portfolio_Flows!AN50</f>
        <v>0</v>
      </c>
      <c r="AO7" s="29" t="n">
        <f aca="false">Inputs!$D$39*Portfolio_Flows!AO14+Inputs!$D$40*Portfolio_Flows!AO23+Inputs!$D$41*Portfolio_Flows!AO32+(Inputs!$D$42+Inputs!$D$43-$D7)*Portfolio_Flows!AO41+$D7*Portfolio_Flows!AO50</f>
        <v>0</v>
      </c>
      <c r="AP7" s="29" t="n">
        <f aca="false">Inputs!$D$39*Portfolio_Flows!AP14+Inputs!$D$40*Portfolio_Flows!AP23+Inputs!$D$41*Portfolio_Flows!AP32+(Inputs!$D$42+Inputs!$D$43-$D7)*Portfolio_Flows!AP41+$D7*Portfolio_Flows!AP50</f>
        <v>33082.125</v>
      </c>
      <c r="AQ7" s="29" t="n">
        <f aca="false">Inputs!$D$39*Portfolio_Flows!AQ14+Inputs!$D$40*Portfolio_Flows!AQ23+Inputs!$D$41*Portfolio_Flows!AQ32+(Inputs!$D$42+Inputs!$D$43-$D7)*Portfolio_Flows!AQ41+$D7*Portfolio_Flows!AQ50</f>
        <v>0</v>
      </c>
      <c r="AR7" s="29" t="n">
        <f aca="false">Inputs!$D$39*Portfolio_Flows!AR14+Inputs!$D$40*Portfolio_Flows!AR23+Inputs!$D$41*Portfolio_Flows!AR32+(Inputs!$D$42+Inputs!$D$43-$D7)*Portfolio_Flows!AR41+$D7*Portfolio_Flows!AR50</f>
        <v>0</v>
      </c>
      <c r="AS7" s="29" t="n">
        <f aca="false">Inputs!$D$39*Portfolio_Flows!AS14+Inputs!$D$40*Portfolio_Flows!AS23+Inputs!$D$41*Portfolio_Flows!AS32+(Inputs!$D$42+Inputs!$D$43-$D7)*Portfolio_Flows!AS41+$D7*Portfolio_Flows!AS50</f>
        <v>18973.8678</v>
      </c>
      <c r="AT7" s="29" t="n">
        <f aca="false">Inputs!$D$39*Portfolio_Flows!AT14+Inputs!$D$40*Portfolio_Flows!AT23+Inputs!$D$41*Portfolio_Flows!AT32+(Inputs!$D$42+Inputs!$D$43-$D7)*Portfolio_Flows!AT41+$D7*Portfolio_Flows!AT50</f>
        <v>0</v>
      </c>
      <c r="AU7" s="29" t="n">
        <f aca="false">Inputs!$D$39*Portfolio_Flows!AU14+Inputs!$D$40*Portfolio_Flows!AU23+Inputs!$D$41*Portfolio_Flows!AU32+(Inputs!$D$42+Inputs!$D$43-$D7)*Portfolio_Flows!AU41+$D7*Portfolio_Flows!AU50</f>
        <v>0</v>
      </c>
      <c r="AV7" s="29" t="n">
        <f aca="false">Inputs!$D$39*Portfolio_Flows!AV14+Inputs!$D$40*Portfolio_Flows!AV23+Inputs!$D$41*Portfolio_Flows!AV32+(Inputs!$D$42+Inputs!$D$43-$D7)*Portfolio_Flows!AV41+$D7*Portfolio_Flows!AV50</f>
        <v>0</v>
      </c>
      <c r="AW7" s="29" t="n">
        <f aca="false">Inputs!$D$39*Portfolio_Flows!AW14+Inputs!$D$40*Portfolio_Flows!AW23+Inputs!$D$41*Portfolio_Flows!AW32+(Inputs!$D$42+Inputs!$D$43-$D7)*Portfolio_Flows!AW41+$D7*Portfolio_Flows!AW50</f>
        <v>0</v>
      </c>
      <c r="AX7" s="29" t="n">
        <f aca="false">Inputs!$D$39*Portfolio_Flows!AX14+Inputs!$D$40*Portfolio_Flows!AX23+Inputs!$D$41*Portfolio_Flows!AX32+(Inputs!$D$42+Inputs!$D$43-$D7)*Portfolio_Flows!AX41+$D7*Portfolio_Flows!AX50</f>
        <v>5594.472</v>
      </c>
      <c r="AY7" s="29" t="n">
        <f aca="false">Inputs!$D$39*Portfolio_Flows!AY14+Inputs!$D$40*Portfolio_Flows!AY23+Inputs!$D$41*Portfolio_Flows!AY32+(Inputs!$D$42+Inputs!$D$43-$D7)*Portfolio_Flows!AY41+$D7*Portfolio_Flows!AY50</f>
        <v>0</v>
      </c>
    </row>
    <row r="8" customFormat="false" ht="15" hidden="false" customHeight="false" outlineLevel="0" collapsed="false">
      <c r="B8" s="9" t="s">
        <v>295</v>
      </c>
      <c r="C8" s="27" t="str">
        <f aca="false">Inputs!$B$55</f>
        <v>Base</v>
      </c>
      <c r="D8" s="12" t="n">
        <v>0</v>
      </c>
      <c r="E8" s="40" t="n">
        <f aca="false">IRR($N8:$AY8,0.005)</f>
        <v>0.00671421094374022</v>
      </c>
      <c r="F8" s="41" t="n">
        <f aca="false">(1+E8)^12-1</f>
        <v>0.0836134594614975</v>
      </c>
      <c r="G8" s="30" t="n">
        <f aca="false">-N8</f>
        <v>229300</v>
      </c>
      <c r="H8" s="30" t="n">
        <f aca="false">-SUMIF(O8:AY8,"&lt;0")</f>
        <v>74833.2825333333</v>
      </c>
      <c r="I8" s="30" t="n">
        <f aca="false">SUMIF($N8:$AY8,"&gt;0")</f>
        <v>326458.743183333</v>
      </c>
      <c r="J8" s="30" t="n">
        <f aca="false">I8-G8-H8</f>
        <v>22325.46065</v>
      </c>
      <c r="N8" s="29" t="n">
        <f aca="false">Inputs!$D$39*Portfolio_Flows!N14+Inputs!$D$40*Portfolio_Flows!N23+Inputs!$D$41*Portfolio_Flows!N32+(Inputs!$D$42+Inputs!$D$43-$D8)*Portfolio_Flows!N41+$D8*Portfolio_Flows!N50</f>
        <v>-229300</v>
      </c>
      <c r="O8" s="29" t="n">
        <f aca="false">Inputs!$D$39*Portfolio_Flows!O14+Inputs!$D$40*Portfolio_Flows!O23+Inputs!$D$41*Portfolio_Flows!O32+(Inputs!$D$42+Inputs!$D$43-$D8)*Portfolio_Flows!O41+$D8*Portfolio_Flows!O50</f>
        <v>0</v>
      </c>
      <c r="P8" s="29" t="n">
        <f aca="false">Inputs!$D$39*Portfolio_Flows!P14+Inputs!$D$40*Portfolio_Flows!P23+Inputs!$D$41*Portfolio_Flows!P32+(Inputs!$D$42+Inputs!$D$43-$D8)*Portfolio_Flows!P41+$D8*Portfolio_Flows!P50</f>
        <v>26866.728</v>
      </c>
      <c r="Q8" s="29" t="n">
        <f aca="false">Inputs!$D$39*Portfolio_Flows!Q14+Inputs!$D$40*Portfolio_Flows!Q23+Inputs!$D$41*Portfolio_Flows!Q32+(Inputs!$D$42+Inputs!$D$43-$D8)*Portfolio_Flows!Q41+$D8*Portfolio_Flows!Q50</f>
        <v>22388.94</v>
      </c>
      <c r="R8" s="29" t="n">
        <f aca="false">Inputs!$D$39*Portfolio_Flows!R14+Inputs!$D$40*Portfolio_Flows!R23+Inputs!$D$41*Portfolio_Flows!R32+(Inputs!$D$42+Inputs!$D$43-$D8)*Portfolio_Flows!R41+$D8*Portfolio_Flows!R50</f>
        <v>20150.046</v>
      </c>
      <c r="S8" s="29" t="n">
        <f aca="false">Inputs!$D$39*Portfolio_Flows!S14+Inputs!$D$40*Portfolio_Flows!S23+Inputs!$D$41*Portfolio_Flows!S32+(Inputs!$D$42+Inputs!$D$43-$D8)*Portfolio_Flows!S41+$D8*Portfolio_Flows!S50</f>
        <v>15672.258</v>
      </c>
      <c r="T8" s="29" t="n">
        <f aca="false">Inputs!$D$39*Portfolio_Flows!T14+Inputs!$D$40*Portfolio_Flows!T23+Inputs!$D$41*Portfolio_Flows!T32+(Inputs!$D$42+Inputs!$D$43-$D8)*Portfolio_Flows!T41+$D8*Portfolio_Flows!T50</f>
        <v>15677.858</v>
      </c>
      <c r="U8" s="29" t="n">
        <f aca="false">Inputs!$D$39*Portfolio_Flows!U14+Inputs!$D$40*Portfolio_Flows!U23+Inputs!$D$41*Portfolio_Flows!U32+(Inputs!$D$42+Inputs!$D$43-$D8)*Portfolio_Flows!U41+$D8*Portfolio_Flows!U50</f>
        <v>15692.418</v>
      </c>
      <c r="V8" s="29" t="n">
        <f aca="false">Inputs!$D$39*Portfolio_Flows!V14+Inputs!$D$40*Portfolio_Flows!V23+Inputs!$D$41*Portfolio_Flows!V32+(Inputs!$D$42+Inputs!$D$43-$D8)*Portfolio_Flows!V41+$D8*Portfolio_Flows!V50</f>
        <v>9727.99858333334</v>
      </c>
      <c r="W8" s="29" t="n">
        <f aca="false">Inputs!$D$39*Portfolio_Flows!W14+Inputs!$D$40*Portfolio_Flows!W23+Inputs!$D$41*Portfolio_Flows!W32+(Inputs!$D$42+Inputs!$D$43-$D8)*Portfolio_Flows!W41+$D8*Portfolio_Flows!W50</f>
        <v>9750.90566666667</v>
      </c>
      <c r="X8" s="29" t="n">
        <f aca="false">Inputs!$D$39*Portfolio_Flows!X14+Inputs!$D$40*Portfolio_Flows!X23+Inputs!$D$41*Portfolio_Flows!X32+(Inputs!$D$42+Inputs!$D$43-$D8)*Portfolio_Flows!X41+$D8*Portfolio_Flows!X50</f>
        <v>9780.34135</v>
      </c>
      <c r="Y8" s="29" t="n">
        <f aca="false">Inputs!$D$39*Portfolio_Flows!Y14+Inputs!$D$40*Portfolio_Flows!Y23+Inputs!$D$41*Portfolio_Flows!Y32+(Inputs!$D$42+Inputs!$D$43-$D8)*Portfolio_Flows!Y41+$D8*Portfolio_Flows!Y50</f>
        <v>8307.94616666666</v>
      </c>
      <c r="Z8" s="29" t="n">
        <f aca="false">Inputs!$D$39*Portfolio_Flows!Z14+Inputs!$D$40*Portfolio_Flows!Z23+Inputs!$D$41*Portfolio_Flows!Z32+(Inputs!$D$42+Inputs!$D$43-$D8)*Portfolio_Flows!Z41+$D8*Portfolio_Flows!Z50</f>
        <v>-58306.5011166666</v>
      </c>
      <c r="AA8" s="29" t="n">
        <f aca="false">Inputs!$D$39*Portfolio_Flows!AA14+Inputs!$D$40*Portfolio_Flows!AA23+Inputs!$D$41*Portfolio_Flows!AA32+(Inputs!$D$42+Inputs!$D$43-$D8)*Portfolio_Flows!AA41+$D8*Portfolio_Flows!AA50</f>
        <v>8372.49159999999</v>
      </c>
      <c r="AB8" s="29" t="n">
        <f aca="false">Inputs!$D$39*Portfolio_Flows!AB14+Inputs!$D$40*Portfolio_Flows!AB23+Inputs!$D$41*Portfolio_Flows!AB32+(Inputs!$D$42+Inputs!$D$43-$D8)*Portfolio_Flows!AB41+$D8*Portfolio_Flows!AB50</f>
        <v>10398.4361833333</v>
      </c>
      <c r="AC8" s="29" t="n">
        <f aca="false">Inputs!$D$39*Portfolio_Flows!AC14+Inputs!$D$40*Portfolio_Flows!AC23+Inputs!$D$41*Portfolio_Flows!AC32+(Inputs!$D$42+Inputs!$D$43-$D8)*Portfolio_Flows!AC41+$D8*Portfolio_Flows!AC50</f>
        <v>10493.6031666667</v>
      </c>
      <c r="AD8" s="29" t="n">
        <f aca="false">Inputs!$D$39*Portfolio_Flows!AD14+Inputs!$D$40*Portfolio_Flows!AD23+Inputs!$D$41*Portfolio_Flows!AD32+(Inputs!$D$42+Inputs!$D$43-$D8)*Portfolio_Flows!AD41+$D8*Portfolio_Flows!AD50</f>
        <v>10588.77015</v>
      </c>
      <c r="AE8" s="29" t="n">
        <f aca="false">Inputs!$D$39*Portfolio_Flows!AE14+Inputs!$D$40*Portfolio_Flows!AE23+Inputs!$D$41*Portfolio_Flows!AE32+(Inputs!$D$42+Inputs!$D$43-$D8)*Portfolio_Flows!AE41+$D8*Portfolio_Flows!AE50</f>
        <v>10683.9371333333</v>
      </c>
      <c r="AF8" s="29" t="n">
        <f aca="false">Inputs!$D$39*Portfolio_Flows!AF14+Inputs!$D$40*Portfolio_Flows!AF23+Inputs!$D$41*Portfolio_Flows!AF32+(Inputs!$D$42+Inputs!$D$43-$D8)*Portfolio_Flows!AF41+$D8*Portfolio_Flows!AF50</f>
        <v>10779.1041166667</v>
      </c>
      <c r="AG8" s="29" t="n">
        <f aca="false">Inputs!$D$39*Portfolio_Flows!AG14+Inputs!$D$40*Portfolio_Flows!AG23+Inputs!$D$41*Portfolio_Flows!AG32+(Inputs!$D$42+Inputs!$D$43-$D8)*Portfolio_Flows!AG41+$D8*Portfolio_Flows!AG50</f>
        <v>10874.2711</v>
      </c>
      <c r="AH8" s="29" t="n">
        <f aca="false">Inputs!$D$39*Portfolio_Flows!AH14+Inputs!$D$40*Portfolio_Flows!AH23+Inputs!$D$41*Portfolio_Flows!AH32+(Inputs!$D$42+Inputs!$D$43-$D8)*Portfolio_Flows!AH41+$D8*Portfolio_Flows!AH50</f>
        <v>7835.31291666669</v>
      </c>
      <c r="AI8" s="29" t="n">
        <f aca="false">Inputs!$D$39*Portfolio_Flows!AI14+Inputs!$D$40*Portfolio_Flows!AI23+Inputs!$D$41*Portfolio_Flows!AI32+(Inputs!$D$42+Inputs!$D$43-$D8)*Portfolio_Flows!AI41+$D8*Portfolio_Flows!AI50</f>
        <v>7903.28933333331</v>
      </c>
      <c r="AJ8" s="29" t="n">
        <f aca="false">Inputs!$D$39*Portfolio_Flows!AJ14+Inputs!$D$40*Portfolio_Flows!AJ23+Inputs!$D$41*Portfolio_Flows!AJ32+(Inputs!$D$42+Inputs!$D$43-$D8)*Portfolio_Flows!AJ41+$D8*Portfolio_Flows!AJ50</f>
        <v>7971.26574999997</v>
      </c>
      <c r="AK8" s="29" t="n">
        <f aca="false">Inputs!$D$39*Portfolio_Flows!AK14+Inputs!$D$40*Portfolio_Flows!AK23+Inputs!$D$41*Portfolio_Flows!AK32+(Inputs!$D$42+Inputs!$D$43-$D8)*Portfolio_Flows!AK41+$D8*Portfolio_Flows!AK50</f>
        <v>8039.24216666669</v>
      </c>
      <c r="AL8" s="29" t="n">
        <f aca="false">Inputs!$D$39*Portfolio_Flows!AL14+Inputs!$D$40*Portfolio_Flows!AL23+Inputs!$D$41*Portfolio_Flows!AL32+(Inputs!$D$42+Inputs!$D$43-$D8)*Portfolio_Flows!AL41+$D8*Portfolio_Flows!AL50</f>
        <v>-16526.7814166666</v>
      </c>
      <c r="AM8" s="29" t="n">
        <f aca="false">Inputs!$D$39*Portfolio_Flows!AM14+Inputs!$D$40*Portfolio_Flows!AM23+Inputs!$D$41*Portfolio_Flows!AM32+(Inputs!$D$42+Inputs!$D$43-$D8)*Portfolio_Flows!AM41+$D8*Portfolio_Flows!AM50</f>
        <v>8175.19499999997</v>
      </c>
      <c r="AN8" s="29" t="n">
        <f aca="false">Inputs!$D$39*Portfolio_Flows!AN14+Inputs!$D$40*Portfolio_Flows!AN23+Inputs!$D$41*Portfolio_Flows!AN32+(Inputs!$D$42+Inputs!$D$43-$D8)*Portfolio_Flows!AN41+$D8*Portfolio_Flows!AN50</f>
        <v>0</v>
      </c>
      <c r="AO8" s="29" t="n">
        <f aca="false">Inputs!$D$39*Portfolio_Flows!AO14+Inputs!$D$40*Portfolio_Flows!AO23+Inputs!$D$41*Portfolio_Flows!AO32+(Inputs!$D$42+Inputs!$D$43-$D8)*Portfolio_Flows!AO41+$D8*Portfolio_Flows!AO50</f>
        <v>0</v>
      </c>
      <c r="AP8" s="29" t="n">
        <f aca="false">Inputs!$D$39*Portfolio_Flows!AP14+Inputs!$D$40*Portfolio_Flows!AP23+Inputs!$D$41*Portfolio_Flows!AP32+(Inputs!$D$42+Inputs!$D$43-$D8)*Portfolio_Flows!AP41+$D8*Portfolio_Flows!AP50</f>
        <v>34282.125</v>
      </c>
      <c r="AQ8" s="29" t="n">
        <f aca="false">Inputs!$D$39*Portfolio_Flows!AQ14+Inputs!$D$40*Portfolio_Flows!AQ23+Inputs!$D$41*Portfolio_Flows!AQ32+(Inputs!$D$42+Inputs!$D$43-$D8)*Portfolio_Flows!AQ41+$D8*Portfolio_Flows!AQ50</f>
        <v>0</v>
      </c>
      <c r="AR8" s="29" t="n">
        <f aca="false">Inputs!$D$39*Portfolio_Flows!AR14+Inputs!$D$40*Portfolio_Flows!AR23+Inputs!$D$41*Portfolio_Flows!AR32+(Inputs!$D$42+Inputs!$D$43-$D8)*Portfolio_Flows!AR41+$D8*Portfolio_Flows!AR50</f>
        <v>0</v>
      </c>
      <c r="AS8" s="29" t="n">
        <f aca="false">Inputs!$D$39*Portfolio_Flows!AS14+Inputs!$D$40*Portfolio_Flows!AS23+Inputs!$D$41*Portfolio_Flows!AS32+(Inputs!$D$42+Inputs!$D$43-$D8)*Portfolio_Flows!AS41+$D8*Portfolio_Flows!AS50</f>
        <v>19897.3878</v>
      </c>
      <c r="AT8" s="29" t="n">
        <f aca="false">Inputs!$D$39*Portfolio_Flows!AT14+Inputs!$D$40*Portfolio_Flows!AT23+Inputs!$D$41*Portfolio_Flows!AT32+(Inputs!$D$42+Inputs!$D$43-$D8)*Portfolio_Flows!AT41+$D8*Portfolio_Flows!AT50</f>
        <v>0</v>
      </c>
      <c r="AU8" s="29" t="n">
        <f aca="false">Inputs!$D$39*Portfolio_Flows!AU14+Inputs!$D$40*Portfolio_Flows!AU23+Inputs!$D$41*Portfolio_Flows!AU32+(Inputs!$D$42+Inputs!$D$43-$D8)*Portfolio_Flows!AU41+$D8*Portfolio_Flows!AU50</f>
        <v>0</v>
      </c>
      <c r="AV8" s="29" t="n">
        <f aca="false">Inputs!$D$39*Portfolio_Flows!AV14+Inputs!$D$40*Portfolio_Flows!AV23+Inputs!$D$41*Portfolio_Flows!AV32+(Inputs!$D$42+Inputs!$D$43-$D8)*Portfolio_Flows!AV41+$D8*Portfolio_Flows!AV50</f>
        <v>0</v>
      </c>
      <c r="AW8" s="29" t="n">
        <f aca="false">Inputs!$D$39*Portfolio_Flows!AW14+Inputs!$D$40*Portfolio_Flows!AW23+Inputs!$D$41*Portfolio_Flows!AW32+(Inputs!$D$42+Inputs!$D$43-$D8)*Portfolio_Flows!AW41+$D8*Portfolio_Flows!AW50</f>
        <v>0</v>
      </c>
      <c r="AX8" s="29" t="n">
        <f aca="false">Inputs!$D$39*Portfolio_Flows!AX14+Inputs!$D$40*Portfolio_Flows!AX23+Inputs!$D$41*Portfolio_Flows!AX32+(Inputs!$D$42+Inputs!$D$43-$D8)*Portfolio_Flows!AX41+$D8*Portfolio_Flows!AX50</f>
        <v>6148.872</v>
      </c>
      <c r="AY8" s="29" t="n">
        <f aca="false">Inputs!$D$39*Portfolio_Flows!AY14+Inputs!$D$40*Portfolio_Flows!AY23+Inputs!$D$41*Portfolio_Flows!AY32+(Inputs!$D$42+Inputs!$D$43-$D8)*Portfolio_Flows!AY41+$D8*Portfolio_Flows!AY50</f>
        <v>0</v>
      </c>
    </row>
    <row r="9" customFormat="false" ht="15" hidden="false" customHeight="false" outlineLevel="0" collapsed="false">
      <c r="B9" s="9" t="s">
        <v>296</v>
      </c>
      <c r="C9" s="27" t="str">
        <f aca="false">Inputs!$B$55</f>
        <v>Base</v>
      </c>
      <c r="D9" s="12" t="n">
        <v>1</v>
      </c>
      <c r="E9" s="40" t="n">
        <f aca="false">IRR($N9:$AY9,0.005)</f>
        <v>0.00639736362691891</v>
      </c>
      <c r="F9" s="41" t="n">
        <f aca="false">(1+E9)^12-1</f>
        <v>0.0795279348673428</v>
      </c>
      <c r="G9" s="30" t="n">
        <f aca="false">-N9</f>
        <v>229300</v>
      </c>
      <c r="H9" s="30" t="n">
        <f aca="false">-SUMIF(O9:AY9,"&lt;0")</f>
        <v>73595.4718666666</v>
      </c>
      <c r="I9" s="30" t="n">
        <f aca="false">SUMIF($N9:$AY9,"&gt;0")</f>
        <v>324063.392516667</v>
      </c>
      <c r="J9" s="30" t="n">
        <f aca="false">I9-G9-H9</f>
        <v>21167.92065</v>
      </c>
      <c r="N9" s="29" t="n">
        <f aca="false">Inputs!$D$39*Portfolio_Flows!N14+Inputs!$D$40*Portfolio_Flows!N23+Inputs!$D$41*Portfolio_Flows!N32+(Inputs!$D$42+Inputs!$D$43-$D9)*Portfolio_Flows!N41+$D9*Portfolio_Flows!N50</f>
        <v>-229300</v>
      </c>
      <c r="O9" s="29" t="n">
        <f aca="false">Inputs!$D$39*Portfolio_Flows!O14+Inputs!$D$40*Portfolio_Flows!O23+Inputs!$D$41*Portfolio_Flows!O32+(Inputs!$D$42+Inputs!$D$43-$D9)*Portfolio_Flows!O41+$D9*Portfolio_Flows!O50</f>
        <v>0</v>
      </c>
      <c r="P9" s="29" t="n">
        <f aca="false">Inputs!$D$39*Portfolio_Flows!P14+Inputs!$D$40*Portfolio_Flows!P23+Inputs!$D$41*Portfolio_Flows!P32+(Inputs!$D$42+Inputs!$D$43-$D9)*Portfolio_Flows!P41+$D9*Portfolio_Flows!P50</f>
        <v>26776.008</v>
      </c>
      <c r="Q9" s="29" t="n">
        <f aca="false">Inputs!$D$39*Portfolio_Flows!Q14+Inputs!$D$40*Portfolio_Flows!Q23+Inputs!$D$41*Portfolio_Flows!Q32+(Inputs!$D$42+Inputs!$D$43-$D9)*Portfolio_Flows!Q41+$D9*Portfolio_Flows!Q50</f>
        <v>22313.34</v>
      </c>
      <c r="R9" s="29" t="n">
        <f aca="false">Inputs!$D$39*Portfolio_Flows!R14+Inputs!$D$40*Portfolio_Flows!R23+Inputs!$D$41*Portfolio_Flows!R32+(Inputs!$D$42+Inputs!$D$43-$D9)*Portfolio_Flows!R41+$D9*Portfolio_Flows!R50</f>
        <v>20082.006</v>
      </c>
      <c r="S9" s="29" t="n">
        <f aca="false">Inputs!$D$39*Portfolio_Flows!S14+Inputs!$D$40*Portfolio_Flows!S23+Inputs!$D$41*Portfolio_Flows!S32+(Inputs!$D$42+Inputs!$D$43-$D9)*Portfolio_Flows!S41+$D9*Portfolio_Flows!S50</f>
        <v>15619.338</v>
      </c>
      <c r="T9" s="29" t="n">
        <f aca="false">Inputs!$D$39*Portfolio_Flows!T14+Inputs!$D$40*Portfolio_Flows!T23+Inputs!$D$41*Portfolio_Flows!T32+(Inputs!$D$42+Inputs!$D$43-$D9)*Portfolio_Flows!T41+$D9*Portfolio_Flows!T50</f>
        <v>15624.728</v>
      </c>
      <c r="U9" s="29" t="n">
        <f aca="false">Inputs!$D$39*Portfolio_Flows!U14+Inputs!$D$40*Portfolio_Flows!U23+Inputs!$D$41*Portfolio_Flows!U32+(Inputs!$D$42+Inputs!$D$43-$D9)*Portfolio_Flows!U41+$D9*Portfolio_Flows!U50</f>
        <v>15638.742</v>
      </c>
      <c r="V9" s="29" t="n">
        <f aca="false">Inputs!$D$39*Portfolio_Flows!V14+Inputs!$D$40*Portfolio_Flows!V23+Inputs!$D$41*Portfolio_Flows!V32+(Inputs!$D$42+Inputs!$D$43-$D9)*Portfolio_Flows!V41+$D9*Portfolio_Flows!V50</f>
        <v>9694.43258333334</v>
      </c>
      <c r="W9" s="29" t="n">
        <f aca="false">Inputs!$D$39*Portfolio_Flows!W14+Inputs!$D$40*Portfolio_Flows!W23+Inputs!$D$41*Portfolio_Flows!W32+(Inputs!$D$42+Inputs!$D$43-$D9)*Portfolio_Flows!W41+$D9*Portfolio_Flows!W50</f>
        <v>9717.00166666667</v>
      </c>
      <c r="X9" s="29" t="n">
        <f aca="false">Inputs!$D$39*Portfolio_Flows!X14+Inputs!$D$40*Portfolio_Flows!X23+Inputs!$D$41*Portfolio_Flows!X32+(Inputs!$D$42+Inputs!$D$43-$D9)*Portfolio_Flows!X41+$D9*Portfolio_Flows!X50</f>
        <v>9746.09935</v>
      </c>
      <c r="Y9" s="29" t="n">
        <f aca="false">Inputs!$D$39*Portfolio_Flows!Y14+Inputs!$D$40*Portfolio_Flows!Y23+Inputs!$D$41*Portfolio_Flows!Y32+(Inputs!$D$42+Inputs!$D$43-$D9)*Portfolio_Flows!Y41+$D9*Portfolio_Flows!Y50</f>
        <v>8278.68616666666</v>
      </c>
      <c r="Z9" s="29" t="n">
        <f aca="false">Inputs!$D$39*Portfolio_Flows!Z14+Inputs!$D$40*Portfolio_Flows!Z23+Inputs!$D$41*Portfolio_Flows!Z32+(Inputs!$D$42+Inputs!$D$43-$D9)*Portfolio_Flows!Z41+$D9*Portfolio_Flows!Z50</f>
        <v>-57708.8471166666</v>
      </c>
      <c r="AA9" s="29" t="n">
        <f aca="false">Inputs!$D$39*Portfolio_Flows!AA14+Inputs!$D$40*Portfolio_Flows!AA23+Inputs!$D$41*Portfolio_Flows!AA32+(Inputs!$D$42+Inputs!$D$43-$D9)*Portfolio_Flows!AA41+$D9*Portfolio_Flows!AA50</f>
        <v>8342.65959999999</v>
      </c>
      <c r="AB9" s="29" t="n">
        <f aca="false">Inputs!$D$39*Portfolio_Flows!AB14+Inputs!$D$40*Portfolio_Flows!AB23+Inputs!$D$41*Portfolio_Flows!AB32+(Inputs!$D$42+Inputs!$D$43-$D9)*Portfolio_Flows!AB41+$D9*Portfolio_Flows!AB50</f>
        <v>10348.9555166667</v>
      </c>
      <c r="AC9" s="29" t="n">
        <f aca="false">Inputs!$D$39*Portfolio_Flows!AC14+Inputs!$D$40*Portfolio_Flows!AC23+Inputs!$D$41*Portfolio_Flows!AC32+(Inputs!$D$42+Inputs!$D$43-$D9)*Portfolio_Flows!AC41+$D9*Portfolio_Flows!AC50</f>
        <v>10443.4925</v>
      </c>
      <c r="AD9" s="29" t="n">
        <f aca="false">Inputs!$D$39*Portfolio_Flows!AD14+Inputs!$D$40*Portfolio_Flows!AD23+Inputs!$D$41*Portfolio_Flows!AD32+(Inputs!$D$42+Inputs!$D$43-$D9)*Portfolio_Flows!AD41+$D9*Portfolio_Flows!AD50</f>
        <v>10538.0294833334</v>
      </c>
      <c r="AE9" s="29" t="n">
        <f aca="false">Inputs!$D$39*Portfolio_Flows!AE14+Inputs!$D$40*Portfolio_Flows!AE23+Inputs!$D$41*Portfolio_Flows!AE32+(Inputs!$D$42+Inputs!$D$43-$D9)*Portfolio_Flows!AE41+$D9*Portfolio_Flows!AE50</f>
        <v>10632.5664666667</v>
      </c>
      <c r="AF9" s="29" t="n">
        <f aca="false">Inputs!$D$39*Portfolio_Flows!AF14+Inputs!$D$40*Portfolio_Flows!AF23+Inputs!$D$41*Portfolio_Flows!AF32+(Inputs!$D$42+Inputs!$D$43-$D9)*Portfolio_Flows!AF41+$D9*Portfolio_Flows!AF50</f>
        <v>10727.10345</v>
      </c>
      <c r="AG9" s="29" t="n">
        <f aca="false">Inputs!$D$39*Portfolio_Flows!AG14+Inputs!$D$40*Portfolio_Flows!AG23+Inputs!$D$41*Portfolio_Flows!AG32+(Inputs!$D$42+Inputs!$D$43-$D9)*Portfolio_Flows!AG41+$D9*Portfolio_Flows!AG50</f>
        <v>10821.6404333333</v>
      </c>
      <c r="AH9" s="29" t="n">
        <f aca="false">Inputs!$D$39*Portfolio_Flows!AH14+Inputs!$D$40*Portfolio_Flows!AH23+Inputs!$D$41*Portfolio_Flows!AH32+(Inputs!$D$42+Inputs!$D$43-$D9)*Portfolio_Flows!AH41+$D9*Portfolio_Flows!AH50</f>
        <v>7797.26958333336</v>
      </c>
      <c r="AI9" s="29" t="n">
        <f aca="false">Inputs!$D$39*Portfolio_Flows!AI14+Inputs!$D$40*Portfolio_Flows!AI23+Inputs!$D$41*Portfolio_Flows!AI32+(Inputs!$D$42+Inputs!$D$43-$D9)*Portfolio_Flows!AI41+$D9*Portfolio_Flows!AI50</f>
        <v>7864.79599999997</v>
      </c>
      <c r="AJ9" s="29" t="n">
        <f aca="false">Inputs!$D$39*Portfolio_Flows!AJ14+Inputs!$D$40*Portfolio_Flows!AJ23+Inputs!$D$41*Portfolio_Flows!AJ32+(Inputs!$D$42+Inputs!$D$43-$D9)*Portfolio_Flows!AJ41+$D9*Portfolio_Flows!AJ50</f>
        <v>7932.32241666664</v>
      </c>
      <c r="AK9" s="29" t="n">
        <f aca="false">Inputs!$D$39*Portfolio_Flows!AK14+Inputs!$D$40*Portfolio_Flows!AK23+Inputs!$D$41*Portfolio_Flows!AK32+(Inputs!$D$42+Inputs!$D$43-$D9)*Portfolio_Flows!AK41+$D9*Portfolio_Flows!AK50</f>
        <v>7999.84883333336</v>
      </c>
      <c r="AL9" s="29" t="n">
        <f aca="false">Inputs!$D$39*Portfolio_Flows!AL14+Inputs!$D$40*Portfolio_Flows!AL23+Inputs!$D$41*Portfolio_Flows!AL32+(Inputs!$D$42+Inputs!$D$43-$D9)*Portfolio_Flows!AL41+$D9*Portfolio_Flows!AL50</f>
        <v>-15886.62475</v>
      </c>
      <c r="AM9" s="29" t="n">
        <f aca="false">Inputs!$D$39*Portfolio_Flows!AM14+Inputs!$D$40*Portfolio_Flows!AM23+Inputs!$D$41*Portfolio_Flows!AM32+(Inputs!$D$42+Inputs!$D$43-$D9)*Portfolio_Flows!AM41+$D9*Portfolio_Flows!AM50</f>
        <v>8134.90166666664</v>
      </c>
      <c r="AN9" s="29" t="n">
        <f aca="false">Inputs!$D$39*Portfolio_Flows!AN14+Inputs!$D$40*Portfolio_Flows!AN23+Inputs!$D$41*Portfolio_Flows!AN32+(Inputs!$D$42+Inputs!$D$43-$D9)*Portfolio_Flows!AN41+$D9*Portfolio_Flows!AN50</f>
        <v>0</v>
      </c>
      <c r="AO9" s="29" t="n">
        <f aca="false">Inputs!$D$39*Portfolio_Flows!AO14+Inputs!$D$40*Portfolio_Flows!AO23+Inputs!$D$41*Portfolio_Flows!AO32+(Inputs!$D$42+Inputs!$D$43-$D9)*Portfolio_Flows!AO41+$D9*Portfolio_Flows!AO50</f>
        <v>0</v>
      </c>
      <c r="AP9" s="29" t="n">
        <f aca="false">Inputs!$D$39*Portfolio_Flows!AP14+Inputs!$D$40*Portfolio_Flows!AP23+Inputs!$D$41*Portfolio_Flows!AP32+(Inputs!$D$42+Inputs!$D$43-$D9)*Portfolio_Flows!AP41+$D9*Portfolio_Flows!AP50</f>
        <v>33682.125</v>
      </c>
      <c r="AQ9" s="29" t="n">
        <f aca="false">Inputs!$D$39*Portfolio_Flows!AQ14+Inputs!$D$40*Portfolio_Flows!AQ23+Inputs!$D$41*Portfolio_Flows!AQ32+(Inputs!$D$42+Inputs!$D$43-$D9)*Portfolio_Flows!AQ41+$D9*Portfolio_Flows!AQ50</f>
        <v>0</v>
      </c>
      <c r="AR9" s="29" t="n">
        <f aca="false">Inputs!$D$39*Portfolio_Flows!AR14+Inputs!$D$40*Portfolio_Flows!AR23+Inputs!$D$41*Portfolio_Flows!AR32+(Inputs!$D$42+Inputs!$D$43-$D9)*Portfolio_Flows!AR41+$D9*Portfolio_Flows!AR50</f>
        <v>0</v>
      </c>
      <c r="AS9" s="29" t="n">
        <f aca="false">Inputs!$D$39*Portfolio_Flows!AS14+Inputs!$D$40*Portfolio_Flows!AS23+Inputs!$D$41*Portfolio_Flows!AS32+(Inputs!$D$42+Inputs!$D$43-$D9)*Portfolio_Flows!AS41+$D9*Portfolio_Flows!AS50</f>
        <v>19435.6278</v>
      </c>
      <c r="AT9" s="29" t="n">
        <f aca="false">Inputs!$D$39*Portfolio_Flows!AT14+Inputs!$D$40*Portfolio_Flows!AT23+Inputs!$D$41*Portfolio_Flows!AT32+(Inputs!$D$42+Inputs!$D$43-$D9)*Portfolio_Flows!AT41+$D9*Portfolio_Flows!AT50</f>
        <v>0</v>
      </c>
      <c r="AU9" s="29" t="n">
        <f aca="false">Inputs!$D$39*Portfolio_Flows!AU14+Inputs!$D$40*Portfolio_Flows!AU23+Inputs!$D$41*Portfolio_Flows!AU32+(Inputs!$D$42+Inputs!$D$43-$D9)*Portfolio_Flows!AU41+$D9*Portfolio_Flows!AU50</f>
        <v>0</v>
      </c>
      <c r="AV9" s="29" t="n">
        <f aca="false">Inputs!$D$39*Portfolio_Flows!AV14+Inputs!$D$40*Portfolio_Flows!AV23+Inputs!$D$41*Portfolio_Flows!AV32+(Inputs!$D$42+Inputs!$D$43-$D9)*Portfolio_Flows!AV41+$D9*Portfolio_Flows!AV50</f>
        <v>0</v>
      </c>
      <c r="AW9" s="29" t="n">
        <f aca="false">Inputs!$D$39*Portfolio_Flows!AW14+Inputs!$D$40*Portfolio_Flows!AW23+Inputs!$D$41*Portfolio_Flows!AW32+(Inputs!$D$42+Inputs!$D$43-$D9)*Portfolio_Flows!AW41+$D9*Portfolio_Flows!AW50</f>
        <v>0</v>
      </c>
      <c r="AX9" s="29" t="n">
        <f aca="false">Inputs!$D$39*Portfolio_Flows!AX14+Inputs!$D$40*Portfolio_Flows!AX23+Inputs!$D$41*Portfolio_Flows!AX32+(Inputs!$D$42+Inputs!$D$43-$D9)*Portfolio_Flows!AX41+$D9*Portfolio_Flows!AX50</f>
        <v>5871.672</v>
      </c>
      <c r="AY9" s="29" t="n">
        <f aca="false">Inputs!$D$39*Portfolio_Flows!AY14+Inputs!$D$40*Portfolio_Flows!AY23+Inputs!$D$41*Portfolio_Flows!AY32+(Inputs!$D$42+Inputs!$D$43-$D9)*Portfolio_Flows!AY41+$D9*Portfolio_Flows!AY50</f>
        <v>0</v>
      </c>
    </row>
    <row r="10" customFormat="false" ht="15" hidden="false" customHeight="false" outlineLevel="0" collapsed="false">
      <c r="B10" s="9" t="s">
        <v>297</v>
      </c>
      <c r="C10" s="27" t="str">
        <f aca="false">Inputs!$B$55</f>
        <v>Base</v>
      </c>
      <c r="D10" s="12" t="n">
        <v>2</v>
      </c>
      <c r="E10" s="40" t="n">
        <f aca="false">IRR($N10:$AY10,0.005)</f>
        <v>0.00607759906207954</v>
      </c>
      <c r="F10" s="41" t="n">
        <f aca="false">(1+E10)^12-1</f>
        <v>0.0754191143018372</v>
      </c>
      <c r="G10" s="30" t="n">
        <f aca="false">-N10</f>
        <v>229300</v>
      </c>
      <c r="H10" s="30" t="n">
        <f aca="false">-SUMIF(O10:AY10,"&lt;0")</f>
        <v>72357.6611999999</v>
      </c>
      <c r="I10" s="30" t="n">
        <f aca="false">SUMIF($N10:$AY10,"&gt;0")</f>
        <v>321668.04185</v>
      </c>
      <c r="J10" s="30" t="n">
        <f aca="false">I10-G10-H10</f>
        <v>20010.38065</v>
      </c>
      <c r="N10" s="29" t="n">
        <f aca="false">Inputs!$D$39*Portfolio_Flows!N14+Inputs!$D$40*Portfolio_Flows!N23+Inputs!$D$41*Portfolio_Flows!N32+(Inputs!$D$42+Inputs!$D$43-$D10)*Portfolio_Flows!N41+$D10*Portfolio_Flows!N50</f>
        <v>-229300</v>
      </c>
      <c r="O10" s="29" t="n">
        <f aca="false">Inputs!$D$39*Portfolio_Flows!O14+Inputs!$D$40*Portfolio_Flows!O23+Inputs!$D$41*Portfolio_Flows!O32+(Inputs!$D$42+Inputs!$D$43-$D10)*Portfolio_Flows!O41+$D10*Portfolio_Flows!O50</f>
        <v>0</v>
      </c>
      <c r="P10" s="29" t="n">
        <f aca="false">Inputs!$D$39*Portfolio_Flows!P14+Inputs!$D$40*Portfolio_Flows!P23+Inputs!$D$41*Portfolio_Flows!P32+(Inputs!$D$42+Inputs!$D$43-$D10)*Portfolio_Flows!P41+$D10*Portfolio_Flows!P50</f>
        <v>26685.288</v>
      </c>
      <c r="Q10" s="29" t="n">
        <f aca="false">Inputs!$D$39*Portfolio_Flows!Q14+Inputs!$D$40*Portfolio_Flows!Q23+Inputs!$D$41*Portfolio_Flows!Q32+(Inputs!$D$42+Inputs!$D$43-$D10)*Portfolio_Flows!Q41+$D10*Portfolio_Flows!Q50</f>
        <v>22237.74</v>
      </c>
      <c r="R10" s="29" t="n">
        <f aca="false">Inputs!$D$39*Portfolio_Flows!R14+Inputs!$D$40*Portfolio_Flows!R23+Inputs!$D$41*Portfolio_Flows!R32+(Inputs!$D$42+Inputs!$D$43-$D10)*Portfolio_Flows!R41+$D10*Portfolio_Flows!R50</f>
        <v>20013.966</v>
      </c>
      <c r="S10" s="29" t="n">
        <f aca="false">Inputs!$D$39*Portfolio_Flows!S14+Inputs!$D$40*Portfolio_Flows!S23+Inputs!$D$41*Portfolio_Flows!S32+(Inputs!$D$42+Inputs!$D$43-$D10)*Portfolio_Flows!S41+$D10*Portfolio_Flows!S50</f>
        <v>15566.418</v>
      </c>
      <c r="T10" s="29" t="n">
        <f aca="false">Inputs!$D$39*Portfolio_Flows!T14+Inputs!$D$40*Portfolio_Flows!T23+Inputs!$D$41*Portfolio_Flows!T32+(Inputs!$D$42+Inputs!$D$43-$D10)*Portfolio_Flows!T41+$D10*Portfolio_Flows!T50</f>
        <v>15571.598</v>
      </c>
      <c r="U10" s="29" t="n">
        <f aca="false">Inputs!$D$39*Portfolio_Flows!U14+Inputs!$D$40*Portfolio_Flows!U23+Inputs!$D$41*Portfolio_Flows!U32+(Inputs!$D$42+Inputs!$D$43-$D10)*Portfolio_Flows!U41+$D10*Portfolio_Flows!U50</f>
        <v>15585.066</v>
      </c>
      <c r="V10" s="29" t="n">
        <f aca="false">Inputs!$D$39*Portfolio_Flows!V14+Inputs!$D$40*Portfolio_Flows!V23+Inputs!$D$41*Portfolio_Flows!V32+(Inputs!$D$42+Inputs!$D$43-$D10)*Portfolio_Flows!V41+$D10*Portfolio_Flows!V50</f>
        <v>9660.86658333333</v>
      </c>
      <c r="W10" s="29" t="n">
        <f aca="false">Inputs!$D$39*Portfolio_Flows!W14+Inputs!$D$40*Portfolio_Flows!W23+Inputs!$D$41*Portfolio_Flows!W32+(Inputs!$D$42+Inputs!$D$43-$D10)*Portfolio_Flows!W41+$D10*Portfolio_Flows!W50</f>
        <v>9683.09766666667</v>
      </c>
      <c r="X10" s="29" t="n">
        <f aca="false">Inputs!$D$39*Portfolio_Flows!X14+Inputs!$D$40*Portfolio_Flows!X23+Inputs!$D$41*Portfolio_Flows!X32+(Inputs!$D$42+Inputs!$D$43-$D10)*Portfolio_Flows!X41+$D10*Portfolio_Flows!X50</f>
        <v>9711.85735</v>
      </c>
      <c r="Y10" s="29" t="n">
        <f aca="false">Inputs!$D$39*Portfolio_Flows!Y14+Inputs!$D$40*Portfolio_Flows!Y23+Inputs!$D$41*Portfolio_Flows!Y32+(Inputs!$D$42+Inputs!$D$43-$D10)*Portfolio_Flows!Y41+$D10*Portfolio_Flows!Y50</f>
        <v>8249.42616666666</v>
      </c>
      <c r="Z10" s="29" t="n">
        <f aca="false">Inputs!$D$39*Portfolio_Flows!Z14+Inputs!$D$40*Portfolio_Flows!Z23+Inputs!$D$41*Portfolio_Flows!Z32+(Inputs!$D$42+Inputs!$D$43-$D10)*Portfolio_Flows!Z41+$D10*Portfolio_Flows!Z50</f>
        <v>-57111.1931166667</v>
      </c>
      <c r="AA10" s="29" t="n">
        <f aca="false">Inputs!$D$39*Portfolio_Flows!AA14+Inputs!$D$40*Portfolio_Flows!AA23+Inputs!$D$41*Portfolio_Flows!AA32+(Inputs!$D$42+Inputs!$D$43-$D10)*Portfolio_Flows!AA41+$D10*Portfolio_Flows!AA50</f>
        <v>8312.82759999999</v>
      </c>
      <c r="AB10" s="29" t="n">
        <f aca="false">Inputs!$D$39*Portfolio_Flows!AB14+Inputs!$D$40*Portfolio_Flows!AB23+Inputs!$D$41*Portfolio_Flows!AB32+(Inputs!$D$42+Inputs!$D$43-$D10)*Portfolio_Flows!AB41+$D10*Portfolio_Flows!AB50</f>
        <v>10299.47485</v>
      </c>
      <c r="AC10" s="29" t="n">
        <f aca="false">Inputs!$D$39*Portfolio_Flows!AC14+Inputs!$D$40*Portfolio_Flows!AC23+Inputs!$D$41*Portfolio_Flows!AC32+(Inputs!$D$42+Inputs!$D$43-$D10)*Portfolio_Flows!AC41+$D10*Portfolio_Flows!AC50</f>
        <v>10393.3818333333</v>
      </c>
      <c r="AD10" s="29" t="n">
        <f aca="false">Inputs!$D$39*Portfolio_Flows!AD14+Inputs!$D$40*Portfolio_Flows!AD23+Inputs!$D$41*Portfolio_Flows!AD32+(Inputs!$D$42+Inputs!$D$43-$D10)*Portfolio_Flows!AD41+$D10*Portfolio_Flows!AD50</f>
        <v>10487.2888166667</v>
      </c>
      <c r="AE10" s="29" t="n">
        <f aca="false">Inputs!$D$39*Portfolio_Flows!AE14+Inputs!$D$40*Portfolio_Flows!AE23+Inputs!$D$41*Portfolio_Flows!AE32+(Inputs!$D$42+Inputs!$D$43-$D10)*Portfolio_Flows!AE41+$D10*Portfolio_Flows!AE50</f>
        <v>10581.1958</v>
      </c>
      <c r="AF10" s="29" t="n">
        <f aca="false">Inputs!$D$39*Portfolio_Flows!AF14+Inputs!$D$40*Portfolio_Flows!AF23+Inputs!$D$41*Portfolio_Flows!AF32+(Inputs!$D$42+Inputs!$D$43-$D10)*Portfolio_Flows!AF41+$D10*Portfolio_Flows!AF50</f>
        <v>10675.1027833333</v>
      </c>
      <c r="AG10" s="29" t="n">
        <f aca="false">Inputs!$D$39*Portfolio_Flows!AG14+Inputs!$D$40*Portfolio_Flows!AG23+Inputs!$D$41*Portfolio_Flows!AG32+(Inputs!$D$42+Inputs!$D$43-$D10)*Portfolio_Flows!AG41+$D10*Portfolio_Flows!AG50</f>
        <v>10769.0097666667</v>
      </c>
      <c r="AH10" s="29" t="n">
        <f aca="false">Inputs!$D$39*Portfolio_Flows!AH14+Inputs!$D$40*Portfolio_Flows!AH23+Inputs!$D$41*Portfolio_Flows!AH32+(Inputs!$D$42+Inputs!$D$43-$D10)*Portfolio_Flows!AH41+$D10*Portfolio_Flows!AH50</f>
        <v>7759.22625000002</v>
      </c>
      <c r="AI10" s="29" t="n">
        <f aca="false">Inputs!$D$39*Portfolio_Flows!AI14+Inputs!$D$40*Portfolio_Flows!AI23+Inputs!$D$41*Portfolio_Flows!AI32+(Inputs!$D$42+Inputs!$D$43-$D10)*Portfolio_Flows!AI41+$D10*Portfolio_Flows!AI50</f>
        <v>7826.30266666664</v>
      </c>
      <c r="AJ10" s="29" t="n">
        <f aca="false">Inputs!$D$39*Portfolio_Flows!AJ14+Inputs!$D$40*Portfolio_Flows!AJ23+Inputs!$D$41*Portfolio_Flows!AJ32+(Inputs!$D$42+Inputs!$D$43-$D10)*Portfolio_Flows!AJ41+$D10*Portfolio_Flows!AJ50</f>
        <v>7893.37908333331</v>
      </c>
      <c r="AK10" s="29" t="n">
        <f aca="false">Inputs!$D$39*Portfolio_Flows!AK14+Inputs!$D$40*Portfolio_Flows!AK23+Inputs!$D$41*Portfolio_Flows!AK32+(Inputs!$D$42+Inputs!$D$43-$D10)*Portfolio_Flows!AK41+$D10*Portfolio_Flows!AK50</f>
        <v>7960.45550000003</v>
      </c>
      <c r="AL10" s="29" t="n">
        <f aca="false">Inputs!$D$39*Portfolio_Flows!AL14+Inputs!$D$40*Portfolio_Flows!AL23+Inputs!$D$41*Portfolio_Flows!AL32+(Inputs!$D$42+Inputs!$D$43-$D10)*Portfolio_Flows!AL41+$D10*Portfolio_Flows!AL50</f>
        <v>-15246.4680833333</v>
      </c>
      <c r="AM10" s="29" t="n">
        <f aca="false">Inputs!$D$39*Portfolio_Flows!AM14+Inputs!$D$40*Portfolio_Flows!AM23+Inputs!$D$41*Portfolio_Flows!AM32+(Inputs!$D$42+Inputs!$D$43-$D10)*Portfolio_Flows!AM41+$D10*Portfolio_Flows!AM50</f>
        <v>8094.60833333331</v>
      </c>
      <c r="AN10" s="29" t="n">
        <f aca="false">Inputs!$D$39*Portfolio_Flows!AN14+Inputs!$D$40*Portfolio_Flows!AN23+Inputs!$D$41*Portfolio_Flows!AN32+(Inputs!$D$42+Inputs!$D$43-$D10)*Portfolio_Flows!AN41+$D10*Portfolio_Flows!AN50</f>
        <v>0</v>
      </c>
      <c r="AO10" s="29" t="n">
        <f aca="false">Inputs!$D$39*Portfolio_Flows!AO14+Inputs!$D$40*Portfolio_Flows!AO23+Inputs!$D$41*Portfolio_Flows!AO32+(Inputs!$D$42+Inputs!$D$43-$D10)*Portfolio_Flows!AO41+$D10*Portfolio_Flows!AO50</f>
        <v>0</v>
      </c>
      <c r="AP10" s="29" t="n">
        <f aca="false">Inputs!$D$39*Portfolio_Flows!AP14+Inputs!$D$40*Portfolio_Flows!AP23+Inputs!$D$41*Portfolio_Flows!AP32+(Inputs!$D$42+Inputs!$D$43-$D10)*Portfolio_Flows!AP41+$D10*Portfolio_Flows!AP50</f>
        <v>33082.125</v>
      </c>
      <c r="AQ10" s="29" t="n">
        <f aca="false">Inputs!$D$39*Portfolio_Flows!AQ14+Inputs!$D$40*Portfolio_Flows!AQ23+Inputs!$D$41*Portfolio_Flows!AQ32+(Inputs!$D$42+Inputs!$D$43-$D10)*Portfolio_Flows!AQ41+$D10*Portfolio_Flows!AQ50</f>
        <v>0</v>
      </c>
      <c r="AR10" s="29" t="n">
        <f aca="false">Inputs!$D$39*Portfolio_Flows!AR14+Inputs!$D$40*Portfolio_Flows!AR23+Inputs!$D$41*Portfolio_Flows!AR32+(Inputs!$D$42+Inputs!$D$43-$D10)*Portfolio_Flows!AR41+$D10*Portfolio_Flows!AR50</f>
        <v>0</v>
      </c>
      <c r="AS10" s="29" t="n">
        <f aca="false">Inputs!$D$39*Portfolio_Flows!AS14+Inputs!$D$40*Portfolio_Flows!AS23+Inputs!$D$41*Portfolio_Flows!AS32+(Inputs!$D$42+Inputs!$D$43-$D10)*Portfolio_Flows!AS41+$D10*Portfolio_Flows!AS50</f>
        <v>18973.8678</v>
      </c>
      <c r="AT10" s="29" t="n">
        <f aca="false">Inputs!$D$39*Portfolio_Flows!AT14+Inputs!$D$40*Portfolio_Flows!AT23+Inputs!$D$41*Portfolio_Flows!AT32+(Inputs!$D$42+Inputs!$D$43-$D10)*Portfolio_Flows!AT41+$D10*Portfolio_Flows!AT50</f>
        <v>0</v>
      </c>
      <c r="AU10" s="29" t="n">
        <f aca="false">Inputs!$D$39*Portfolio_Flows!AU14+Inputs!$D$40*Portfolio_Flows!AU23+Inputs!$D$41*Portfolio_Flows!AU32+(Inputs!$D$42+Inputs!$D$43-$D10)*Portfolio_Flows!AU41+$D10*Portfolio_Flows!AU50</f>
        <v>0</v>
      </c>
      <c r="AV10" s="29" t="n">
        <f aca="false">Inputs!$D$39*Portfolio_Flows!AV14+Inputs!$D$40*Portfolio_Flows!AV23+Inputs!$D$41*Portfolio_Flows!AV32+(Inputs!$D$42+Inputs!$D$43-$D10)*Portfolio_Flows!AV41+$D10*Portfolio_Flows!AV50</f>
        <v>0</v>
      </c>
      <c r="AW10" s="29" t="n">
        <f aca="false">Inputs!$D$39*Portfolio_Flows!AW14+Inputs!$D$40*Portfolio_Flows!AW23+Inputs!$D$41*Portfolio_Flows!AW32+(Inputs!$D$42+Inputs!$D$43-$D10)*Portfolio_Flows!AW41+$D10*Portfolio_Flows!AW50</f>
        <v>0</v>
      </c>
      <c r="AX10" s="29" t="n">
        <f aca="false">Inputs!$D$39*Portfolio_Flows!AX14+Inputs!$D$40*Portfolio_Flows!AX23+Inputs!$D$41*Portfolio_Flows!AX32+(Inputs!$D$42+Inputs!$D$43-$D10)*Portfolio_Flows!AX41+$D10*Portfolio_Flows!AX50</f>
        <v>5594.472</v>
      </c>
      <c r="AY10" s="29" t="n">
        <f aca="false">Inputs!$D$39*Portfolio_Flows!AY14+Inputs!$D$40*Portfolio_Flows!AY23+Inputs!$D$41*Portfolio_Flows!AY32+(Inputs!$D$42+Inputs!$D$43-$D10)*Portfolio_Flows!AY41+$D10*Portfolio_Flows!AY50</f>
        <v>0</v>
      </c>
    </row>
    <row r="11" customFormat="false" ht="15" hidden="false" customHeight="false" outlineLevel="0" collapsed="false">
      <c r="B11" s="9" t="s">
        <v>298</v>
      </c>
      <c r="C11" s="27" t="str">
        <f aca="false">Inputs!$B$55</f>
        <v>Base</v>
      </c>
      <c r="D11" s="12" t="n">
        <v>3</v>
      </c>
      <c r="E11" s="40" t="n">
        <f aca="false">IRR($N11:$AY11,0.005)</f>
        <v>0.00575484381994968</v>
      </c>
      <c r="F11" s="41" t="n">
        <f aca="false">(1+E11)^12-1</f>
        <v>0.0712864066542915</v>
      </c>
      <c r="G11" s="30" t="n">
        <f aca="false">-N11</f>
        <v>229300</v>
      </c>
      <c r="H11" s="30" t="n">
        <f aca="false">-SUMIF(O11:AY11,"&lt;0")</f>
        <v>71119.8505333333</v>
      </c>
      <c r="I11" s="30" t="n">
        <f aca="false">SUMIF($N11:$AY11,"&gt;0")</f>
        <v>319272.691183333</v>
      </c>
      <c r="J11" s="30" t="n">
        <f aca="false">I11-G11-H11</f>
        <v>18852.84065</v>
      </c>
      <c r="N11" s="29" t="n">
        <f aca="false">Inputs!$D$39*Portfolio_Flows!N14+Inputs!$D$40*Portfolio_Flows!N23+Inputs!$D$41*Portfolio_Flows!N32+(Inputs!$D$42+Inputs!$D$43-$D11)*Portfolio_Flows!N41+$D11*Portfolio_Flows!N50</f>
        <v>-229300</v>
      </c>
      <c r="O11" s="29" t="n">
        <f aca="false">Inputs!$D$39*Portfolio_Flows!O14+Inputs!$D$40*Portfolio_Flows!O23+Inputs!$D$41*Portfolio_Flows!O32+(Inputs!$D$42+Inputs!$D$43-$D11)*Portfolio_Flows!O41+$D11*Portfolio_Flows!O50</f>
        <v>0</v>
      </c>
      <c r="P11" s="29" t="n">
        <f aca="false">Inputs!$D$39*Portfolio_Flows!P14+Inputs!$D$40*Portfolio_Flows!P23+Inputs!$D$41*Portfolio_Flows!P32+(Inputs!$D$42+Inputs!$D$43-$D11)*Portfolio_Flows!P41+$D11*Portfolio_Flows!P50</f>
        <v>26594.568</v>
      </c>
      <c r="Q11" s="29" t="n">
        <f aca="false">Inputs!$D$39*Portfolio_Flows!Q14+Inputs!$D$40*Portfolio_Flows!Q23+Inputs!$D$41*Portfolio_Flows!Q32+(Inputs!$D$42+Inputs!$D$43-$D11)*Portfolio_Flows!Q41+$D11*Portfolio_Flows!Q50</f>
        <v>22162.14</v>
      </c>
      <c r="R11" s="29" t="n">
        <f aca="false">Inputs!$D$39*Portfolio_Flows!R14+Inputs!$D$40*Portfolio_Flows!R23+Inputs!$D$41*Portfolio_Flows!R32+(Inputs!$D$42+Inputs!$D$43-$D11)*Portfolio_Flows!R41+$D11*Portfolio_Flows!R50</f>
        <v>19945.926</v>
      </c>
      <c r="S11" s="29" t="n">
        <f aca="false">Inputs!$D$39*Portfolio_Flows!S14+Inputs!$D$40*Portfolio_Flows!S23+Inputs!$D$41*Portfolio_Flows!S32+(Inputs!$D$42+Inputs!$D$43-$D11)*Portfolio_Flows!S41+$D11*Portfolio_Flows!S50</f>
        <v>15513.498</v>
      </c>
      <c r="T11" s="29" t="n">
        <f aca="false">Inputs!$D$39*Portfolio_Flows!T14+Inputs!$D$40*Portfolio_Flows!T23+Inputs!$D$41*Portfolio_Flows!T32+(Inputs!$D$42+Inputs!$D$43-$D11)*Portfolio_Flows!T41+$D11*Portfolio_Flows!T50</f>
        <v>15518.468</v>
      </c>
      <c r="U11" s="29" t="n">
        <f aca="false">Inputs!$D$39*Portfolio_Flows!U14+Inputs!$D$40*Portfolio_Flows!U23+Inputs!$D$41*Portfolio_Flows!U32+(Inputs!$D$42+Inputs!$D$43-$D11)*Portfolio_Flows!U41+$D11*Portfolio_Flows!U50</f>
        <v>15531.39</v>
      </c>
      <c r="V11" s="29" t="n">
        <f aca="false">Inputs!$D$39*Portfolio_Flows!V14+Inputs!$D$40*Portfolio_Flows!V23+Inputs!$D$41*Portfolio_Flows!V32+(Inputs!$D$42+Inputs!$D$43-$D11)*Portfolio_Flows!V41+$D11*Portfolio_Flows!V50</f>
        <v>9627.30058333334</v>
      </c>
      <c r="W11" s="29" t="n">
        <f aca="false">Inputs!$D$39*Portfolio_Flows!W14+Inputs!$D$40*Portfolio_Flows!W23+Inputs!$D$41*Portfolio_Flows!W32+(Inputs!$D$42+Inputs!$D$43-$D11)*Portfolio_Flows!W41+$D11*Portfolio_Flows!W50</f>
        <v>9649.19366666667</v>
      </c>
      <c r="X11" s="29" t="n">
        <f aca="false">Inputs!$D$39*Portfolio_Flows!X14+Inputs!$D$40*Portfolio_Flows!X23+Inputs!$D$41*Portfolio_Flows!X32+(Inputs!$D$42+Inputs!$D$43-$D11)*Portfolio_Flows!X41+$D11*Portfolio_Flows!X50</f>
        <v>9677.61535</v>
      </c>
      <c r="Y11" s="29" t="n">
        <f aca="false">Inputs!$D$39*Portfolio_Flows!Y14+Inputs!$D$40*Portfolio_Flows!Y23+Inputs!$D$41*Portfolio_Flows!Y32+(Inputs!$D$42+Inputs!$D$43-$D11)*Portfolio_Flows!Y41+$D11*Portfolio_Flows!Y50</f>
        <v>8220.16616666666</v>
      </c>
      <c r="Z11" s="29" t="n">
        <f aca="false">Inputs!$D$39*Portfolio_Flows!Z14+Inputs!$D$40*Portfolio_Flows!Z23+Inputs!$D$41*Portfolio_Flows!Z32+(Inputs!$D$42+Inputs!$D$43-$D11)*Portfolio_Flows!Z41+$D11*Portfolio_Flows!Z50</f>
        <v>-56513.5391166666</v>
      </c>
      <c r="AA11" s="29" t="n">
        <f aca="false">Inputs!$D$39*Portfolio_Flows!AA14+Inputs!$D$40*Portfolio_Flows!AA23+Inputs!$D$41*Portfolio_Flows!AA32+(Inputs!$D$42+Inputs!$D$43-$D11)*Portfolio_Flows!AA41+$D11*Portfolio_Flows!AA50</f>
        <v>8282.99559999999</v>
      </c>
      <c r="AB11" s="29" t="n">
        <f aca="false">Inputs!$D$39*Portfolio_Flows!AB14+Inputs!$D$40*Portfolio_Flows!AB23+Inputs!$D$41*Portfolio_Flows!AB32+(Inputs!$D$42+Inputs!$D$43-$D11)*Portfolio_Flows!AB41+$D11*Portfolio_Flows!AB50</f>
        <v>10249.9941833333</v>
      </c>
      <c r="AC11" s="29" t="n">
        <f aca="false">Inputs!$D$39*Portfolio_Flows!AC14+Inputs!$D$40*Portfolio_Flows!AC23+Inputs!$D$41*Portfolio_Flows!AC32+(Inputs!$D$42+Inputs!$D$43-$D11)*Portfolio_Flows!AC41+$D11*Portfolio_Flows!AC50</f>
        <v>10343.2711666667</v>
      </c>
      <c r="AD11" s="29" t="n">
        <f aca="false">Inputs!$D$39*Portfolio_Flows!AD14+Inputs!$D$40*Portfolio_Flows!AD23+Inputs!$D$41*Portfolio_Flows!AD32+(Inputs!$D$42+Inputs!$D$43-$D11)*Portfolio_Flows!AD41+$D11*Portfolio_Flows!AD50</f>
        <v>10436.54815</v>
      </c>
      <c r="AE11" s="29" t="n">
        <f aca="false">Inputs!$D$39*Portfolio_Flows!AE14+Inputs!$D$40*Portfolio_Flows!AE23+Inputs!$D$41*Portfolio_Flows!AE32+(Inputs!$D$42+Inputs!$D$43-$D11)*Portfolio_Flows!AE41+$D11*Portfolio_Flows!AE50</f>
        <v>10529.8251333333</v>
      </c>
      <c r="AF11" s="29" t="n">
        <f aca="false">Inputs!$D$39*Portfolio_Flows!AF14+Inputs!$D$40*Portfolio_Flows!AF23+Inputs!$D$41*Portfolio_Flows!AF32+(Inputs!$D$42+Inputs!$D$43-$D11)*Portfolio_Flows!AF41+$D11*Portfolio_Flows!AF50</f>
        <v>10623.1021166667</v>
      </c>
      <c r="AG11" s="29" t="n">
        <f aca="false">Inputs!$D$39*Portfolio_Flows!AG14+Inputs!$D$40*Portfolio_Flows!AG23+Inputs!$D$41*Portfolio_Flows!AG32+(Inputs!$D$42+Inputs!$D$43-$D11)*Portfolio_Flows!AG41+$D11*Portfolio_Flows!AG50</f>
        <v>10716.3791</v>
      </c>
      <c r="AH11" s="29" t="n">
        <f aca="false">Inputs!$D$39*Portfolio_Flows!AH14+Inputs!$D$40*Portfolio_Flows!AH23+Inputs!$D$41*Portfolio_Flows!AH32+(Inputs!$D$42+Inputs!$D$43-$D11)*Portfolio_Flows!AH41+$D11*Portfolio_Flows!AH50</f>
        <v>7721.18291666669</v>
      </c>
      <c r="AI11" s="29" t="n">
        <f aca="false">Inputs!$D$39*Portfolio_Flows!AI14+Inputs!$D$40*Portfolio_Flows!AI23+Inputs!$D$41*Portfolio_Flows!AI32+(Inputs!$D$42+Inputs!$D$43-$D11)*Portfolio_Flows!AI41+$D11*Portfolio_Flows!AI50</f>
        <v>7787.80933333331</v>
      </c>
      <c r="AJ11" s="29" t="n">
        <f aca="false">Inputs!$D$39*Portfolio_Flows!AJ14+Inputs!$D$40*Portfolio_Flows!AJ23+Inputs!$D$41*Portfolio_Flows!AJ32+(Inputs!$D$42+Inputs!$D$43-$D11)*Portfolio_Flows!AJ41+$D11*Portfolio_Flows!AJ50</f>
        <v>7854.43574999997</v>
      </c>
      <c r="AK11" s="29" t="n">
        <f aca="false">Inputs!$D$39*Portfolio_Flows!AK14+Inputs!$D$40*Portfolio_Flows!AK23+Inputs!$D$41*Portfolio_Flows!AK32+(Inputs!$D$42+Inputs!$D$43-$D11)*Portfolio_Flows!AK41+$D11*Portfolio_Flows!AK50</f>
        <v>7921.06216666669</v>
      </c>
      <c r="AL11" s="29" t="n">
        <f aca="false">Inputs!$D$39*Portfolio_Flows!AL14+Inputs!$D$40*Portfolio_Flows!AL23+Inputs!$D$41*Portfolio_Flows!AL32+(Inputs!$D$42+Inputs!$D$43-$D11)*Portfolio_Flows!AL41+$D11*Portfolio_Flows!AL50</f>
        <v>-14606.3114166666</v>
      </c>
      <c r="AM11" s="29" t="n">
        <f aca="false">Inputs!$D$39*Portfolio_Flows!AM14+Inputs!$D$40*Portfolio_Flows!AM23+Inputs!$D$41*Portfolio_Flows!AM32+(Inputs!$D$42+Inputs!$D$43-$D11)*Portfolio_Flows!AM41+$D11*Portfolio_Flows!AM50</f>
        <v>8054.31499999997</v>
      </c>
      <c r="AN11" s="29" t="n">
        <f aca="false">Inputs!$D$39*Portfolio_Flows!AN14+Inputs!$D$40*Portfolio_Flows!AN23+Inputs!$D$41*Portfolio_Flows!AN32+(Inputs!$D$42+Inputs!$D$43-$D11)*Portfolio_Flows!AN41+$D11*Portfolio_Flows!AN50</f>
        <v>0</v>
      </c>
      <c r="AO11" s="29" t="n">
        <f aca="false">Inputs!$D$39*Portfolio_Flows!AO14+Inputs!$D$40*Portfolio_Flows!AO23+Inputs!$D$41*Portfolio_Flows!AO32+(Inputs!$D$42+Inputs!$D$43-$D11)*Portfolio_Flows!AO41+$D11*Portfolio_Flows!AO50</f>
        <v>0</v>
      </c>
      <c r="AP11" s="29" t="n">
        <f aca="false">Inputs!$D$39*Portfolio_Flows!AP14+Inputs!$D$40*Portfolio_Flows!AP23+Inputs!$D$41*Portfolio_Flows!AP32+(Inputs!$D$42+Inputs!$D$43-$D11)*Portfolio_Flows!AP41+$D11*Portfolio_Flows!AP50</f>
        <v>32482.125</v>
      </c>
      <c r="AQ11" s="29" t="n">
        <f aca="false">Inputs!$D$39*Portfolio_Flows!AQ14+Inputs!$D$40*Portfolio_Flows!AQ23+Inputs!$D$41*Portfolio_Flows!AQ32+(Inputs!$D$42+Inputs!$D$43-$D11)*Portfolio_Flows!AQ41+$D11*Portfolio_Flows!AQ50</f>
        <v>0</v>
      </c>
      <c r="AR11" s="29" t="n">
        <f aca="false">Inputs!$D$39*Portfolio_Flows!AR14+Inputs!$D$40*Portfolio_Flows!AR23+Inputs!$D$41*Portfolio_Flows!AR32+(Inputs!$D$42+Inputs!$D$43-$D11)*Portfolio_Flows!AR41+$D11*Portfolio_Flows!AR50</f>
        <v>0</v>
      </c>
      <c r="AS11" s="29" t="n">
        <f aca="false">Inputs!$D$39*Portfolio_Flows!AS14+Inputs!$D$40*Portfolio_Flows!AS23+Inputs!$D$41*Portfolio_Flows!AS32+(Inputs!$D$42+Inputs!$D$43-$D11)*Portfolio_Flows!AS41+$D11*Portfolio_Flows!AS50</f>
        <v>18512.1078</v>
      </c>
      <c r="AT11" s="29" t="n">
        <f aca="false">Inputs!$D$39*Portfolio_Flows!AT14+Inputs!$D$40*Portfolio_Flows!AT23+Inputs!$D$41*Portfolio_Flows!AT32+(Inputs!$D$42+Inputs!$D$43-$D11)*Portfolio_Flows!AT41+$D11*Portfolio_Flows!AT50</f>
        <v>0</v>
      </c>
      <c r="AU11" s="29" t="n">
        <f aca="false">Inputs!$D$39*Portfolio_Flows!AU14+Inputs!$D$40*Portfolio_Flows!AU23+Inputs!$D$41*Portfolio_Flows!AU32+(Inputs!$D$42+Inputs!$D$43-$D11)*Portfolio_Flows!AU41+$D11*Portfolio_Flows!AU50</f>
        <v>0</v>
      </c>
      <c r="AV11" s="29" t="n">
        <f aca="false">Inputs!$D$39*Portfolio_Flows!AV14+Inputs!$D$40*Portfolio_Flows!AV23+Inputs!$D$41*Portfolio_Flows!AV32+(Inputs!$D$42+Inputs!$D$43-$D11)*Portfolio_Flows!AV41+$D11*Portfolio_Flows!AV50</f>
        <v>0</v>
      </c>
      <c r="AW11" s="29" t="n">
        <f aca="false">Inputs!$D$39*Portfolio_Flows!AW14+Inputs!$D$40*Portfolio_Flows!AW23+Inputs!$D$41*Portfolio_Flows!AW32+(Inputs!$D$42+Inputs!$D$43-$D11)*Portfolio_Flows!AW41+$D11*Portfolio_Flows!AW50</f>
        <v>0</v>
      </c>
      <c r="AX11" s="29" t="n">
        <f aca="false">Inputs!$D$39*Portfolio_Flows!AX14+Inputs!$D$40*Portfolio_Flows!AX23+Inputs!$D$41*Portfolio_Flows!AX32+(Inputs!$D$42+Inputs!$D$43-$D11)*Portfolio_Flows!AX41+$D11*Portfolio_Flows!AX50</f>
        <v>5317.272</v>
      </c>
      <c r="AY11" s="29" t="n">
        <f aca="false">Inputs!$D$39*Portfolio_Flows!AY14+Inputs!$D$40*Portfolio_Flows!AY23+Inputs!$D$41*Portfolio_Flows!AY32+(Inputs!$D$42+Inputs!$D$43-$D11)*Portfolio_Flows!AY41+$D11*Portfolio_Flows!AY50</f>
        <v>0</v>
      </c>
    </row>
    <row r="12" customFormat="false" ht="15" hidden="false" customHeight="false" outlineLevel="0" collapsed="false">
      <c r="B12" s="9" t="s">
        <v>299</v>
      </c>
      <c r="C12" s="27" t="str">
        <f aca="false">Inputs!$B$55</f>
        <v>Base</v>
      </c>
      <c r="D12" s="12" t="n">
        <v>4</v>
      </c>
      <c r="E12" s="40" t="n">
        <f aca="false">IRR($N12:$AY12,0.005)</f>
        <v>0.0054290216230382</v>
      </c>
      <c r="F12" s="41" t="n">
        <f aca="false">(1+E12)^12-1</f>
        <v>0.0671291990858212</v>
      </c>
      <c r="G12" s="30" t="n">
        <f aca="false">-N12</f>
        <v>229300</v>
      </c>
      <c r="H12" s="30" t="n">
        <f aca="false">-SUMIF(O12:AY12,"&lt;0")</f>
        <v>69882.0398666666</v>
      </c>
      <c r="I12" s="30" t="n">
        <f aca="false">SUMIF($N12:$AY12,"&gt;0")</f>
        <v>316877.340516667</v>
      </c>
      <c r="J12" s="30" t="n">
        <f aca="false">I12-G12-H12</f>
        <v>17695.30065</v>
      </c>
      <c r="N12" s="29" t="n">
        <f aca="false">Inputs!$D$39*Portfolio_Flows!N14+Inputs!$D$40*Portfolio_Flows!N23+Inputs!$D$41*Portfolio_Flows!N32+(Inputs!$D$42+Inputs!$D$43-$D12)*Portfolio_Flows!N41+$D12*Portfolio_Flows!N50</f>
        <v>-229300</v>
      </c>
      <c r="O12" s="29" t="n">
        <f aca="false">Inputs!$D$39*Portfolio_Flows!O14+Inputs!$D$40*Portfolio_Flows!O23+Inputs!$D$41*Portfolio_Flows!O32+(Inputs!$D$42+Inputs!$D$43-$D12)*Portfolio_Flows!O41+$D12*Portfolio_Flows!O50</f>
        <v>0</v>
      </c>
      <c r="P12" s="29" t="n">
        <f aca="false">Inputs!$D$39*Portfolio_Flows!P14+Inputs!$D$40*Portfolio_Flows!P23+Inputs!$D$41*Portfolio_Flows!P32+(Inputs!$D$42+Inputs!$D$43-$D12)*Portfolio_Flows!P41+$D12*Portfolio_Flows!P50</f>
        <v>26503.848</v>
      </c>
      <c r="Q12" s="29" t="n">
        <f aca="false">Inputs!$D$39*Portfolio_Flows!Q14+Inputs!$D$40*Portfolio_Flows!Q23+Inputs!$D$41*Portfolio_Flows!Q32+(Inputs!$D$42+Inputs!$D$43-$D12)*Portfolio_Flows!Q41+$D12*Portfolio_Flows!Q50</f>
        <v>22086.54</v>
      </c>
      <c r="R12" s="29" t="n">
        <f aca="false">Inputs!$D$39*Portfolio_Flows!R14+Inputs!$D$40*Portfolio_Flows!R23+Inputs!$D$41*Portfolio_Flows!R32+(Inputs!$D$42+Inputs!$D$43-$D12)*Portfolio_Flows!R41+$D12*Portfolio_Flows!R50</f>
        <v>19877.886</v>
      </c>
      <c r="S12" s="29" t="n">
        <f aca="false">Inputs!$D$39*Portfolio_Flows!S14+Inputs!$D$40*Portfolio_Flows!S23+Inputs!$D$41*Portfolio_Flows!S32+(Inputs!$D$42+Inputs!$D$43-$D12)*Portfolio_Flows!S41+$D12*Portfolio_Flows!S50</f>
        <v>15460.578</v>
      </c>
      <c r="T12" s="29" t="n">
        <f aca="false">Inputs!$D$39*Portfolio_Flows!T14+Inputs!$D$40*Portfolio_Flows!T23+Inputs!$D$41*Portfolio_Flows!T32+(Inputs!$D$42+Inputs!$D$43-$D12)*Portfolio_Flows!T41+$D12*Portfolio_Flows!T50</f>
        <v>15465.338</v>
      </c>
      <c r="U12" s="29" t="n">
        <f aca="false">Inputs!$D$39*Portfolio_Flows!U14+Inputs!$D$40*Portfolio_Flows!U23+Inputs!$D$41*Portfolio_Flows!U32+(Inputs!$D$42+Inputs!$D$43-$D12)*Portfolio_Flows!U41+$D12*Portfolio_Flows!U50</f>
        <v>15477.714</v>
      </c>
      <c r="V12" s="29" t="n">
        <f aca="false">Inputs!$D$39*Portfolio_Flows!V14+Inputs!$D$40*Portfolio_Flows!V23+Inputs!$D$41*Portfolio_Flows!V32+(Inputs!$D$42+Inputs!$D$43-$D12)*Portfolio_Flows!V41+$D12*Portfolio_Flows!V50</f>
        <v>9593.73458333334</v>
      </c>
      <c r="W12" s="29" t="n">
        <f aca="false">Inputs!$D$39*Portfolio_Flows!W14+Inputs!$D$40*Portfolio_Flows!W23+Inputs!$D$41*Portfolio_Flows!W32+(Inputs!$D$42+Inputs!$D$43-$D12)*Portfolio_Flows!W41+$D12*Portfolio_Flows!W50</f>
        <v>9615.28966666667</v>
      </c>
      <c r="X12" s="29" t="n">
        <f aca="false">Inputs!$D$39*Portfolio_Flows!X14+Inputs!$D$40*Portfolio_Flows!X23+Inputs!$D$41*Portfolio_Flows!X32+(Inputs!$D$42+Inputs!$D$43-$D12)*Portfolio_Flows!X41+$D12*Portfolio_Flows!X50</f>
        <v>9643.37335</v>
      </c>
      <c r="Y12" s="29" t="n">
        <f aca="false">Inputs!$D$39*Portfolio_Flows!Y14+Inputs!$D$40*Portfolio_Flows!Y23+Inputs!$D$41*Portfolio_Flows!Y32+(Inputs!$D$42+Inputs!$D$43-$D12)*Portfolio_Flows!Y41+$D12*Portfolio_Flows!Y50</f>
        <v>8190.90616666666</v>
      </c>
      <c r="Z12" s="29" t="n">
        <f aca="false">Inputs!$D$39*Portfolio_Flows!Z14+Inputs!$D$40*Portfolio_Flows!Z23+Inputs!$D$41*Portfolio_Flows!Z32+(Inputs!$D$42+Inputs!$D$43-$D12)*Portfolio_Flows!Z41+$D12*Portfolio_Flows!Z50</f>
        <v>-55915.8851166666</v>
      </c>
      <c r="AA12" s="29" t="n">
        <f aca="false">Inputs!$D$39*Portfolio_Flows!AA14+Inputs!$D$40*Portfolio_Flows!AA23+Inputs!$D$41*Portfolio_Flows!AA32+(Inputs!$D$42+Inputs!$D$43-$D12)*Portfolio_Flows!AA41+$D12*Portfolio_Flows!AA50</f>
        <v>8253.16359999999</v>
      </c>
      <c r="AB12" s="29" t="n">
        <f aca="false">Inputs!$D$39*Portfolio_Flows!AB14+Inputs!$D$40*Portfolio_Flows!AB23+Inputs!$D$41*Portfolio_Flows!AB32+(Inputs!$D$42+Inputs!$D$43-$D12)*Portfolio_Flows!AB41+$D12*Portfolio_Flows!AB50</f>
        <v>10200.5135166667</v>
      </c>
      <c r="AC12" s="29" t="n">
        <f aca="false">Inputs!$D$39*Portfolio_Flows!AC14+Inputs!$D$40*Portfolio_Flows!AC23+Inputs!$D$41*Portfolio_Flows!AC32+(Inputs!$D$42+Inputs!$D$43-$D12)*Portfolio_Flows!AC41+$D12*Portfolio_Flows!AC50</f>
        <v>10293.1605</v>
      </c>
      <c r="AD12" s="29" t="n">
        <f aca="false">Inputs!$D$39*Portfolio_Flows!AD14+Inputs!$D$40*Portfolio_Flows!AD23+Inputs!$D$41*Portfolio_Flows!AD32+(Inputs!$D$42+Inputs!$D$43-$D12)*Portfolio_Flows!AD41+$D12*Portfolio_Flows!AD50</f>
        <v>10385.8074833334</v>
      </c>
      <c r="AE12" s="29" t="n">
        <f aca="false">Inputs!$D$39*Portfolio_Flows!AE14+Inputs!$D$40*Portfolio_Flows!AE23+Inputs!$D$41*Portfolio_Flows!AE32+(Inputs!$D$42+Inputs!$D$43-$D12)*Portfolio_Flows!AE41+$D12*Portfolio_Flows!AE50</f>
        <v>10478.4544666667</v>
      </c>
      <c r="AF12" s="29" t="n">
        <f aca="false">Inputs!$D$39*Portfolio_Flows!AF14+Inputs!$D$40*Portfolio_Flows!AF23+Inputs!$D$41*Portfolio_Flows!AF32+(Inputs!$D$42+Inputs!$D$43-$D12)*Portfolio_Flows!AF41+$D12*Portfolio_Flows!AF50</f>
        <v>10571.10145</v>
      </c>
      <c r="AG12" s="29" t="n">
        <f aca="false">Inputs!$D$39*Portfolio_Flows!AG14+Inputs!$D$40*Portfolio_Flows!AG23+Inputs!$D$41*Portfolio_Flows!AG32+(Inputs!$D$42+Inputs!$D$43-$D12)*Portfolio_Flows!AG41+$D12*Portfolio_Flows!AG50</f>
        <v>10663.7484333333</v>
      </c>
      <c r="AH12" s="29" t="n">
        <f aca="false">Inputs!$D$39*Portfolio_Flows!AH14+Inputs!$D$40*Portfolio_Flows!AH23+Inputs!$D$41*Portfolio_Flows!AH32+(Inputs!$D$42+Inputs!$D$43-$D12)*Portfolio_Flows!AH41+$D12*Portfolio_Flows!AH50</f>
        <v>7683.13958333336</v>
      </c>
      <c r="AI12" s="29" t="n">
        <f aca="false">Inputs!$D$39*Portfolio_Flows!AI14+Inputs!$D$40*Portfolio_Flows!AI23+Inputs!$D$41*Portfolio_Flows!AI32+(Inputs!$D$42+Inputs!$D$43-$D12)*Portfolio_Flows!AI41+$D12*Portfolio_Flows!AI50</f>
        <v>7749.31599999997</v>
      </c>
      <c r="AJ12" s="29" t="n">
        <f aca="false">Inputs!$D$39*Portfolio_Flows!AJ14+Inputs!$D$40*Portfolio_Flows!AJ23+Inputs!$D$41*Portfolio_Flows!AJ32+(Inputs!$D$42+Inputs!$D$43-$D12)*Portfolio_Flows!AJ41+$D12*Portfolio_Flows!AJ50</f>
        <v>7815.49241666664</v>
      </c>
      <c r="AK12" s="29" t="n">
        <f aca="false">Inputs!$D$39*Portfolio_Flows!AK14+Inputs!$D$40*Portfolio_Flows!AK23+Inputs!$D$41*Portfolio_Flows!AK32+(Inputs!$D$42+Inputs!$D$43-$D12)*Portfolio_Flows!AK41+$D12*Portfolio_Flows!AK50</f>
        <v>7881.66883333336</v>
      </c>
      <c r="AL12" s="29" t="n">
        <f aca="false">Inputs!$D$39*Portfolio_Flows!AL14+Inputs!$D$40*Portfolio_Flows!AL23+Inputs!$D$41*Portfolio_Flows!AL32+(Inputs!$D$42+Inputs!$D$43-$D12)*Portfolio_Flows!AL41+$D12*Portfolio_Flows!AL50</f>
        <v>-13966.15475</v>
      </c>
      <c r="AM12" s="29" t="n">
        <f aca="false">Inputs!$D$39*Portfolio_Flows!AM14+Inputs!$D$40*Portfolio_Flows!AM23+Inputs!$D$41*Portfolio_Flows!AM32+(Inputs!$D$42+Inputs!$D$43-$D12)*Portfolio_Flows!AM41+$D12*Portfolio_Flows!AM50</f>
        <v>8014.02166666664</v>
      </c>
      <c r="AN12" s="29" t="n">
        <f aca="false">Inputs!$D$39*Portfolio_Flows!AN14+Inputs!$D$40*Portfolio_Flows!AN23+Inputs!$D$41*Portfolio_Flows!AN32+(Inputs!$D$42+Inputs!$D$43-$D12)*Portfolio_Flows!AN41+$D12*Portfolio_Flows!AN50</f>
        <v>0</v>
      </c>
      <c r="AO12" s="29" t="n">
        <f aca="false">Inputs!$D$39*Portfolio_Flows!AO14+Inputs!$D$40*Portfolio_Flows!AO23+Inputs!$D$41*Portfolio_Flows!AO32+(Inputs!$D$42+Inputs!$D$43-$D12)*Portfolio_Flows!AO41+$D12*Portfolio_Flows!AO50</f>
        <v>0</v>
      </c>
      <c r="AP12" s="29" t="n">
        <f aca="false">Inputs!$D$39*Portfolio_Flows!AP14+Inputs!$D$40*Portfolio_Flows!AP23+Inputs!$D$41*Portfolio_Flows!AP32+(Inputs!$D$42+Inputs!$D$43-$D12)*Portfolio_Flows!AP41+$D12*Portfolio_Flows!AP50</f>
        <v>31882.125</v>
      </c>
      <c r="AQ12" s="29" t="n">
        <f aca="false">Inputs!$D$39*Portfolio_Flows!AQ14+Inputs!$D$40*Portfolio_Flows!AQ23+Inputs!$D$41*Portfolio_Flows!AQ32+(Inputs!$D$42+Inputs!$D$43-$D12)*Portfolio_Flows!AQ41+$D12*Portfolio_Flows!AQ50</f>
        <v>0</v>
      </c>
      <c r="AR12" s="29" t="n">
        <f aca="false">Inputs!$D$39*Portfolio_Flows!AR14+Inputs!$D$40*Portfolio_Flows!AR23+Inputs!$D$41*Portfolio_Flows!AR32+(Inputs!$D$42+Inputs!$D$43-$D12)*Portfolio_Flows!AR41+$D12*Portfolio_Flows!AR50</f>
        <v>0</v>
      </c>
      <c r="AS12" s="29" t="n">
        <f aca="false">Inputs!$D$39*Portfolio_Flows!AS14+Inputs!$D$40*Portfolio_Flows!AS23+Inputs!$D$41*Portfolio_Flows!AS32+(Inputs!$D$42+Inputs!$D$43-$D12)*Portfolio_Flows!AS41+$D12*Portfolio_Flows!AS50</f>
        <v>18050.3478</v>
      </c>
      <c r="AT12" s="29" t="n">
        <f aca="false">Inputs!$D$39*Portfolio_Flows!AT14+Inputs!$D$40*Portfolio_Flows!AT23+Inputs!$D$41*Portfolio_Flows!AT32+(Inputs!$D$42+Inputs!$D$43-$D12)*Portfolio_Flows!AT41+$D12*Portfolio_Flows!AT50</f>
        <v>0</v>
      </c>
      <c r="AU12" s="29" t="n">
        <f aca="false">Inputs!$D$39*Portfolio_Flows!AU14+Inputs!$D$40*Portfolio_Flows!AU23+Inputs!$D$41*Portfolio_Flows!AU32+(Inputs!$D$42+Inputs!$D$43-$D12)*Portfolio_Flows!AU41+$D12*Portfolio_Flows!AU50</f>
        <v>0</v>
      </c>
      <c r="AV12" s="29" t="n">
        <f aca="false">Inputs!$D$39*Portfolio_Flows!AV14+Inputs!$D$40*Portfolio_Flows!AV23+Inputs!$D$41*Portfolio_Flows!AV32+(Inputs!$D$42+Inputs!$D$43-$D12)*Portfolio_Flows!AV41+$D12*Portfolio_Flows!AV50</f>
        <v>0</v>
      </c>
      <c r="AW12" s="29" t="n">
        <f aca="false">Inputs!$D$39*Portfolio_Flows!AW14+Inputs!$D$40*Portfolio_Flows!AW23+Inputs!$D$41*Portfolio_Flows!AW32+(Inputs!$D$42+Inputs!$D$43-$D12)*Portfolio_Flows!AW41+$D12*Portfolio_Flows!AW50</f>
        <v>0</v>
      </c>
      <c r="AX12" s="29" t="n">
        <f aca="false">Inputs!$D$39*Portfolio_Flows!AX14+Inputs!$D$40*Portfolio_Flows!AX23+Inputs!$D$41*Portfolio_Flows!AX32+(Inputs!$D$42+Inputs!$D$43-$D12)*Portfolio_Flows!AX41+$D12*Portfolio_Flows!AX50</f>
        <v>5040.072</v>
      </c>
      <c r="AY12" s="29" t="n">
        <f aca="false">Inputs!$D$39*Portfolio_Flows!AY14+Inputs!$D$40*Portfolio_Flows!AY23+Inputs!$D$41*Portfolio_Flows!AY32+(Inputs!$D$42+Inputs!$D$43-$D12)*Portfolio_Flows!AY41+$D12*Portfolio_Flows!AY50</f>
        <v>0</v>
      </c>
    </row>
    <row r="13" customFormat="false" ht="15" hidden="false" customHeight="false" outlineLevel="0" collapsed="false">
      <c r="B13" s="9" t="s">
        <v>300</v>
      </c>
      <c r="C13" s="27" t="str">
        <f aca="false">Inputs!$B$55</f>
        <v>Base</v>
      </c>
      <c r="D13" s="12" t="n">
        <v>5</v>
      </c>
      <c r="E13" s="40" t="n">
        <f aca="false">IRR($N13:$AY13,0.005)</f>
        <v>0.00510005319241475</v>
      </c>
      <c r="F13" s="41" t="n">
        <f aca="false">(1+E13)^12-1</f>
        <v>0.0629468558919348</v>
      </c>
      <c r="G13" s="30" t="n">
        <f aca="false">-N13</f>
        <v>229300</v>
      </c>
      <c r="H13" s="30" t="n">
        <f aca="false">-SUMIF(O13:AY13,"&lt;0")</f>
        <v>68644.2291999999</v>
      </c>
      <c r="I13" s="30" t="n">
        <f aca="false">SUMIF($N13:$AY13,"&gt;0")</f>
        <v>314481.98985</v>
      </c>
      <c r="J13" s="30" t="n">
        <f aca="false">I13-G13-H13</f>
        <v>16537.76065</v>
      </c>
      <c r="N13" s="29" t="n">
        <f aca="false">Inputs!$D$39*Portfolio_Flows!N14+Inputs!$D$40*Portfolio_Flows!N23+Inputs!$D$41*Portfolio_Flows!N32+(Inputs!$D$42+Inputs!$D$43-$D13)*Portfolio_Flows!N41+$D13*Portfolio_Flows!N50</f>
        <v>-229300</v>
      </c>
      <c r="O13" s="29" t="n">
        <f aca="false">Inputs!$D$39*Portfolio_Flows!O14+Inputs!$D$40*Portfolio_Flows!O23+Inputs!$D$41*Portfolio_Flows!O32+(Inputs!$D$42+Inputs!$D$43-$D13)*Portfolio_Flows!O41+$D13*Portfolio_Flows!O50</f>
        <v>0</v>
      </c>
      <c r="P13" s="29" t="n">
        <f aca="false">Inputs!$D$39*Portfolio_Flows!P14+Inputs!$D$40*Portfolio_Flows!P23+Inputs!$D$41*Portfolio_Flows!P32+(Inputs!$D$42+Inputs!$D$43-$D13)*Portfolio_Flows!P41+$D13*Portfolio_Flows!P50</f>
        <v>26413.128</v>
      </c>
      <c r="Q13" s="29" t="n">
        <f aca="false">Inputs!$D$39*Portfolio_Flows!Q14+Inputs!$D$40*Portfolio_Flows!Q23+Inputs!$D$41*Portfolio_Flows!Q32+(Inputs!$D$42+Inputs!$D$43-$D13)*Portfolio_Flows!Q41+$D13*Portfolio_Flows!Q50</f>
        <v>22010.94</v>
      </c>
      <c r="R13" s="29" t="n">
        <f aca="false">Inputs!$D$39*Portfolio_Flows!R14+Inputs!$D$40*Portfolio_Flows!R23+Inputs!$D$41*Portfolio_Flows!R32+(Inputs!$D$42+Inputs!$D$43-$D13)*Portfolio_Flows!R41+$D13*Portfolio_Flows!R50</f>
        <v>19809.846</v>
      </c>
      <c r="S13" s="29" t="n">
        <f aca="false">Inputs!$D$39*Portfolio_Flows!S14+Inputs!$D$40*Portfolio_Flows!S23+Inputs!$D$41*Portfolio_Flows!S32+(Inputs!$D$42+Inputs!$D$43-$D13)*Portfolio_Flows!S41+$D13*Portfolio_Flows!S50</f>
        <v>15407.658</v>
      </c>
      <c r="T13" s="29" t="n">
        <f aca="false">Inputs!$D$39*Portfolio_Flows!T14+Inputs!$D$40*Portfolio_Flows!T23+Inputs!$D$41*Portfolio_Flows!T32+(Inputs!$D$42+Inputs!$D$43-$D13)*Portfolio_Flows!T41+$D13*Portfolio_Flows!T50</f>
        <v>15412.208</v>
      </c>
      <c r="U13" s="29" t="n">
        <f aca="false">Inputs!$D$39*Portfolio_Flows!U14+Inputs!$D$40*Portfolio_Flows!U23+Inputs!$D$41*Portfolio_Flows!U32+(Inputs!$D$42+Inputs!$D$43-$D13)*Portfolio_Flows!U41+$D13*Portfolio_Flows!U50</f>
        <v>15424.038</v>
      </c>
      <c r="V13" s="29" t="n">
        <f aca="false">Inputs!$D$39*Portfolio_Flows!V14+Inputs!$D$40*Portfolio_Flows!V23+Inputs!$D$41*Portfolio_Flows!V32+(Inputs!$D$42+Inputs!$D$43-$D13)*Portfolio_Flows!V41+$D13*Portfolio_Flows!V50</f>
        <v>9560.16858333333</v>
      </c>
      <c r="W13" s="29" t="n">
        <f aca="false">Inputs!$D$39*Portfolio_Flows!W14+Inputs!$D$40*Portfolio_Flows!W23+Inputs!$D$41*Portfolio_Flows!W32+(Inputs!$D$42+Inputs!$D$43-$D13)*Portfolio_Flows!W41+$D13*Portfolio_Flows!W50</f>
        <v>9581.38566666667</v>
      </c>
      <c r="X13" s="29" t="n">
        <f aca="false">Inputs!$D$39*Portfolio_Flows!X14+Inputs!$D$40*Portfolio_Flows!X23+Inputs!$D$41*Portfolio_Flows!X32+(Inputs!$D$42+Inputs!$D$43-$D13)*Portfolio_Flows!X41+$D13*Portfolio_Flows!X50</f>
        <v>9609.13135</v>
      </c>
      <c r="Y13" s="29" t="n">
        <f aca="false">Inputs!$D$39*Portfolio_Flows!Y14+Inputs!$D$40*Portfolio_Flows!Y23+Inputs!$D$41*Portfolio_Flows!Y32+(Inputs!$D$42+Inputs!$D$43-$D13)*Portfolio_Flows!Y41+$D13*Portfolio_Flows!Y50</f>
        <v>8161.64616666666</v>
      </c>
      <c r="Z13" s="29" t="n">
        <f aca="false">Inputs!$D$39*Portfolio_Flows!Z14+Inputs!$D$40*Portfolio_Flows!Z23+Inputs!$D$41*Portfolio_Flows!Z32+(Inputs!$D$42+Inputs!$D$43-$D13)*Portfolio_Flows!Z41+$D13*Portfolio_Flows!Z50</f>
        <v>-55318.2311166666</v>
      </c>
      <c r="AA13" s="29" t="n">
        <f aca="false">Inputs!$D$39*Portfolio_Flows!AA14+Inputs!$D$40*Portfolio_Flows!AA23+Inputs!$D$41*Portfolio_Flows!AA32+(Inputs!$D$42+Inputs!$D$43-$D13)*Portfolio_Flows!AA41+$D13*Portfolio_Flows!AA50</f>
        <v>8223.33159999999</v>
      </c>
      <c r="AB13" s="29" t="n">
        <f aca="false">Inputs!$D$39*Portfolio_Flows!AB14+Inputs!$D$40*Portfolio_Flows!AB23+Inputs!$D$41*Portfolio_Flows!AB32+(Inputs!$D$42+Inputs!$D$43-$D13)*Portfolio_Flows!AB41+$D13*Portfolio_Flows!AB50</f>
        <v>10151.03285</v>
      </c>
      <c r="AC13" s="29" t="n">
        <f aca="false">Inputs!$D$39*Portfolio_Flows!AC14+Inputs!$D$40*Portfolio_Flows!AC23+Inputs!$D$41*Portfolio_Flows!AC32+(Inputs!$D$42+Inputs!$D$43-$D13)*Portfolio_Flows!AC41+$D13*Portfolio_Flows!AC50</f>
        <v>10243.0498333333</v>
      </c>
      <c r="AD13" s="29" t="n">
        <f aca="false">Inputs!$D$39*Portfolio_Flows!AD14+Inputs!$D$40*Portfolio_Flows!AD23+Inputs!$D$41*Portfolio_Flows!AD32+(Inputs!$D$42+Inputs!$D$43-$D13)*Portfolio_Flows!AD41+$D13*Portfolio_Flows!AD50</f>
        <v>10335.0668166667</v>
      </c>
      <c r="AE13" s="29" t="n">
        <f aca="false">Inputs!$D$39*Portfolio_Flows!AE14+Inputs!$D$40*Portfolio_Flows!AE23+Inputs!$D$41*Portfolio_Flows!AE32+(Inputs!$D$42+Inputs!$D$43-$D13)*Portfolio_Flows!AE41+$D13*Portfolio_Flows!AE50</f>
        <v>10427.0838</v>
      </c>
      <c r="AF13" s="29" t="n">
        <f aca="false">Inputs!$D$39*Portfolio_Flows!AF14+Inputs!$D$40*Portfolio_Flows!AF23+Inputs!$D$41*Portfolio_Flows!AF32+(Inputs!$D$42+Inputs!$D$43-$D13)*Portfolio_Flows!AF41+$D13*Portfolio_Flows!AF50</f>
        <v>10519.1007833333</v>
      </c>
      <c r="AG13" s="29" t="n">
        <f aca="false">Inputs!$D$39*Portfolio_Flows!AG14+Inputs!$D$40*Portfolio_Flows!AG23+Inputs!$D$41*Portfolio_Flows!AG32+(Inputs!$D$42+Inputs!$D$43-$D13)*Portfolio_Flows!AG41+$D13*Portfolio_Flows!AG50</f>
        <v>10611.1177666667</v>
      </c>
      <c r="AH13" s="29" t="n">
        <f aca="false">Inputs!$D$39*Portfolio_Flows!AH14+Inputs!$D$40*Portfolio_Flows!AH23+Inputs!$D$41*Portfolio_Flows!AH32+(Inputs!$D$42+Inputs!$D$43-$D13)*Portfolio_Flows!AH41+$D13*Portfolio_Flows!AH50</f>
        <v>7645.09625000002</v>
      </c>
      <c r="AI13" s="29" t="n">
        <f aca="false">Inputs!$D$39*Portfolio_Flows!AI14+Inputs!$D$40*Portfolio_Flows!AI23+Inputs!$D$41*Portfolio_Flows!AI32+(Inputs!$D$42+Inputs!$D$43-$D13)*Portfolio_Flows!AI41+$D13*Portfolio_Flows!AI50</f>
        <v>7710.82266666664</v>
      </c>
      <c r="AJ13" s="29" t="n">
        <f aca="false">Inputs!$D$39*Portfolio_Flows!AJ14+Inputs!$D$40*Portfolio_Flows!AJ23+Inputs!$D$41*Portfolio_Flows!AJ32+(Inputs!$D$42+Inputs!$D$43-$D13)*Portfolio_Flows!AJ41+$D13*Portfolio_Flows!AJ50</f>
        <v>7776.54908333331</v>
      </c>
      <c r="AK13" s="29" t="n">
        <f aca="false">Inputs!$D$39*Portfolio_Flows!AK14+Inputs!$D$40*Portfolio_Flows!AK23+Inputs!$D$41*Portfolio_Flows!AK32+(Inputs!$D$42+Inputs!$D$43-$D13)*Portfolio_Flows!AK41+$D13*Portfolio_Flows!AK50</f>
        <v>7842.27550000002</v>
      </c>
      <c r="AL13" s="29" t="n">
        <f aca="false">Inputs!$D$39*Portfolio_Flows!AL14+Inputs!$D$40*Portfolio_Flows!AL23+Inputs!$D$41*Portfolio_Flows!AL32+(Inputs!$D$42+Inputs!$D$43-$D13)*Portfolio_Flows!AL41+$D13*Portfolio_Flows!AL50</f>
        <v>-13325.9980833333</v>
      </c>
      <c r="AM13" s="29" t="n">
        <f aca="false">Inputs!$D$39*Portfolio_Flows!AM14+Inputs!$D$40*Portfolio_Flows!AM23+Inputs!$D$41*Portfolio_Flows!AM32+(Inputs!$D$42+Inputs!$D$43-$D13)*Portfolio_Flows!AM41+$D13*Portfolio_Flows!AM50</f>
        <v>7973.72833333331</v>
      </c>
      <c r="AN13" s="29" t="n">
        <f aca="false">Inputs!$D$39*Portfolio_Flows!AN14+Inputs!$D$40*Portfolio_Flows!AN23+Inputs!$D$41*Portfolio_Flows!AN32+(Inputs!$D$42+Inputs!$D$43-$D13)*Portfolio_Flows!AN41+$D13*Portfolio_Flows!AN50</f>
        <v>0</v>
      </c>
      <c r="AO13" s="29" t="n">
        <f aca="false">Inputs!$D$39*Portfolio_Flows!AO14+Inputs!$D$40*Portfolio_Flows!AO23+Inputs!$D$41*Portfolio_Flows!AO32+(Inputs!$D$42+Inputs!$D$43-$D13)*Portfolio_Flows!AO41+$D13*Portfolio_Flows!AO50</f>
        <v>0</v>
      </c>
      <c r="AP13" s="29" t="n">
        <f aca="false">Inputs!$D$39*Portfolio_Flows!AP14+Inputs!$D$40*Portfolio_Flows!AP23+Inputs!$D$41*Portfolio_Flows!AP32+(Inputs!$D$42+Inputs!$D$43-$D13)*Portfolio_Flows!AP41+$D13*Portfolio_Flows!AP50</f>
        <v>31282.125</v>
      </c>
      <c r="AQ13" s="29" t="n">
        <f aca="false">Inputs!$D$39*Portfolio_Flows!AQ14+Inputs!$D$40*Portfolio_Flows!AQ23+Inputs!$D$41*Portfolio_Flows!AQ32+(Inputs!$D$42+Inputs!$D$43-$D13)*Portfolio_Flows!AQ41+$D13*Portfolio_Flows!AQ50</f>
        <v>0</v>
      </c>
      <c r="AR13" s="29" t="n">
        <f aca="false">Inputs!$D$39*Portfolio_Flows!AR14+Inputs!$D$40*Portfolio_Flows!AR23+Inputs!$D$41*Portfolio_Flows!AR32+(Inputs!$D$42+Inputs!$D$43-$D13)*Portfolio_Flows!AR41+$D13*Portfolio_Flows!AR50</f>
        <v>0</v>
      </c>
      <c r="AS13" s="29" t="n">
        <f aca="false">Inputs!$D$39*Portfolio_Flows!AS14+Inputs!$D$40*Portfolio_Flows!AS23+Inputs!$D$41*Portfolio_Flows!AS32+(Inputs!$D$42+Inputs!$D$43-$D13)*Portfolio_Flows!AS41+$D13*Portfolio_Flows!AS50</f>
        <v>17588.5878</v>
      </c>
      <c r="AT13" s="29" t="n">
        <f aca="false">Inputs!$D$39*Portfolio_Flows!AT14+Inputs!$D$40*Portfolio_Flows!AT23+Inputs!$D$41*Portfolio_Flows!AT32+(Inputs!$D$42+Inputs!$D$43-$D13)*Portfolio_Flows!AT41+$D13*Portfolio_Flows!AT50</f>
        <v>0</v>
      </c>
      <c r="AU13" s="29" t="n">
        <f aca="false">Inputs!$D$39*Portfolio_Flows!AU14+Inputs!$D$40*Portfolio_Flows!AU23+Inputs!$D$41*Portfolio_Flows!AU32+(Inputs!$D$42+Inputs!$D$43-$D13)*Portfolio_Flows!AU41+$D13*Portfolio_Flows!AU50</f>
        <v>0</v>
      </c>
      <c r="AV13" s="29" t="n">
        <f aca="false">Inputs!$D$39*Portfolio_Flows!AV14+Inputs!$D$40*Portfolio_Flows!AV23+Inputs!$D$41*Portfolio_Flows!AV32+(Inputs!$D$42+Inputs!$D$43-$D13)*Portfolio_Flows!AV41+$D13*Portfolio_Flows!AV50</f>
        <v>0</v>
      </c>
      <c r="AW13" s="29" t="n">
        <f aca="false">Inputs!$D$39*Portfolio_Flows!AW14+Inputs!$D$40*Portfolio_Flows!AW23+Inputs!$D$41*Portfolio_Flows!AW32+(Inputs!$D$42+Inputs!$D$43-$D13)*Portfolio_Flows!AW41+$D13*Portfolio_Flows!AW50</f>
        <v>0</v>
      </c>
      <c r="AX13" s="29" t="n">
        <f aca="false">Inputs!$D$39*Portfolio_Flows!AX14+Inputs!$D$40*Portfolio_Flows!AX23+Inputs!$D$41*Portfolio_Flows!AX32+(Inputs!$D$42+Inputs!$D$43-$D13)*Portfolio_Flows!AX41+$D13*Portfolio_Flows!AX50</f>
        <v>4762.872</v>
      </c>
      <c r="AY13" s="29" t="n">
        <f aca="false">Inputs!$D$39*Portfolio_Flows!AY14+Inputs!$D$40*Portfolio_Flows!AY23+Inputs!$D$41*Portfolio_Flows!AY32+(Inputs!$D$42+Inputs!$D$43-$D13)*Portfolio_Flows!AY41+$D13*Portfolio_Flows!AY50</f>
        <v>0</v>
      </c>
    </row>
    <row r="14" customFormat="false" ht="15" hidden="false" customHeight="false" outlineLevel="0" collapsed="false">
      <c r="B14" s="9" t="s">
        <v>301</v>
      </c>
      <c r="C14" s="27" t="str">
        <f aca="false">Inputs!$B$55</f>
        <v>Base</v>
      </c>
      <c r="D14" s="12" t="n">
        <v>6</v>
      </c>
      <c r="E14" s="40" t="n">
        <f aca="false">IRR($N14:$AY14,0.005)</f>
        <v>0.00476785608387271</v>
      </c>
      <c r="F14" s="41" t="n">
        <f aca="false">(1+E14)^12-1</f>
        <v>0.0587387172878378</v>
      </c>
      <c r="G14" s="30" t="n">
        <f aca="false">-N14</f>
        <v>229300</v>
      </c>
      <c r="H14" s="30" t="n">
        <f aca="false">-SUMIF(O14:AY14,"&lt;0")</f>
        <v>67406.4185333333</v>
      </c>
      <c r="I14" s="30" t="n">
        <f aca="false">SUMIF($N14:$AY14,"&gt;0")</f>
        <v>312086.639183333</v>
      </c>
      <c r="J14" s="30" t="n">
        <f aca="false">I14-G14-H14</f>
        <v>15380.22065</v>
      </c>
      <c r="N14" s="29" t="n">
        <f aca="false">Inputs!$D$39*Portfolio_Flows!N14+Inputs!$D$40*Portfolio_Flows!N23+Inputs!$D$41*Portfolio_Flows!N32+(Inputs!$D$42+Inputs!$D$43-$D14)*Portfolio_Flows!N41+$D14*Portfolio_Flows!N50</f>
        <v>-229300</v>
      </c>
      <c r="O14" s="29" t="n">
        <f aca="false">Inputs!$D$39*Portfolio_Flows!O14+Inputs!$D$40*Portfolio_Flows!O23+Inputs!$D$41*Portfolio_Flows!O32+(Inputs!$D$42+Inputs!$D$43-$D14)*Portfolio_Flows!O41+$D14*Portfolio_Flows!O50</f>
        <v>0</v>
      </c>
      <c r="P14" s="29" t="n">
        <f aca="false">Inputs!$D$39*Portfolio_Flows!P14+Inputs!$D$40*Portfolio_Flows!P23+Inputs!$D$41*Portfolio_Flows!P32+(Inputs!$D$42+Inputs!$D$43-$D14)*Portfolio_Flows!P41+$D14*Portfolio_Flows!P50</f>
        <v>26322.408</v>
      </c>
      <c r="Q14" s="29" t="n">
        <f aca="false">Inputs!$D$39*Portfolio_Flows!Q14+Inputs!$D$40*Portfolio_Flows!Q23+Inputs!$D$41*Portfolio_Flows!Q32+(Inputs!$D$42+Inputs!$D$43-$D14)*Portfolio_Flows!Q41+$D14*Portfolio_Flows!Q50</f>
        <v>21935.34</v>
      </c>
      <c r="R14" s="29" t="n">
        <f aca="false">Inputs!$D$39*Portfolio_Flows!R14+Inputs!$D$40*Portfolio_Flows!R23+Inputs!$D$41*Portfolio_Flows!R32+(Inputs!$D$42+Inputs!$D$43-$D14)*Portfolio_Flows!R41+$D14*Portfolio_Flows!R50</f>
        <v>19741.806</v>
      </c>
      <c r="S14" s="29" t="n">
        <f aca="false">Inputs!$D$39*Portfolio_Flows!S14+Inputs!$D$40*Portfolio_Flows!S23+Inputs!$D$41*Portfolio_Flows!S32+(Inputs!$D$42+Inputs!$D$43-$D14)*Portfolio_Flows!S41+$D14*Portfolio_Flows!S50</f>
        <v>15354.738</v>
      </c>
      <c r="T14" s="29" t="n">
        <f aca="false">Inputs!$D$39*Portfolio_Flows!T14+Inputs!$D$40*Portfolio_Flows!T23+Inputs!$D$41*Portfolio_Flows!T32+(Inputs!$D$42+Inputs!$D$43-$D14)*Portfolio_Flows!T41+$D14*Portfolio_Flows!T50</f>
        <v>15359.078</v>
      </c>
      <c r="U14" s="29" t="n">
        <f aca="false">Inputs!$D$39*Portfolio_Flows!U14+Inputs!$D$40*Portfolio_Flows!U23+Inputs!$D$41*Portfolio_Flows!U32+(Inputs!$D$42+Inputs!$D$43-$D14)*Portfolio_Flows!U41+$D14*Portfolio_Flows!U50</f>
        <v>15370.362</v>
      </c>
      <c r="V14" s="29" t="n">
        <f aca="false">Inputs!$D$39*Portfolio_Flows!V14+Inputs!$D$40*Portfolio_Flows!V23+Inputs!$D$41*Portfolio_Flows!V32+(Inputs!$D$42+Inputs!$D$43-$D14)*Portfolio_Flows!V41+$D14*Portfolio_Flows!V50</f>
        <v>9526.60258333334</v>
      </c>
      <c r="W14" s="29" t="n">
        <f aca="false">Inputs!$D$39*Portfolio_Flows!W14+Inputs!$D$40*Portfolio_Flows!W23+Inputs!$D$41*Portfolio_Flows!W32+(Inputs!$D$42+Inputs!$D$43-$D14)*Portfolio_Flows!W41+$D14*Portfolio_Flows!W50</f>
        <v>9547.48166666667</v>
      </c>
      <c r="X14" s="29" t="n">
        <f aca="false">Inputs!$D$39*Portfolio_Flows!X14+Inputs!$D$40*Portfolio_Flows!X23+Inputs!$D$41*Portfolio_Flows!X32+(Inputs!$D$42+Inputs!$D$43-$D14)*Portfolio_Flows!X41+$D14*Portfolio_Flows!X50</f>
        <v>9574.88935</v>
      </c>
      <c r="Y14" s="29" t="n">
        <f aca="false">Inputs!$D$39*Portfolio_Flows!Y14+Inputs!$D$40*Portfolio_Flows!Y23+Inputs!$D$41*Portfolio_Flows!Y32+(Inputs!$D$42+Inputs!$D$43-$D14)*Portfolio_Flows!Y41+$D14*Portfolio_Flows!Y50</f>
        <v>8132.38616666666</v>
      </c>
      <c r="Z14" s="29" t="n">
        <f aca="false">Inputs!$D$39*Portfolio_Flows!Z14+Inputs!$D$40*Portfolio_Flows!Z23+Inputs!$D$41*Portfolio_Flows!Z32+(Inputs!$D$42+Inputs!$D$43-$D14)*Portfolio_Flows!Z41+$D14*Portfolio_Flows!Z50</f>
        <v>-54720.5771166666</v>
      </c>
      <c r="AA14" s="29" t="n">
        <f aca="false">Inputs!$D$39*Portfolio_Flows!AA14+Inputs!$D$40*Portfolio_Flows!AA23+Inputs!$D$41*Portfolio_Flows!AA32+(Inputs!$D$42+Inputs!$D$43-$D14)*Portfolio_Flows!AA41+$D14*Portfolio_Flows!AA50</f>
        <v>8193.49959999999</v>
      </c>
      <c r="AB14" s="29" t="n">
        <f aca="false">Inputs!$D$39*Portfolio_Flows!AB14+Inputs!$D$40*Portfolio_Flows!AB23+Inputs!$D$41*Portfolio_Flows!AB32+(Inputs!$D$42+Inputs!$D$43-$D14)*Portfolio_Flows!AB41+$D14*Portfolio_Flows!AB50</f>
        <v>10101.5521833333</v>
      </c>
      <c r="AC14" s="29" t="n">
        <f aca="false">Inputs!$D$39*Portfolio_Flows!AC14+Inputs!$D$40*Portfolio_Flows!AC23+Inputs!$D$41*Portfolio_Flows!AC32+(Inputs!$D$42+Inputs!$D$43-$D14)*Portfolio_Flows!AC41+$D14*Portfolio_Flows!AC50</f>
        <v>10192.9391666667</v>
      </c>
      <c r="AD14" s="29" t="n">
        <f aca="false">Inputs!$D$39*Portfolio_Flows!AD14+Inputs!$D$40*Portfolio_Flows!AD23+Inputs!$D$41*Portfolio_Flows!AD32+(Inputs!$D$42+Inputs!$D$43-$D14)*Portfolio_Flows!AD41+$D14*Portfolio_Flows!AD50</f>
        <v>10284.32615</v>
      </c>
      <c r="AE14" s="29" t="n">
        <f aca="false">Inputs!$D$39*Portfolio_Flows!AE14+Inputs!$D$40*Portfolio_Flows!AE23+Inputs!$D$41*Portfolio_Flows!AE32+(Inputs!$D$42+Inputs!$D$43-$D14)*Portfolio_Flows!AE41+$D14*Portfolio_Flows!AE50</f>
        <v>10375.7131333333</v>
      </c>
      <c r="AF14" s="29" t="n">
        <f aca="false">Inputs!$D$39*Portfolio_Flows!AF14+Inputs!$D$40*Portfolio_Flows!AF23+Inputs!$D$41*Portfolio_Flows!AF32+(Inputs!$D$42+Inputs!$D$43-$D14)*Portfolio_Flows!AF41+$D14*Portfolio_Flows!AF50</f>
        <v>10467.1001166667</v>
      </c>
      <c r="AG14" s="29" t="n">
        <f aca="false">Inputs!$D$39*Portfolio_Flows!AG14+Inputs!$D$40*Portfolio_Flows!AG23+Inputs!$D$41*Portfolio_Flows!AG32+(Inputs!$D$42+Inputs!$D$43-$D14)*Portfolio_Flows!AG41+$D14*Portfolio_Flows!AG50</f>
        <v>10558.4871</v>
      </c>
      <c r="AH14" s="29" t="n">
        <f aca="false">Inputs!$D$39*Portfolio_Flows!AH14+Inputs!$D$40*Portfolio_Flows!AH23+Inputs!$D$41*Portfolio_Flows!AH32+(Inputs!$D$42+Inputs!$D$43-$D14)*Portfolio_Flows!AH41+$D14*Portfolio_Flows!AH50</f>
        <v>7607.05291666669</v>
      </c>
      <c r="AI14" s="29" t="n">
        <f aca="false">Inputs!$D$39*Portfolio_Flows!AI14+Inputs!$D$40*Portfolio_Flows!AI23+Inputs!$D$41*Portfolio_Flows!AI32+(Inputs!$D$42+Inputs!$D$43-$D14)*Portfolio_Flows!AI41+$D14*Portfolio_Flows!AI50</f>
        <v>7672.32933333331</v>
      </c>
      <c r="AJ14" s="29" t="n">
        <f aca="false">Inputs!$D$39*Portfolio_Flows!AJ14+Inputs!$D$40*Portfolio_Flows!AJ23+Inputs!$D$41*Portfolio_Flows!AJ32+(Inputs!$D$42+Inputs!$D$43-$D14)*Portfolio_Flows!AJ41+$D14*Portfolio_Flows!AJ50</f>
        <v>7737.60574999997</v>
      </c>
      <c r="AK14" s="29" t="n">
        <f aca="false">Inputs!$D$39*Portfolio_Flows!AK14+Inputs!$D$40*Portfolio_Flows!AK23+Inputs!$D$41*Portfolio_Flows!AK32+(Inputs!$D$42+Inputs!$D$43-$D14)*Portfolio_Flows!AK41+$D14*Portfolio_Flows!AK50</f>
        <v>7802.88216666669</v>
      </c>
      <c r="AL14" s="29" t="n">
        <f aca="false">Inputs!$D$39*Portfolio_Flows!AL14+Inputs!$D$40*Portfolio_Flows!AL23+Inputs!$D$41*Portfolio_Flows!AL32+(Inputs!$D$42+Inputs!$D$43-$D14)*Portfolio_Flows!AL41+$D14*Portfolio_Flows!AL50</f>
        <v>-12685.8414166666</v>
      </c>
      <c r="AM14" s="29" t="n">
        <f aca="false">Inputs!$D$39*Portfolio_Flows!AM14+Inputs!$D$40*Portfolio_Flows!AM23+Inputs!$D$41*Portfolio_Flows!AM32+(Inputs!$D$42+Inputs!$D$43-$D14)*Portfolio_Flows!AM41+$D14*Portfolio_Flows!AM50</f>
        <v>7933.43499999997</v>
      </c>
      <c r="AN14" s="29" t="n">
        <f aca="false">Inputs!$D$39*Portfolio_Flows!AN14+Inputs!$D$40*Portfolio_Flows!AN23+Inputs!$D$41*Portfolio_Flows!AN32+(Inputs!$D$42+Inputs!$D$43-$D14)*Portfolio_Flows!AN41+$D14*Portfolio_Flows!AN50</f>
        <v>0</v>
      </c>
      <c r="AO14" s="29" t="n">
        <f aca="false">Inputs!$D$39*Portfolio_Flows!AO14+Inputs!$D$40*Portfolio_Flows!AO23+Inputs!$D$41*Portfolio_Flows!AO32+(Inputs!$D$42+Inputs!$D$43-$D14)*Portfolio_Flows!AO41+$D14*Portfolio_Flows!AO50</f>
        <v>0</v>
      </c>
      <c r="AP14" s="29" t="n">
        <f aca="false">Inputs!$D$39*Portfolio_Flows!AP14+Inputs!$D$40*Portfolio_Flows!AP23+Inputs!$D$41*Portfolio_Flows!AP32+(Inputs!$D$42+Inputs!$D$43-$D14)*Portfolio_Flows!AP41+$D14*Portfolio_Flows!AP50</f>
        <v>30682.125</v>
      </c>
      <c r="AQ14" s="29" t="n">
        <f aca="false">Inputs!$D$39*Portfolio_Flows!AQ14+Inputs!$D$40*Portfolio_Flows!AQ23+Inputs!$D$41*Portfolio_Flows!AQ32+(Inputs!$D$42+Inputs!$D$43-$D14)*Portfolio_Flows!AQ41+$D14*Portfolio_Flows!AQ50</f>
        <v>0</v>
      </c>
      <c r="AR14" s="29" t="n">
        <f aca="false">Inputs!$D$39*Portfolio_Flows!AR14+Inputs!$D$40*Portfolio_Flows!AR23+Inputs!$D$41*Portfolio_Flows!AR32+(Inputs!$D$42+Inputs!$D$43-$D14)*Portfolio_Flows!AR41+$D14*Portfolio_Flows!AR50</f>
        <v>0</v>
      </c>
      <c r="AS14" s="29" t="n">
        <f aca="false">Inputs!$D$39*Portfolio_Flows!AS14+Inputs!$D$40*Portfolio_Flows!AS23+Inputs!$D$41*Portfolio_Flows!AS32+(Inputs!$D$42+Inputs!$D$43-$D14)*Portfolio_Flows!AS41+$D14*Portfolio_Flows!AS50</f>
        <v>17126.8278</v>
      </c>
      <c r="AT14" s="29" t="n">
        <f aca="false">Inputs!$D$39*Portfolio_Flows!AT14+Inputs!$D$40*Portfolio_Flows!AT23+Inputs!$D$41*Portfolio_Flows!AT32+(Inputs!$D$42+Inputs!$D$43-$D14)*Portfolio_Flows!AT41+$D14*Portfolio_Flows!AT50</f>
        <v>0</v>
      </c>
      <c r="AU14" s="29" t="n">
        <f aca="false">Inputs!$D$39*Portfolio_Flows!AU14+Inputs!$D$40*Portfolio_Flows!AU23+Inputs!$D$41*Portfolio_Flows!AU32+(Inputs!$D$42+Inputs!$D$43-$D14)*Portfolio_Flows!AU41+$D14*Portfolio_Flows!AU50</f>
        <v>0</v>
      </c>
      <c r="AV14" s="29" t="n">
        <f aca="false">Inputs!$D$39*Portfolio_Flows!AV14+Inputs!$D$40*Portfolio_Flows!AV23+Inputs!$D$41*Portfolio_Flows!AV32+(Inputs!$D$42+Inputs!$D$43-$D14)*Portfolio_Flows!AV41+$D14*Portfolio_Flows!AV50</f>
        <v>0</v>
      </c>
      <c r="AW14" s="29" t="n">
        <f aca="false">Inputs!$D$39*Portfolio_Flows!AW14+Inputs!$D$40*Portfolio_Flows!AW23+Inputs!$D$41*Portfolio_Flows!AW32+(Inputs!$D$42+Inputs!$D$43-$D14)*Portfolio_Flows!AW41+$D14*Portfolio_Flows!AW50</f>
        <v>0</v>
      </c>
      <c r="AX14" s="29" t="n">
        <f aca="false">Inputs!$D$39*Portfolio_Flows!AX14+Inputs!$D$40*Portfolio_Flows!AX23+Inputs!$D$41*Portfolio_Flows!AX32+(Inputs!$D$42+Inputs!$D$43-$D14)*Portfolio_Flows!AX41+$D14*Portfolio_Flows!AX50</f>
        <v>4485.672</v>
      </c>
      <c r="AY14" s="29" t="n">
        <f aca="false">Inputs!$D$39*Portfolio_Flows!AY14+Inputs!$D$40*Portfolio_Flows!AY23+Inputs!$D$41*Portfolio_Flows!AY32+(Inputs!$D$42+Inputs!$D$43-$D14)*Portfolio_Flows!AY41+$D14*Portfolio_Flows!AY50</f>
        <v>0</v>
      </c>
    </row>
    <row r="15" customFormat="false" ht="15" hidden="false" customHeight="false" outlineLevel="0" collapsed="false">
      <c r="B15" s="9" t="s">
        <v>302</v>
      </c>
      <c r="C15" s="27" t="str">
        <f aca="false">Inputs!$B$55</f>
        <v>Base</v>
      </c>
      <c r="D15" s="12" t="n">
        <v>7</v>
      </c>
      <c r="E15" s="40" t="n">
        <f aca="false">IRR($N15:$AY15,0.005)</f>
        <v>0.00443234451257576</v>
      </c>
      <c r="F15" s="41" t="n">
        <f aca="false">(1+E15)^12-1</f>
        <v>0.0545040981100806</v>
      </c>
      <c r="G15" s="30" t="n">
        <f aca="false">-N15</f>
        <v>229300</v>
      </c>
      <c r="H15" s="30" t="n">
        <f aca="false">-SUMIF(O15:AY15,"&lt;0")</f>
        <v>66168.6078666666</v>
      </c>
      <c r="I15" s="30" t="n">
        <f aca="false">SUMIF($N15:$AY15,"&gt;0")</f>
        <v>309691.288516667</v>
      </c>
      <c r="J15" s="30" t="n">
        <f aca="false">I15-G15-H15</f>
        <v>14222.68065</v>
      </c>
      <c r="N15" s="29" t="n">
        <f aca="false">Inputs!$D$39*Portfolio_Flows!N14+Inputs!$D$40*Portfolio_Flows!N23+Inputs!$D$41*Portfolio_Flows!N32+(Inputs!$D$42+Inputs!$D$43-$D15)*Portfolio_Flows!N41+$D15*Portfolio_Flows!N50</f>
        <v>-229300</v>
      </c>
      <c r="O15" s="29" t="n">
        <f aca="false">Inputs!$D$39*Portfolio_Flows!O14+Inputs!$D$40*Portfolio_Flows!O23+Inputs!$D$41*Portfolio_Flows!O32+(Inputs!$D$42+Inputs!$D$43-$D15)*Portfolio_Flows!O41+$D15*Portfolio_Flows!O50</f>
        <v>0</v>
      </c>
      <c r="P15" s="29" t="n">
        <f aca="false">Inputs!$D$39*Portfolio_Flows!P14+Inputs!$D$40*Portfolio_Flows!P23+Inputs!$D$41*Portfolio_Flows!P32+(Inputs!$D$42+Inputs!$D$43-$D15)*Portfolio_Flows!P41+$D15*Portfolio_Flows!P50</f>
        <v>26231.688</v>
      </c>
      <c r="Q15" s="29" t="n">
        <f aca="false">Inputs!$D$39*Portfolio_Flows!Q14+Inputs!$D$40*Portfolio_Flows!Q23+Inputs!$D$41*Portfolio_Flows!Q32+(Inputs!$D$42+Inputs!$D$43-$D15)*Portfolio_Flows!Q41+$D15*Portfolio_Flows!Q50</f>
        <v>21859.74</v>
      </c>
      <c r="R15" s="29" t="n">
        <f aca="false">Inputs!$D$39*Portfolio_Flows!R14+Inputs!$D$40*Portfolio_Flows!R23+Inputs!$D$41*Portfolio_Flows!R32+(Inputs!$D$42+Inputs!$D$43-$D15)*Portfolio_Flows!R41+$D15*Portfolio_Flows!R50</f>
        <v>19673.766</v>
      </c>
      <c r="S15" s="29" t="n">
        <f aca="false">Inputs!$D$39*Portfolio_Flows!S14+Inputs!$D$40*Portfolio_Flows!S23+Inputs!$D$41*Portfolio_Flows!S32+(Inputs!$D$42+Inputs!$D$43-$D15)*Portfolio_Flows!S41+$D15*Portfolio_Flows!S50</f>
        <v>15301.818</v>
      </c>
      <c r="T15" s="29" t="n">
        <f aca="false">Inputs!$D$39*Portfolio_Flows!T14+Inputs!$D$40*Portfolio_Flows!T23+Inputs!$D$41*Portfolio_Flows!T32+(Inputs!$D$42+Inputs!$D$43-$D15)*Portfolio_Flows!T41+$D15*Portfolio_Flows!T50</f>
        <v>15305.948</v>
      </c>
      <c r="U15" s="29" t="n">
        <f aca="false">Inputs!$D$39*Portfolio_Flows!U14+Inputs!$D$40*Portfolio_Flows!U23+Inputs!$D$41*Portfolio_Flows!U32+(Inputs!$D$42+Inputs!$D$43-$D15)*Portfolio_Flows!U41+$D15*Portfolio_Flows!U50</f>
        <v>15316.686</v>
      </c>
      <c r="V15" s="29" t="n">
        <f aca="false">Inputs!$D$39*Portfolio_Flows!V14+Inputs!$D$40*Portfolio_Flows!V23+Inputs!$D$41*Portfolio_Flows!V32+(Inputs!$D$42+Inputs!$D$43-$D15)*Portfolio_Flows!V41+$D15*Portfolio_Flows!V50</f>
        <v>9493.03658333334</v>
      </c>
      <c r="W15" s="29" t="n">
        <f aca="false">Inputs!$D$39*Portfolio_Flows!W14+Inputs!$D$40*Portfolio_Flows!W23+Inputs!$D$41*Portfolio_Flows!W32+(Inputs!$D$42+Inputs!$D$43-$D15)*Portfolio_Flows!W41+$D15*Portfolio_Flows!W50</f>
        <v>9513.57766666667</v>
      </c>
      <c r="X15" s="29" t="n">
        <f aca="false">Inputs!$D$39*Portfolio_Flows!X14+Inputs!$D$40*Portfolio_Flows!X23+Inputs!$D$41*Portfolio_Flows!X32+(Inputs!$D$42+Inputs!$D$43-$D15)*Portfolio_Flows!X41+$D15*Portfolio_Flows!X50</f>
        <v>9540.64735</v>
      </c>
      <c r="Y15" s="29" t="n">
        <f aca="false">Inputs!$D$39*Portfolio_Flows!Y14+Inputs!$D$40*Portfolio_Flows!Y23+Inputs!$D$41*Portfolio_Flows!Y32+(Inputs!$D$42+Inputs!$D$43-$D15)*Portfolio_Flows!Y41+$D15*Portfolio_Flows!Y50</f>
        <v>8103.12616666666</v>
      </c>
      <c r="Z15" s="29" t="n">
        <f aca="false">Inputs!$D$39*Portfolio_Flows!Z14+Inputs!$D$40*Portfolio_Flows!Z23+Inputs!$D$41*Portfolio_Flows!Z32+(Inputs!$D$42+Inputs!$D$43-$D15)*Portfolio_Flows!Z41+$D15*Portfolio_Flows!Z50</f>
        <v>-54122.9231166666</v>
      </c>
      <c r="AA15" s="29" t="n">
        <f aca="false">Inputs!$D$39*Portfolio_Flows!AA14+Inputs!$D$40*Portfolio_Flows!AA23+Inputs!$D$41*Portfolio_Flows!AA32+(Inputs!$D$42+Inputs!$D$43-$D15)*Portfolio_Flows!AA41+$D15*Portfolio_Flows!AA50</f>
        <v>8163.66759999999</v>
      </c>
      <c r="AB15" s="29" t="n">
        <f aca="false">Inputs!$D$39*Portfolio_Flows!AB14+Inputs!$D$40*Portfolio_Flows!AB23+Inputs!$D$41*Portfolio_Flows!AB32+(Inputs!$D$42+Inputs!$D$43-$D15)*Portfolio_Flows!AB41+$D15*Portfolio_Flows!AB50</f>
        <v>10052.0715166667</v>
      </c>
      <c r="AC15" s="29" t="n">
        <f aca="false">Inputs!$D$39*Portfolio_Flows!AC14+Inputs!$D$40*Portfolio_Flows!AC23+Inputs!$D$41*Portfolio_Flows!AC32+(Inputs!$D$42+Inputs!$D$43-$D15)*Portfolio_Flows!AC41+$D15*Portfolio_Flows!AC50</f>
        <v>10142.8285</v>
      </c>
      <c r="AD15" s="29" t="n">
        <f aca="false">Inputs!$D$39*Portfolio_Flows!AD14+Inputs!$D$40*Portfolio_Flows!AD23+Inputs!$D$41*Portfolio_Flows!AD32+(Inputs!$D$42+Inputs!$D$43-$D15)*Portfolio_Flows!AD41+$D15*Portfolio_Flows!AD50</f>
        <v>10233.5854833334</v>
      </c>
      <c r="AE15" s="29" t="n">
        <f aca="false">Inputs!$D$39*Portfolio_Flows!AE14+Inputs!$D$40*Portfolio_Flows!AE23+Inputs!$D$41*Portfolio_Flows!AE32+(Inputs!$D$42+Inputs!$D$43-$D15)*Portfolio_Flows!AE41+$D15*Portfolio_Flows!AE50</f>
        <v>10324.3424666667</v>
      </c>
      <c r="AF15" s="29" t="n">
        <f aca="false">Inputs!$D$39*Portfolio_Flows!AF14+Inputs!$D$40*Portfolio_Flows!AF23+Inputs!$D$41*Portfolio_Flows!AF32+(Inputs!$D$42+Inputs!$D$43-$D15)*Portfolio_Flows!AF41+$D15*Portfolio_Flows!AF50</f>
        <v>10415.09945</v>
      </c>
      <c r="AG15" s="29" t="n">
        <f aca="false">Inputs!$D$39*Portfolio_Flows!AG14+Inputs!$D$40*Portfolio_Flows!AG23+Inputs!$D$41*Portfolio_Flows!AG32+(Inputs!$D$42+Inputs!$D$43-$D15)*Portfolio_Flows!AG41+$D15*Portfolio_Flows!AG50</f>
        <v>10505.8564333333</v>
      </c>
      <c r="AH15" s="29" t="n">
        <f aca="false">Inputs!$D$39*Portfolio_Flows!AH14+Inputs!$D$40*Portfolio_Flows!AH23+Inputs!$D$41*Portfolio_Flows!AH32+(Inputs!$D$42+Inputs!$D$43-$D15)*Portfolio_Flows!AH41+$D15*Portfolio_Flows!AH50</f>
        <v>7569.00958333336</v>
      </c>
      <c r="AI15" s="29" t="n">
        <f aca="false">Inputs!$D$39*Portfolio_Flows!AI14+Inputs!$D$40*Portfolio_Flows!AI23+Inputs!$D$41*Portfolio_Flows!AI32+(Inputs!$D$42+Inputs!$D$43-$D15)*Portfolio_Flows!AI41+$D15*Portfolio_Flows!AI50</f>
        <v>7633.83599999997</v>
      </c>
      <c r="AJ15" s="29" t="n">
        <f aca="false">Inputs!$D$39*Portfolio_Flows!AJ14+Inputs!$D$40*Portfolio_Flows!AJ23+Inputs!$D$41*Portfolio_Flows!AJ32+(Inputs!$D$42+Inputs!$D$43-$D15)*Portfolio_Flows!AJ41+$D15*Portfolio_Flows!AJ50</f>
        <v>7698.66241666664</v>
      </c>
      <c r="AK15" s="29" t="n">
        <f aca="false">Inputs!$D$39*Portfolio_Flows!AK14+Inputs!$D$40*Portfolio_Flows!AK23+Inputs!$D$41*Portfolio_Flows!AK32+(Inputs!$D$42+Inputs!$D$43-$D15)*Portfolio_Flows!AK41+$D15*Portfolio_Flows!AK50</f>
        <v>7763.48883333336</v>
      </c>
      <c r="AL15" s="29" t="n">
        <f aca="false">Inputs!$D$39*Portfolio_Flows!AL14+Inputs!$D$40*Portfolio_Flows!AL23+Inputs!$D$41*Portfolio_Flows!AL32+(Inputs!$D$42+Inputs!$D$43-$D15)*Portfolio_Flows!AL41+$D15*Portfolio_Flows!AL50</f>
        <v>-12045.68475</v>
      </c>
      <c r="AM15" s="29" t="n">
        <f aca="false">Inputs!$D$39*Portfolio_Flows!AM14+Inputs!$D$40*Portfolio_Flows!AM23+Inputs!$D$41*Portfolio_Flows!AM32+(Inputs!$D$42+Inputs!$D$43-$D15)*Portfolio_Flows!AM41+$D15*Portfolio_Flows!AM50</f>
        <v>7893.14166666664</v>
      </c>
      <c r="AN15" s="29" t="n">
        <f aca="false">Inputs!$D$39*Portfolio_Flows!AN14+Inputs!$D$40*Portfolio_Flows!AN23+Inputs!$D$41*Portfolio_Flows!AN32+(Inputs!$D$42+Inputs!$D$43-$D15)*Portfolio_Flows!AN41+$D15*Portfolio_Flows!AN50</f>
        <v>0</v>
      </c>
      <c r="AO15" s="29" t="n">
        <f aca="false">Inputs!$D$39*Portfolio_Flows!AO14+Inputs!$D$40*Portfolio_Flows!AO23+Inputs!$D$41*Portfolio_Flows!AO32+(Inputs!$D$42+Inputs!$D$43-$D15)*Portfolio_Flows!AO41+$D15*Portfolio_Flows!AO50</f>
        <v>0</v>
      </c>
      <c r="AP15" s="29" t="n">
        <f aca="false">Inputs!$D$39*Portfolio_Flows!AP14+Inputs!$D$40*Portfolio_Flows!AP23+Inputs!$D$41*Portfolio_Flows!AP32+(Inputs!$D$42+Inputs!$D$43-$D15)*Portfolio_Flows!AP41+$D15*Portfolio_Flows!AP50</f>
        <v>30082.125</v>
      </c>
      <c r="AQ15" s="29" t="n">
        <f aca="false">Inputs!$D$39*Portfolio_Flows!AQ14+Inputs!$D$40*Portfolio_Flows!AQ23+Inputs!$D$41*Portfolio_Flows!AQ32+(Inputs!$D$42+Inputs!$D$43-$D15)*Portfolio_Flows!AQ41+$D15*Portfolio_Flows!AQ50</f>
        <v>0</v>
      </c>
      <c r="AR15" s="29" t="n">
        <f aca="false">Inputs!$D$39*Portfolio_Flows!AR14+Inputs!$D$40*Portfolio_Flows!AR23+Inputs!$D$41*Portfolio_Flows!AR32+(Inputs!$D$42+Inputs!$D$43-$D15)*Portfolio_Flows!AR41+$D15*Portfolio_Flows!AR50</f>
        <v>0</v>
      </c>
      <c r="AS15" s="29" t="n">
        <f aca="false">Inputs!$D$39*Portfolio_Flows!AS14+Inputs!$D$40*Portfolio_Flows!AS23+Inputs!$D$41*Portfolio_Flows!AS32+(Inputs!$D$42+Inputs!$D$43-$D15)*Portfolio_Flows!AS41+$D15*Portfolio_Flows!AS50</f>
        <v>16665.0678</v>
      </c>
      <c r="AT15" s="29" t="n">
        <f aca="false">Inputs!$D$39*Portfolio_Flows!AT14+Inputs!$D$40*Portfolio_Flows!AT23+Inputs!$D$41*Portfolio_Flows!AT32+(Inputs!$D$42+Inputs!$D$43-$D15)*Portfolio_Flows!AT41+$D15*Portfolio_Flows!AT50</f>
        <v>0</v>
      </c>
      <c r="AU15" s="29" t="n">
        <f aca="false">Inputs!$D$39*Portfolio_Flows!AU14+Inputs!$D$40*Portfolio_Flows!AU23+Inputs!$D$41*Portfolio_Flows!AU32+(Inputs!$D$42+Inputs!$D$43-$D15)*Portfolio_Flows!AU41+$D15*Portfolio_Flows!AU50</f>
        <v>0</v>
      </c>
      <c r="AV15" s="29" t="n">
        <f aca="false">Inputs!$D$39*Portfolio_Flows!AV14+Inputs!$D$40*Portfolio_Flows!AV23+Inputs!$D$41*Portfolio_Flows!AV32+(Inputs!$D$42+Inputs!$D$43-$D15)*Portfolio_Flows!AV41+$D15*Portfolio_Flows!AV50</f>
        <v>0</v>
      </c>
      <c r="AW15" s="29" t="n">
        <f aca="false">Inputs!$D$39*Portfolio_Flows!AW14+Inputs!$D$40*Portfolio_Flows!AW23+Inputs!$D$41*Portfolio_Flows!AW32+(Inputs!$D$42+Inputs!$D$43-$D15)*Portfolio_Flows!AW41+$D15*Portfolio_Flows!AW50</f>
        <v>0</v>
      </c>
      <c r="AX15" s="29" t="n">
        <f aca="false">Inputs!$D$39*Portfolio_Flows!AX14+Inputs!$D$40*Portfolio_Flows!AX23+Inputs!$D$41*Portfolio_Flows!AX32+(Inputs!$D$42+Inputs!$D$43-$D15)*Portfolio_Flows!AX41+$D15*Portfolio_Flows!AX50</f>
        <v>4208.472</v>
      </c>
      <c r="AY15" s="29" t="n">
        <f aca="false">Inputs!$D$39*Portfolio_Flows!AY14+Inputs!$D$40*Portfolio_Flows!AY23+Inputs!$D$41*Portfolio_Flows!AY32+(Inputs!$D$42+Inputs!$D$43-$D15)*Portfolio_Flows!AY41+$D15*Portfolio_Flows!AY50</f>
        <v>0</v>
      </c>
    </row>
    <row r="16" customFormat="false" ht="15" hidden="false" customHeight="false" outlineLevel="0" collapsed="false">
      <c r="B16" s="9" t="s">
        <v>303</v>
      </c>
      <c r="C16" s="27" t="str">
        <f aca="false">Inputs!$B$55</f>
        <v>Base</v>
      </c>
      <c r="D16" s="12" t="n">
        <v>8</v>
      </c>
      <c r="E16" s="40" t="n">
        <f aca="false">IRR($N16:$AY16,0.005)</f>
        <v>0.00409342916518641</v>
      </c>
      <c r="F16" s="41" t="n">
        <f aca="false">(1+E16)^12-1</f>
        <v>0.050242286427288</v>
      </c>
      <c r="G16" s="30" t="n">
        <f aca="false">-N16</f>
        <v>229300</v>
      </c>
      <c r="H16" s="30" t="n">
        <f aca="false">-SUMIF(O16:AY16,"&lt;0")</f>
        <v>64930.7971999999</v>
      </c>
      <c r="I16" s="30" t="n">
        <f aca="false">SUMIF($N16:$AY16,"&gt;0")</f>
        <v>307295.93785</v>
      </c>
      <c r="J16" s="30" t="n">
        <f aca="false">I16-G16-H16</f>
        <v>13065.14065</v>
      </c>
      <c r="N16" s="29" t="n">
        <f aca="false">Inputs!$D$39*Portfolio_Flows!N14+Inputs!$D$40*Portfolio_Flows!N23+Inputs!$D$41*Portfolio_Flows!N32+(Inputs!$D$42+Inputs!$D$43-$D16)*Portfolio_Flows!N41+$D16*Portfolio_Flows!N50</f>
        <v>-229300</v>
      </c>
      <c r="O16" s="29" t="n">
        <f aca="false">Inputs!$D$39*Portfolio_Flows!O14+Inputs!$D$40*Portfolio_Flows!O23+Inputs!$D$41*Portfolio_Flows!O32+(Inputs!$D$42+Inputs!$D$43-$D16)*Portfolio_Flows!O41+$D16*Portfolio_Flows!O50</f>
        <v>0</v>
      </c>
      <c r="P16" s="29" t="n">
        <f aca="false">Inputs!$D$39*Portfolio_Flows!P14+Inputs!$D$40*Portfolio_Flows!P23+Inputs!$D$41*Portfolio_Flows!P32+(Inputs!$D$42+Inputs!$D$43-$D16)*Portfolio_Flows!P41+$D16*Portfolio_Flows!P50</f>
        <v>26140.968</v>
      </c>
      <c r="Q16" s="29" t="n">
        <f aca="false">Inputs!$D$39*Portfolio_Flows!Q14+Inputs!$D$40*Portfolio_Flows!Q23+Inputs!$D$41*Portfolio_Flows!Q32+(Inputs!$D$42+Inputs!$D$43-$D16)*Portfolio_Flows!Q41+$D16*Portfolio_Flows!Q50</f>
        <v>21784.14</v>
      </c>
      <c r="R16" s="29" t="n">
        <f aca="false">Inputs!$D$39*Portfolio_Flows!R14+Inputs!$D$40*Portfolio_Flows!R23+Inputs!$D$41*Portfolio_Flows!R32+(Inputs!$D$42+Inputs!$D$43-$D16)*Portfolio_Flows!R41+$D16*Portfolio_Flows!R50</f>
        <v>19605.726</v>
      </c>
      <c r="S16" s="29" t="n">
        <f aca="false">Inputs!$D$39*Portfolio_Flows!S14+Inputs!$D$40*Portfolio_Flows!S23+Inputs!$D$41*Portfolio_Flows!S32+(Inputs!$D$42+Inputs!$D$43-$D16)*Portfolio_Flows!S41+$D16*Portfolio_Flows!S50</f>
        <v>15248.898</v>
      </c>
      <c r="T16" s="29" t="n">
        <f aca="false">Inputs!$D$39*Portfolio_Flows!T14+Inputs!$D$40*Portfolio_Flows!T23+Inputs!$D$41*Portfolio_Flows!T32+(Inputs!$D$42+Inputs!$D$43-$D16)*Portfolio_Flows!T41+$D16*Portfolio_Flows!T50</f>
        <v>15252.818</v>
      </c>
      <c r="U16" s="29" t="n">
        <f aca="false">Inputs!$D$39*Portfolio_Flows!U14+Inputs!$D$40*Portfolio_Flows!U23+Inputs!$D$41*Portfolio_Flows!U32+(Inputs!$D$42+Inputs!$D$43-$D16)*Portfolio_Flows!U41+$D16*Portfolio_Flows!U50</f>
        <v>15263.01</v>
      </c>
      <c r="V16" s="29" t="n">
        <f aca="false">Inputs!$D$39*Portfolio_Flows!V14+Inputs!$D$40*Portfolio_Flows!V23+Inputs!$D$41*Portfolio_Flows!V32+(Inputs!$D$42+Inputs!$D$43-$D16)*Portfolio_Flows!V41+$D16*Portfolio_Flows!V50</f>
        <v>9459.47058333334</v>
      </c>
      <c r="W16" s="29" t="n">
        <f aca="false">Inputs!$D$39*Portfolio_Flows!W14+Inputs!$D$40*Portfolio_Flows!W23+Inputs!$D$41*Portfolio_Flows!W32+(Inputs!$D$42+Inputs!$D$43-$D16)*Portfolio_Flows!W41+$D16*Portfolio_Flows!W50</f>
        <v>9479.67366666667</v>
      </c>
      <c r="X16" s="29" t="n">
        <f aca="false">Inputs!$D$39*Portfolio_Flows!X14+Inputs!$D$40*Portfolio_Flows!X23+Inputs!$D$41*Portfolio_Flows!X32+(Inputs!$D$42+Inputs!$D$43-$D16)*Portfolio_Flows!X41+$D16*Portfolio_Flows!X50</f>
        <v>9506.40535</v>
      </c>
      <c r="Y16" s="29" t="n">
        <f aca="false">Inputs!$D$39*Portfolio_Flows!Y14+Inputs!$D$40*Portfolio_Flows!Y23+Inputs!$D$41*Portfolio_Flows!Y32+(Inputs!$D$42+Inputs!$D$43-$D16)*Portfolio_Flows!Y41+$D16*Portfolio_Flows!Y50</f>
        <v>8073.86616666666</v>
      </c>
      <c r="Z16" s="29" t="n">
        <f aca="false">Inputs!$D$39*Portfolio_Flows!Z14+Inputs!$D$40*Portfolio_Flows!Z23+Inputs!$D$41*Portfolio_Flows!Z32+(Inputs!$D$42+Inputs!$D$43-$D16)*Portfolio_Flows!Z41+$D16*Portfolio_Flows!Z50</f>
        <v>-53525.2691166666</v>
      </c>
      <c r="AA16" s="29" t="n">
        <f aca="false">Inputs!$D$39*Portfolio_Flows!AA14+Inputs!$D$40*Portfolio_Flows!AA23+Inputs!$D$41*Portfolio_Flows!AA32+(Inputs!$D$42+Inputs!$D$43-$D16)*Portfolio_Flows!AA41+$D16*Portfolio_Flows!AA50</f>
        <v>8133.83559999999</v>
      </c>
      <c r="AB16" s="29" t="n">
        <f aca="false">Inputs!$D$39*Portfolio_Flows!AB14+Inputs!$D$40*Portfolio_Flows!AB23+Inputs!$D$41*Portfolio_Flows!AB32+(Inputs!$D$42+Inputs!$D$43-$D16)*Portfolio_Flows!AB41+$D16*Portfolio_Flows!AB50</f>
        <v>10002.59085</v>
      </c>
      <c r="AC16" s="29" t="n">
        <f aca="false">Inputs!$D$39*Portfolio_Flows!AC14+Inputs!$D$40*Portfolio_Flows!AC23+Inputs!$D$41*Portfolio_Flows!AC32+(Inputs!$D$42+Inputs!$D$43-$D16)*Portfolio_Flows!AC41+$D16*Portfolio_Flows!AC50</f>
        <v>10092.7178333333</v>
      </c>
      <c r="AD16" s="29" t="n">
        <f aca="false">Inputs!$D$39*Portfolio_Flows!AD14+Inputs!$D$40*Portfolio_Flows!AD23+Inputs!$D$41*Portfolio_Flows!AD32+(Inputs!$D$42+Inputs!$D$43-$D16)*Portfolio_Flows!AD41+$D16*Portfolio_Flows!AD50</f>
        <v>10182.8448166667</v>
      </c>
      <c r="AE16" s="29" t="n">
        <f aca="false">Inputs!$D$39*Portfolio_Flows!AE14+Inputs!$D$40*Portfolio_Flows!AE23+Inputs!$D$41*Portfolio_Flows!AE32+(Inputs!$D$42+Inputs!$D$43-$D16)*Portfolio_Flows!AE41+$D16*Portfolio_Flows!AE50</f>
        <v>10272.9718</v>
      </c>
      <c r="AF16" s="29" t="n">
        <f aca="false">Inputs!$D$39*Portfolio_Flows!AF14+Inputs!$D$40*Portfolio_Flows!AF23+Inputs!$D$41*Portfolio_Flows!AF32+(Inputs!$D$42+Inputs!$D$43-$D16)*Portfolio_Flows!AF41+$D16*Portfolio_Flows!AF50</f>
        <v>10363.0987833333</v>
      </c>
      <c r="AG16" s="29" t="n">
        <f aca="false">Inputs!$D$39*Portfolio_Flows!AG14+Inputs!$D$40*Portfolio_Flows!AG23+Inputs!$D$41*Portfolio_Flows!AG32+(Inputs!$D$42+Inputs!$D$43-$D16)*Portfolio_Flows!AG41+$D16*Portfolio_Flows!AG50</f>
        <v>10453.2257666667</v>
      </c>
      <c r="AH16" s="29" t="n">
        <f aca="false">Inputs!$D$39*Portfolio_Flows!AH14+Inputs!$D$40*Portfolio_Flows!AH23+Inputs!$D$41*Portfolio_Flows!AH32+(Inputs!$D$42+Inputs!$D$43-$D16)*Portfolio_Flows!AH41+$D16*Portfolio_Flows!AH50</f>
        <v>7530.96625000002</v>
      </c>
      <c r="AI16" s="29" t="n">
        <f aca="false">Inputs!$D$39*Portfolio_Flows!AI14+Inputs!$D$40*Portfolio_Flows!AI23+Inputs!$D$41*Portfolio_Flows!AI32+(Inputs!$D$42+Inputs!$D$43-$D16)*Portfolio_Flows!AI41+$D16*Portfolio_Flows!AI50</f>
        <v>7595.34266666664</v>
      </c>
      <c r="AJ16" s="29" t="n">
        <f aca="false">Inputs!$D$39*Portfolio_Flows!AJ14+Inputs!$D$40*Portfolio_Flows!AJ23+Inputs!$D$41*Portfolio_Flows!AJ32+(Inputs!$D$42+Inputs!$D$43-$D16)*Portfolio_Flows!AJ41+$D16*Portfolio_Flows!AJ50</f>
        <v>7659.71908333331</v>
      </c>
      <c r="AK16" s="29" t="n">
        <f aca="false">Inputs!$D$39*Portfolio_Flows!AK14+Inputs!$D$40*Portfolio_Flows!AK23+Inputs!$D$41*Portfolio_Flows!AK32+(Inputs!$D$42+Inputs!$D$43-$D16)*Portfolio_Flows!AK41+$D16*Portfolio_Flows!AK50</f>
        <v>7724.09550000002</v>
      </c>
      <c r="AL16" s="29" t="n">
        <f aca="false">Inputs!$D$39*Portfolio_Flows!AL14+Inputs!$D$40*Portfolio_Flows!AL23+Inputs!$D$41*Portfolio_Flows!AL32+(Inputs!$D$42+Inputs!$D$43-$D16)*Portfolio_Flows!AL41+$D16*Portfolio_Flows!AL50</f>
        <v>-11405.5280833333</v>
      </c>
      <c r="AM16" s="29" t="n">
        <f aca="false">Inputs!$D$39*Portfolio_Flows!AM14+Inputs!$D$40*Portfolio_Flows!AM23+Inputs!$D$41*Portfolio_Flows!AM32+(Inputs!$D$42+Inputs!$D$43-$D16)*Portfolio_Flows!AM41+$D16*Portfolio_Flows!AM50</f>
        <v>7852.84833333331</v>
      </c>
      <c r="AN16" s="29" t="n">
        <f aca="false">Inputs!$D$39*Portfolio_Flows!AN14+Inputs!$D$40*Portfolio_Flows!AN23+Inputs!$D$41*Portfolio_Flows!AN32+(Inputs!$D$42+Inputs!$D$43-$D16)*Portfolio_Flows!AN41+$D16*Portfolio_Flows!AN50</f>
        <v>0</v>
      </c>
      <c r="AO16" s="29" t="n">
        <f aca="false">Inputs!$D$39*Portfolio_Flows!AO14+Inputs!$D$40*Portfolio_Flows!AO23+Inputs!$D$41*Portfolio_Flows!AO32+(Inputs!$D$42+Inputs!$D$43-$D16)*Portfolio_Flows!AO41+$D16*Portfolio_Flows!AO50</f>
        <v>0</v>
      </c>
      <c r="AP16" s="29" t="n">
        <f aca="false">Inputs!$D$39*Portfolio_Flows!AP14+Inputs!$D$40*Portfolio_Flows!AP23+Inputs!$D$41*Portfolio_Flows!AP32+(Inputs!$D$42+Inputs!$D$43-$D16)*Portfolio_Flows!AP41+$D16*Portfolio_Flows!AP50</f>
        <v>29482.125</v>
      </c>
      <c r="AQ16" s="29" t="n">
        <f aca="false">Inputs!$D$39*Portfolio_Flows!AQ14+Inputs!$D$40*Portfolio_Flows!AQ23+Inputs!$D$41*Portfolio_Flows!AQ32+(Inputs!$D$42+Inputs!$D$43-$D16)*Portfolio_Flows!AQ41+$D16*Portfolio_Flows!AQ50</f>
        <v>0</v>
      </c>
      <c r="AR16" s="29" t="n">
        <f aca="false">Inputs!$D$39*Portfolio_Flows!AR14+Inputs!$D$40*Portfolio_Flows!AR23+Inputs!$D$41*Portfolio_Flows!AR32+(Inputs!$D$42+Inputs!$D$43-$D16)*Portfolio_Flows!AR41+$D16*Portfolio_Flows!AR50</f>
        <v>0</v>
      </c>
      <c r="AS16" s="29" t="n">
        <f aca="false">Inputs!$D$39*Portfolio_Flows!AS14+Inputs!$D$40*Portfolio_Flows!AS23+Inputs!$D$41*Portfolio_Flows!AS32+(Inputs!$D$42+Inputs!$D$43-$D16)*Portfolio_Flows!AS41+$D16*Portfolio_Flows!AS50</f>
        <v>16203.3078</v>
      </c>
      <c r="AT16" s="29" t="n">
        <f aca="false">Inputs!$D$39*Portfolio_Flows!AT14+Inputs!$D$40*Portfolio_Flows!AT23+Inputs!$D$41*Portfolio_Flows!AT32+(Inputs!$D$42+Inputs!$D$43-$D16)*Portfolio_Flows!AT41+$D16*Portfolio_Flows!AT50</f>
        <v>0</v>
      </c>
      <c r="AU16" s="29" t="n">
        <f aca="false">Inputs!$D$39*Portfolio_Flows!AU14+Inputs!$D$40*Portfolio_Flows!AU23+Inputs!$D$41*Portfolio_Flows!AU32+(Inputs!$D$42+Inputs!$D$43-$D16)*Portfolio_Flows!AU41+$D16*Portfolio_Flows!AU50</f>
        <v>0</v>
      </c>
      <c r="AV16" s="29" t="n">
        <f aca="false">Inputs!$D$39*Portfolio_Flows!AV14+Inputs!$D$40*Portfolio_Flows!AV23+Inputs!$D$41*Portfolio_Flows!AV32+(Inputs!$D$42+Inputs!$D$43-$D16)*Portfolio_Flows!AV41+$D16*Portfolio_Flows!AV50</f>
        <v>0</v>
      </c>
      <c r="AW16" s="29" t="n">
        <f aca="false">Inputs!$D$39*Portfolio_Flows!AW14+Inputs!$D$40*Portfolio_Flows!AW23+Inputs!$D$41*Portfolio_Flows!AW32+(Inputs!$D$42+Inputs!$D$43-$D16)*Portfolio_Flows!AW41+$D16*Portfolio_Flows!AW50</f>
        <v>0</v>
      </c>
      <c r="AX16" s="29" t="n">
        <f aca="false">Inputs!$D$39*Portfolio_Flows!AX14+Inputs!$D$40*Portfolio_Flows!AX23+Inputs!$D$41*Portfolio_Flows!AX32+(Inputs!$D$42+Inputs!$D$43-$D16)*Portfolio_Flows!AX41+$D16*Portfolio_Flows!AX50</f>
        <v>3931.272</v>
      </c>
      <c r="AY16" s="29" t="n">
        <f aca="false">Inputs!$D$39*Portfolio_Flows!AY14+Inputs!$D$40*Portfolio_Flows!AY23+Inputs!$D$41*Portfolio_Flows!AY32+(Inputs!$D$42+Inputs!$D$43-$D16)*Portfolio_Flows!AY41+$D16*Portfolio_Flows!AY50</f>
        <v>0</v>
      </c>
    </row>
    <row r="17" customFormat="false" ht="15" hidden="false" customHeight="false" outlineLevel="0" collapsed="false">
      <c r="B17" s="9" t="s">
        <v>304</v>
      </c>
      <c r="C17" s="27" t="str">
        <f aca="false">Inputs!$B$55</f>
        <v>Base</v>
      </c>
      <c r="D17" s="12" t="n">
        <v>9</v>
      </c>
      <c r="E17" s="40" t="n">
        <f aca="false">IRR($N17:$AY17,0.005)</f>
        <v>0.00375101699837941</v>
      </c>
      <c r="F17" s="41" t="n">
        <f aca="false">(1+E17)^12-1</f>
        <v>0.0459525420522138</v>
      </c>
      <c r="G17" s="30" t="n">
        <f aca="false">-N17</f>
        <v>229300</v>
      </c>
      <c r="H17" s="30" t="n">
        <f aca="false">-SUMIF(O17:AY17,"&lt;0")</f>
        <v>63692.9865333333</v>
      </c>
      <c r="I17" s="30" t="n">
        <f aca="false">SUMIF($N17:$AY17,"&gt;0")</f>
        <v>304900.587183333</v>
      </c>
      <c r="J17" s="30" t="n">
        <f aca="false">I17-G17-H17</f>
        <v>11907.60065</v>
      </c>
      <c r="N17" s="29" t="n">
        <f aca="false">Inputs!$D$39*Portfolio_Flows!N14+Inputs!$D$40*Portfolio_Flows!N23+Inputs!$D$41*Portfolio_Flows!N32+(Inputs!$D$42+Inputs!$D$43-$D17)*Portfolio_Flows!N41+$D17*Portfolio_Flows!N50</f>
        <v>-229300</v>
      </c>
      <c r="O17" s="29" t="n">
        <f aca="false">Inputs!$D$39*Portfolio_Flows!O14+Inputs!$D$40*Portfolio_Flows!O23+Inputs!$D$41*Portfolio_Flows!O32+(Inputs!$D$42+Inputs!$D$43-$D17)*Portfolio_Flows!O41+$D17*Portfolio_Flows!O50</f>
        <v>0</v>
      </c>
      <c r="P17" s="29" t="n">
        <f aca="false">Inputs!$D$39*Portfolio_Flows!P14+Inputs!$D$40*Portfolio_Flows!P23+Inputs!$D$41*Portfolio_Flows!P32+(Inputs!$D$42+Inputs!$D$43-$D17)*Portfolio_Flows!P41+$D17*Portfolio_Flows!P50</f>
        <v>26050.248</v>
      </c>
      <c r="Q17" s="29" t="n">
        <f aca="false">Inputs!$D$39*Portfolio_Flows!Q14+Inputs!$D$40*Portfolio_Flows!Q23+Inputs!$D$41*Portfolio_Flows!Q32+(Inputs!$D$42+Inputs!$D$43-$D17)*Portfolio_Flows!Q41+$D17*Portfolio_Flows!Q50</f>
        <v>21708.54</v>
      </c>
      <c r="R17" s="29" t="n">
        <f aca="false">Inputs!$D$39*Portfolio_Flows!R14+Inputs!$D$40*Portfolio_Flows!R23+Inputs!$D$41*Portfolio_Flows!R32+(Inputs!$D$42+Inputs!$D$43-$D17)*Portfolio_Flows!R41+$D17*Portfolio_Flows!R50</f>
        <v>19537.686</v>
      </c>
      <c r="S17" s="29" t="n">
        <f aca="false">Inputs!$D$39*Portfolio_Flows!S14+Inputs!$D$40*Portfolio_Flows!S23+Inputs!$D$41*Portfolio_Flows!S32+(Inputs!$D$42+Inputs!$D$43-$D17)*Portfolio_Flows!S41+$D17*Portfolio_Flows!S50</f>
        <v>15195.978</v>
      </c>
      <c r="T17" s="29" t="n">
        <f aca="false">Inputs!$D$39*Portfolio_Flows!T14+Inputs!$D$40*Portfolio_Flows!T23+Inputs!$D$41*Portfolio_Flows!T32+(Inputs!$D$42+Inputs!$D$43-$D17)*Portfolio_Flows!T41+$D17*Portfolio_Flows!T50</f>
        <v>15199.688</v>
      </c>
      <c r="U17" s="29" t="n">
        <f aca="false">Inputs!$D$39*Portfolio_Flows!U14+Inputs!$D$40*Portfolio_Flows!U23+Inputs!$D$41*Portfolio_Flows!U32+(Inputs!$D$42+Inputs!$D$43-$D17)*Portfolio_Flows!U41+$D17*Portfolio_Flows!U50</f>
        <v>15209.334</v>
      </c>
      <c r="V17" s="29" t="n">
        <f aca="false">Inputs!$D$39*Portfolio_Flows!V14+Inputs!$D$40*Portfolio_Flows!V23+Inputs!$D$41*Portfolio_Flows!V32+(Inputs!$D$42+Inputs!$D$43-$D17)*Portfolio_Flows!V41+$D17*Portfolio_Flows!V50</f>
        <v>9425.90458333334</v>
      </c>
      <c r="W17" s="29" t="n">
        <f aca="false">Inputs!$D$39*Portfolio_Flows!W14+Inputs!$D$40*Portfolio_Flows!W23+Inputs!$D$41*Portfolio_Flows!W32+(Inputs!$D$42+Inputs!$D$43-$D17)*Portfolio_Flows!W41+$D17*Portfolio_Flows!W50</f>
        <v>9445.76966666667</v>
      </c>
      <c r="X17" s="29" t="n">
        <f aca="false">Inputs!$D$39*Portfolio_Flows!X14+Inputs!$D$40*Portfolio_Flows!X23+Inputs!$D$41*Portfolio_Flows!X32+(Inputs!$D$42+Inputs!$D$43-$D17)*Portfolio_Flows!X41+$D17*Portfolio_Flows!X50</f>
        <v>9472.16335</v>
      </c>
      <c r="Y17" s="29" t="n">
        <f aca="false">Inputs!$D$39*Portfolio_Flows!Y14+Inputs!$D$40*Portfolio_Flows!Y23+Inputs!$D$41*Portfolio_Flows!Y32+(Inputs!$D$42+Inputs!$D$43-$D17)*Portfolio_Flows!Y41+$D17*Portfolio_Flows!Y50</f>
        <v>8044.60616666666</v>
      </c>
      <c r="Z17" s="29" t="n">
        <f aca="false">Inputs!$D$39*Portfolio_Flows!Z14+Inputs!$D$40*Portfolio_Flows!Z23+Inputs!$D$41*Portfolio_Flows!Z32+(Inputs!$D$42+Inputs!$D$43-$D17)*Portfolio_Flows!Z41+$D17*Portfolio_Flows!Z50</f>
        <v>-52927.6151166666</v>
      </c>
      <c r="AA17" s="29" t="n">
        <f aca="false">Inputs!$D$39*Portfolio_Flows!AA14+Inputs!$D$40*Portfolio_Flows!AA23+Inputs!$D$41*Portfolio_Flows!AA32+(Inputs!$D$42+Inputs!$D$43-$D17)*Portfolio_Flows!AA41+$D17*Portfolio_Flows!AA50</f>
        <v>8104.00359999999</v>
      </c>
      <c r="AB17" s="29" t="n">
        <f aca="false">Inputs!$D$39*Portfolio_Flows!AB14+Inputs!$D$40*Portfolio_Flows!AB23+Inputs!$D$41*Portfolio_Flows!AB32+(Inputs!$D$42+Inputs!$D$43-$D17)*Portfolio_Flows!AB41+$D17*Portfolio_Flows!AB50</f>
        <v>9953.11018333333</v>
      </c>
      <c r="AC17" s="29" t="n">
        <f aca="false">Inputs!$D$39*Portfolio_Flows!AC14+Inputs!$D$40*Portfolio_Flows!AC23+Inputs!$D$41*Portfolio_Flows!AC32+(Inputs!$D$42+Inputs!$D$43-$D17)*Portfolio_Flows!AC41+$D17*Portfolio_Flows!AC50</f>
        <v>10042.6071666667</v>
      </c>
      <c r="AD17" s="29" t="n">
        <f aca="false">Inputs!$D$39*Portfolio_Flows!AD14+Inputs!$D$40*Portfolio_Flows!AD23+Inputs!$D$41*Portfolio_Flows!AD32+(Inputs!$D$42+Inputs!$D$43-$D17)*Portfolio_Flows!AD41+$D17*Portfolio_Flows!AD50</f>
        <v>10132.10415</v>
      </c>
      <c r="AE17" s="29" t="n">
        <f aca="false">Inputs!$D$39*Portfolio_Flows!AE14+Inputs!$D$40*Portfolio_Flows!AE23+Inputs!$D$41*Portfolio_Flows!AE32+(Inputs!$D$42+Inputs!$D$43-$D17)*Portfolio_Flows!AE41+$D17*Portfolio_Flows!AE50</f>
        <v>10221.6011333333</v>
      </c>
      <c r="AF17" s="29" t="n">
        <f aca="false">Inputs!$D$39*Portfolio_Flows!AF14+Inputs!$D$40*Portfolio_Flows!AF23+Inputs!$D$41*Portfolio_Flows!AF32+(Inputs!$D$42+Inputs!$D$43-$D17)*Portfolio_Flows!AF41+$D17*Portfolio_Flows!AF50</f>
        <v>10311.0981166667</v>
      </c>
      <c r="AG17" s="29" t="n">
        <f aca="false">Inputs!$D$39*Portfolio_Flows!AG14+Inputs!$D$40*Portfolio_Flows!AG23+Inputs!$D$41*Portfolio_Flows!AG32+(Inputs!$D$42+Inputs!$D$43-$D17)*Portfolio_Flows!AG41+$D17*Portfolio_Flows!AG50</f>
        <v>10400.5951</v>
      </c>
      <c r="AH17" s="29" t="n">
        <f aca="false">Inputs!$D$39*Portfolio_Flows!AH14+Inputs!$D$40*Portfolio_Flows!AH23+Inputs!$D$41*Portfolio_Flows!AH32+(Inputs!$D$42+Inputs!$D$43-$D17)*Portfolio_Flows!AH41+$D17*Portfolio_Flows!AH50</f>
        <v>7492.92291666669</v>
      </c>
      <c r="AI17" s="29" t="n">
        <f aca="false">Inputs!$D$39*Portfolio_Flows!AI14+Inputs!$D$40*Portfolio_Flows!AI23+Inputs!$D$41*Portfolio_Flows!AI32+(Inputs!$D$42+Inputs!$D$43-$D17)*Portfolio_Flows!AI41+$D17*Portfolio_Flows!AI50</f>
        <v>7556.84933333331</v>
      </c>
      <c r="AJ17" s="29" t="n">
        <f aca="false">Inputs!$D$39*Portfolio_Flows!AJ14+Inputs!$D$40*Portfolio_Flows!AJ23+Inputs!$D$41*Portfolio_Flows!AJ32+(Inputs!$D$42+Inputs!$D$43-$D17)*Portfolio_Flows!AJ41+$D17*Portfolio_Flows!AJ50</f>
        <v>7620.77574999997</v>
      </c>
      <c r="AK17" s="29" t="n">
        <f aca="false">Inputs!$D$39*Portfolio_Flows!AK14+Inputs!$D$40*Portfolio_Flows!AK23+Inputs!$D$41*Portfolio_Flows!AK32+(Inputs!$D$42+Inputs!$D$43-$D17)*Portfolio_Flows!AK41+$D17*Portfolio_Flows!AK50</f>
        <v>7684.70216666669</v>
      </c>
      <c r="AL17" s="29" t="n">
        <f aca="false">Inputs!$D$39*Portfolio_Flows!AL14+Inputs!$D$40*Portfolio_Flows!AL23+Inputs!$D$41*Portfolio_Flows!AL32+(Inputs!$D$42+Inputs!$D$43-$D17)*Portfolio_Flows!AL41+$D17*Portfolio_Flows!AL50</f>
        <v>-10765.3714166666</v>
      </c>
      <c r="AM17" s="29" t="n">
        <f aca="false">Inputs!$D$39*Portfolio_Flows!AM14+Inputs!$D$40*Portfolio_Flows!AM23+Inputs!$D$41*Portfolio_Flows!AM32+(Inputs!$D$42+Inputs!$D$43-$D17)*Portfolio_Flows!AM41+$D17*Portfolio_Flows!AM50</f>
        <v>7812.55499999997</v>
      </c>
      <c r="AN17" s="29" t="n">
        <f aca="false">Inputs!$D$39*Portfolio_Flows!AN14+Inputs!$D$40*Portfolio_Flows!AN23+Inputs!$D$41*Portfolio_Flows!AN32+(Inputs!$D$42+Inputs!$D$43-$D17)*Portfolio_Flows!AN41+$D17*Portfolio_Flows!AN50</f>
        <v>0</v>
      </c>
      <c r="AO17" s="29" t="n">
        <f aca="false">Inputs!$D$39*Portfolio_Flows!AO14+Inputs!$D$40*Portfolio_Flows!AO23+Inputs!$D$41*Portfolio_Flows!AO32+(Inputs!$D$42+Inputs!$D$43-$D17)*Portfolio_Flows!AO41+$D17*Portfolio_Flows!AO50</f>
        <v>0</v>
      </c>
      <c r="AP17" s="29" t="n">
        <f aca="false">Inputs!$D$39*Portfolio_Flows!AP14+Inputs!$D$40*Portfolio_Flows!AP23+Inputs!$D$41*Portfolio_Flows!AP32+(Inputs!$D$42+Inputs!$D$43-$D17)*Portfolio_Flows!AP41+$D17*Portfolio_Flows!AP50</f>
        <v>28882.125</v>
      </c>
      <c r="AQ17" s="29" t="n">
        <f aca="false">Inputs!$D$39*Portfolio_Flows!AQ14+Inputs!$D$40*Portfolio_Flows!AQ23+Inputs!$D$41*Portfolio_Flows!AQ32+(Inputs!$D$42+Inputs!$D$43-$D17)*Portfolio_Flows!AQ41+$D17*Portfolio_Flows!AQ50</f>
        <v>0</v>
      </c>
      <c r="AR17" s="29" t="n">
        <f aca="false">Inputs!$D$39*Portfolio_Flows!AR14+Inputs!$D$40*Portfolio_Flows!AR23+Inputs!$D$41*Portfolio_Flows!AR32+(Inputs!$D$42+Inputs!$D$43-$D17)*Portfolio_Flows!AR41+$D17*Portfolio_Flows!AR50</f>
        <v>0</v>
      </c>
      <c r="AS17" s="29" t="n">
        <f aca="false">Inputs!$D$39*Portfolio_Flows!AS14+Inputs!$D$40*Portfolio_Flows!AS23+Inputs!$D$41*Portfolio_Flows!AS32+(Inputs!$D$42+Inputs!$D$43-$D17)*Portfolio_Flows!AS41+$D17*Portfolio_Flows!AS50</f>
        <v>15741.5478</v>
      </c>
      <c r="AT17" s="29" t="n">
        <f aca="false">Inputs!$D$39*Portfolio_Flows!AT14+Inputs!$D$40*Portfolio_Flows!AT23+Inputs!$D$41*Portfolio_Flows!AT32+(Inputs!$D$42+Inputs!$D$43-$D17)*Portfolio_Flows!AT41+$D17*Portfolio_Flows!AT50</f>
        <v>0</v>
      </c>
      <c r="AU17" s="29" t="n">
        <f aca="false">Inputs!$D$39*Portfolio_Flows!AU14+Inputs!$D$40*Portfolio_Flows!AU23+Inputs!$D$41*Portfolio_Flows!AU32+(Inputs!$D$42+Inputs!$D$43-$D17)*Portfolio_Flows!AU41+$D17*Portfolio_Flows!AU50</f>
        <v>0</v>
      </c>
      <c r="AV17" s="29" t="n">
        <f aca="false">Inputs!$D$39*Portfolio_Flows!AV14+Inputs!$D$40*Portfolio_Flows!AV23+Inputs!$D$41*Portfolio_Flows!AV32+(Inputs!$D$42+Inputs!$D$43-$D17)*Portfolio_Flows!AV41+$D17*Portfolio_Flows!AV50</f>
        <v>0</v>
      </c>
      <c r="AW17" s="29" t="n">
        <f aca="false">Inputs!$D$39*Portfolio_Flows!AW14+Inputs!$D$40*Portfolio_Flows!AW23+Inputs!$D$41*Portfolio_Flows!AW32+(Inputs!$D$42+Inputs!$D$43-$D17)*Portfolio_Flows!AW41+$D17*Portfolio_Flows!AW50</f>
        <v>0</v>
      </c>
      <c r="AX17" s="29" t="n">
        <f aca="false">Inputs!$D$39*Portfolio_Flows!AX14+Inputs!$D$40*Portfolio_Flows!AX23+Inputs!$D$41*Portfolio_Flows!AX32+(Inputs!$D$42+Inputs!$D$43-$D17)*Portfolio_Flows!AX41+$D17*Portfolio_Flows!AX50</f>
        <v>3654.072</v>
      </c>
      <c r="AY17" s="29" t="n">
        <f aca="false">Inputs!$D$39*Portfolio_Flows!AY14+Inputs!$D$40*Portfolio_Flows!AY23+Inputs!$D$41*Portfolio_Flows!AY32+(Inputs!$D$42+Inputs!$D$43-$D17)*Portfolio_Flows!AY41+$D17*Portfolio_Flows!AY50</f>
        <v>0</v>
      </c>
    </row>
    <row r="18" customFormat="false" ht="15" hidden="false" customHeight="false" outlineLevel="0" collapsed="false">
      <c r="B18" s="9" t="s">
        <v>305</v>
      </c>
      <c r="C18" s="27" t="str">
        <f aca="false">Inputs!$B$55</f>
        <v>Base</v>
      </c>
      <c r="D18" s="12" t="n">
        <v>10</v>
      </c>
      <c r="E18" s="40" t="n">
        <f aca="false">IRR($N18:$AY18,0.005)</f>
        <v>0.00340501102252</v>
      </c>
      <c r="F18" s="41" t="n">
        <f aca="false">(1+E18)^12-1</f>
        <v>0.0416340949463161</v>
      </c>
      <c r="G18" s="30" t="n">
        <f aca="false">-N18</f>
        <v>229300</v>
      </c>
      <c r="H18" s="30" t="n">
        <f aca="false">-SUMIF(O18:AY18,"&lt;0")</f>
        <v>62455.1758666666</v>
      </c>
      <c r="I18" s="30" t="n">
        <f aca="false">SUMIF($N18:$AY18,"&gt;0")</f>
        <v>302505.236516667</v>
      </c>
      <c r="J18" s="30" t="n">
        <f aca="false">I18-G18-H18</f>
        <v>10750.06065</v>
      </c>
      <c r="N18" s="29" t="n">
        <f aca="false">Inputs!$D$39*Portfolio_Flows!N14+Inputs!$D$40*Portfolio_Flows!N23+Inputs!$D$41*Portfolio_Flows!N32+(Inputs!$D$42+Inputs!$D$43-$D18)*Portfolio_Flows!N41+$D18*Portfolio_Flows!N50</f>
        <v>-229300</v>
      </c>
      <c r="O18" s="29" t="n">
        <f aca="false">Inputs!$D$39*Portfolio_Flows!O14+Inputs!$D$40*Portfolio_Flows!O23+Inputs!$D$41*Portfolio_Flows!O32+(Inputs!$D$42+Inputs!$D$43-$D18)*Portfolio_Flows!O41+$D18*Portfolio_Flows!O50</f>
        <v>0</v>
      </c>
      <c r="P18" s="29" t="n">
        <f aca="false">Inputs!$D$39*Portfolio_Flows!P14+Inputs!$D$40*Portfolio_Flows!P23+Inputs!$D$41*Portfolio_Flows!P32+(Inputs!$D$42+Inputs!$D$43-$D18)*Portfolio_Flows!P41+$D18*Portfolio_Flows!P50</f>
        <v>25959.528</v>
      </c>
      <c r="Q18" s="29" t="n">
        <f aca="false">Inputs!$D$39*Portfolio_Flows!Q14+Inputs!$D$40*Portfolio_Flows!Q23+Inputs!$D$41*Portfolio_Flows!Q32+(Inputs!$D$42+Inputs!$D$43-$D18)*Portfolio_Flows!Q41+$D18*Portfolio_Flows!Q50</f>
        <v>21632.94</v>
      </c>
      <c r="R18" s="29" t="n">
        <f aca="false">Inputs!$D$39*Portfolio_Flows!R14+Inputs!$D$40*Portfolio_Flows!R23+Inputs!$D$41*Portfolio_Flows!R32+(Inputs!$D$42+Inputs!$D$43-$D18)*Portfolio_Flows!R41+$D18*Portfolio_Flows!R50</f>
        <v>19469.646</v>
      </c>
      <c r="S18" s="29" t="n">
        <f aca="false">Inputs!$D$39*Portfolio_Flows!S14+Inputs!$D$40*Portfolio_Flows!S23+Inputs!$D$41*Portfolio_Flows!S32+(Inputs!$D$42+Inputs!$D$43-$D18)*Portfolio_Flows!S41+$D18*Portfolio_Flows!S50</f>
        <v>15143.058</v>
      </c>
      <c r="T18" s="29" t="n">
        <f aca="false">Inputs!$D$39*Portfolio_Flows!T14+Inputs!$D$40*Portfolio_Flows!T23+Inputs!$D$41*Portfolio_Flows!T32+(Inputs!$D$42+Inputs!$D$43-$D18)*Portfolio_Flows!T41+$D18*Portfolio_Flows!T50</f>
        <v>15146.558</v>
      </c>
      <c r="U18" s="29" t="n">
        <f aca="false">Inputs!$D$39*Portfolio_Flows!U14+Inputs!$D$40*Portfolio_Flows!U23+Inputs!$D$41*Portfolio_Flows!U32+(Inputs!$D$42+Inputs!$D$43-$D18)*Portfolio_Flows!U41+$D18*Portfolio_Flows!U50</f>
        <v>15155.658</v>
      </c>
      <c r="V18" s="29" t="n">
        <f aca="false">Inputs!$D$39*Portfolio_Flows!V14+Inputs!$D$40*Portfolio_Flows!V23+Inputs!$D$41*Portfolio_Flows!V32+(Inputs!$D$42+Inputs!$D$43-$D18)*Portfolio_Flows!V41+$D18*Portfolio_Flows!V50</f>
        <v>9392.33858333334</v>
      </c>
      <c r="W18" s="29" t="n">
        <f aca="false">Inputs!$D$39*Portfolio_Flows!W14+Inputs!$D$40*Portfolio_Flows!W23+Inputs!$D$41*Portfolio_Flows!W32+(Inputs!$D$42+Inputs!$D$43-$D18)*Portfolio_Flows!W41+$D18*Portfolio_Flows!W50</f>
        <v>9411.86566666667</v>
      </c>
      <c r="X18" s="29" t="n">
        <f aca="false">Inputs!$D$39*Portfolio_Flows!X14+Inputs!$D$40*Portfolio_Flows!X23+Inputs!$D$41*Portfolio_Flows!X32+(Inputs!$D$42+Inputs!$D$43-$D18)*Portfolio_Flows!X41+$D18*Portfolio_Flows!X50</f>
        <v>9437.92135</v>
      </c>
      <c r="Y18" s="29" t="n">
        <f aca="false">Inputs!$D$39*Portfolio_Flows!Y14+Inputs!$D$40*Portfolio_Flows!Y23+Inputs!$D$41*Portfolio_Flows!Y32+(Inputs!$D$42+Inputs!$D$43-$D18)*Portfolio_Flows!Y41+$D18*Portfolio_Flows!Y50</f>
        <v>8015.34616666666</v>
      </c>
      <c r="Z18" s="29" t="n">
        <f aca="false">Inputs!$D$39*Portfolio_Flows!Z14+Inputs!$D$40*Portfolio_Flows!Z23+Inputs!$D$41*Portfolio_Flows!Z32+(Inputs!$D$42+Inputs!$D$43-$D18)*Portfolio_Flows!Z41+$D18*Portfolio_Flows!Z50</f>
        <v>-52329.9611166666</v>
      </c>
      <c r="AA18" s="29" t="n">
        <f aca="false">Inputs!$D$39*Portfolio_Flows!AA14+Inputs!$D$40*Portfolio_Flows!AA23+Inputs!$D$41*Portfolio_Flows!AA32+(Inputs!$D$42+Inputs!$D$43-$D18)*Portfolio_Flows!AA41+$D18*Portfolio_Flows!AA50</f>
        <v>8074.17159999999</v>
      </c>
      <c r="AB18" s="29" t="n">
        <f aca="false">Inputs!$D$39*Portfolio_Flows!AB14+Inputs!$D$40*Portfolio_Flows!AB23+Inputs!$D$41*Portfolio_Flows!AB32+(Inputs!$D$42+Inputs!$D$43-$D18)*Portfolio_Flows!AB41+$D18*Portfolio_Flows!AB50</f>
        <v>9903.62951666666</v>
      </c>
      <c r="AC18" s="29" t="n">
        <f aca="false">Inputs!$D$39*Portfolio_Flows!AC14+Inputs!$D$40*Portfolio_Flows!AC23+Inputs!$D$41*Portfolio_Flows!AC32+(Inputs!$D$42+Inputs!$D$43-$D18)*Portfolio_Flows!AC41+$D18*Portfolio_Flows!AC50</f>
        <v>9992.49649999999</v>
      </c>
      <c r="AD18" s="29" t="n">
        <f aca="false">Inputs!$D$39*Portfolio_Flows!AD14+Inputs!$D$40*Portfolio_Flows!AD23+Inputs!$D$41*Portfolio_Flows!AD32+(Inputs!$D$42+Inputs!$D$43-$D18)*Portfolio_Flows!AD41+$D18*Portfolio_Flows!AD50</f>
        <v>10081.3634833334</v>
      </c>
      <c r="AE18" s="29" t="n">
        <f aca="false">Inputs!$D$39*Portfolio_Flows!AE14+Inputs!$D$40*Portfolio_Flows!AE23+Inputs!$D$41*Portfolio_Flows!AE32+(Inputs!$D$42+Inputs!$D$43-$D18)*Portfolio_Flows!AE41+$D18*Portfolio_Flows!AE50</f>
        <v>10170.2304666667</v>
      </c>
      <c r="AF18" s="29" t="n">
        <f aca="false">Inputs!$D$39*Portfolio_Flows!AF14+Inputs!$D$40*Portfolio_Flows!AF23+Inputs!$D$41*Portfolio_Flows!AF32+(Inputs!$D$42+Inputs!$D$43-$D18)*Portfolio_Flows!AF41+$D18*Portfolio_Flows!AF50</f>
        <v>10259.09745</v>
      </c>
      <c r="AG18" s="29" t="n">
        <f aca="false">Inputs!$D$39*Portfolio_Flows!AG14+Inputs!$D$40*Portfolio_Flows!AG23+Inputs!$D$41*Portfolio_Flows!AG32+(Inputs!$D$42+Inputs!$D$43-$D18)*Portfolio_Flows!AG41+$D18*Portfolio_Flows!AG50</f>
        <v>10347.9644333333</v>
      </c>
      <c r="AH18" s="29" t="n">
        <f aca="false">Inputs!$D$39*Portfolio_Flows!AH14+Inputs!$D$40*Portfolio_Flows!AH23+Inputs!$D$41*Portfolio_Flows!AH32+(Inputs!$D$42+Inputs!$D$43-$D18)*Portfolio_Flows!AH41+$D18*Portfolio_Flows!AH50</f>
        <v>7454.87958333336</v>
      </c>
      <c r="AI18" s="29" t="n">
        <f aca="false">Inputs!$D$39*Portfolio_Flows!AI14+Inputs!$D$40*Portfolio_Flows!AI23+Inputs!$D$41*Portfolio_Flows!AI32+(Inputs!$D$42+Inputs!$D$43-$D18)*Portfolio_Flows!AI41+$D18*Portfolio_Flows!AI50</f>
        <v>7518.35599999997</v>
      </c>
      <c r="AJ18" s="29" t="n">
        <f aca="false">Inputs!$D$39*Portfolio_Flows!AJ14+Inputs!$D$40*Portfolio_Flows!AJ23+Inputs!$D$41*Portfolio_Flows!AJ32+(Inputs!$D$42+Inputs!$D$43-$D18)*Portfolio_Flows!AJ41+$D18*Portfolio_Flows!AJ50</f>
        <v>7581.83241666664</v>
      </c>
      <c r="AK18" s="29" t="n">
        <f aca="false">Inputs!$D$39*Portfolio_Flows!AK14+Inputs!$D$40*Portfolio_Flows!AK23+Inputs!$D$41*Portfolio_Flows!AK32+(Inputs!$D$42+Inputs!$D$43-$D18)*Portfolio_Flows!AK41+$D18*Portfolio_Flows!AK50</f>
        <v>7645.30883333336</v>
      </c>
      <c r="AL18" s="29" t="n">
        <f aca="false">Inputs!$D$39*Portfolio_Flows!AL14+Inputs!$D$40*Portfolio_Flows!AL23+Inputs!$D$41*Portfolio_Flows!AL32+(Inputs!$D$42+Inputs!$D$43-$D18)*Portfolio_Flows!AL41+$D18*Portfolio_Flows!AL50</f>
        <v>-10125.21475</v>
      </c>
      <c r="AM18" s="29" t="n">
        <f aca="false">Inputs!$D$39*Portfolio_Flows!AM14+Inputs!$D$40*Portfolio_Flows!AM23+Inputs!$D$41*Portfolio_Flows!AM32+(Inputs!$D$42+Inputs!$D$43-$D18)*Portfolio_Flows!AM41+$D18*Portfolio_Flows!AM50</f>
        <v>7772.26166666664</v>
      </c>
      <c r="AN18" s="29" t="n">
        <f aca="false">Inputs!$D$39*Portfolio_Flows!AN14+Inputs!$D$40*Portfolio_Flows!AN23+Inputs!$D$41*Portfolio_Flows!AN32+(Inputs!$D$42+Inputs!$D$43-$D18)*Portfolio_Flows!AN41+$D18*Portfolio_Flows!AN50</f>
        <v>0</v>
      </c>
      <c r="AO18" s="29" t="n">
        <f aca="false">Inputs!$D$39*Portfolio_Flows!AO14+Inputs!$D$40*Portfolio_Flows!AO23+Inputs!$D$41*Portfolio_Flows!AO32+(Inputs!$D$42+Inputs!$D$43-$D18)*Portfolio_Flows!AO41+$D18*Portfolio_Flows!AO50</f>
        <v>0</v>
      </c>
      <c r="AP18" s="29" t="n">
        <f aca="false">Inputs!$D$39*Portfolio_Flows!AP14+Inputs!$D$40*Portfolio_Flows!AP23+Inputs!$D$41*Portfolio_Flows!AP32+(Inputs!$D$42+Inputs!$D$43-$D18)*Portfolio_Flows!AP41+$D18*Portfolio_Flows!AP50</f>
        <v>28282.125</v>
      </c>
      <c r="AQ18" s="29" t="n">
        <f aca="false">Inputs!$D$39*Portfolio_Flows!AQ14+Inputs!$D$40*Portfolio_Flows!AQ23+Inputs!$D$41*Portfolio_Flows!AQ32+(Inputs!$D$42+Inputs!$D$43-$D18)*Portfolio_Flows!AQ41+$D18*Portfolio_Flows!AQ50</f>
        <v>0</v>
      </c>
      <c r="AR18" s="29" t="n">
        <f aca="false">Inputs!$D$39*Portfolio_Flows!AR14+Inputs!$D$40*Portfolio_Flows!AR23+Inputs!$D$41*Portfolio_Flows!AR32+(Inputs!$D$42+Inputs!$D$43-$D18)*Portfolio_Flows!AR41+$D18*Portfolio_Flows!AR50</f>
        <v>0</v>
      </c>
      <c r="AS18" s="29" t="n">
        <f aca="false">Inputs!$D$39*Portfolio_Flows!AS14+Inputs!$D$40*Portfolio_Flows!AS23+Inputs!$D$41*Portfolio_Flows!AS32+(Inputs!$D$42+Inputs!$D$43-$D18)*Portfolio_Flows!AS41+$D18*Portfolio_Flows!AS50</f>
        <v>15279.7878</v>
      </c>
      <c r="AT18" s="29" t="n">
        <f aca="false">Inputs!$D$39*Portfolio_Flows!AT14+Inputs!$D$40*Portfolio_Flows!AT23+Inputs!$D$41*Portfolio_Flows!AT32+(Inputs!$D$42+Inputs!$D$43-$D18)*Portfolio_Flows!AT41+$D18*Portfolio_Flows!AT50</f>
        <v>0</v>
      </c>
      <c r="AU18" s="29" t="n">
        <f aca="false">Inputs!$D$39*Portfolio_Flows!AU14+Inputs!$D$40*Portfolio_Flows!AU23+Inputs!$D$41*Portfolio_Flows!AU32+(Inputs!$D$42+Inputs!$D$43-$D18)*Portfolio_Flows!AU41+$D18*Portfolio_Flows!AU50</f>
        <v>0</v>
      </c>
      <c r="AV18" s="29" t="n">
        <f aca="false">Inputs!$D$39*Portfolio_Flows!AV14+Inputs!$D$40*Portfolio_Flows!AV23+Inputs!$D$41*Portfolio_Flows!AV32+(Inputs!$D$42+Inputs!$D$43-$D18)*Portfolio_Flows!AV41+$D18*Portfolio_Flows!AV50</f>
        <v>0</v>
      </c>
      <c r="AW18" s="29" t="n">
        <f aca="false">Inputs!$D$39*Portfolio_Flows!AW14+Inputs!$D$40*Portfolio_Flows!AW23+Inputs!$D$41*Portfolio_Flows!AW32+(Inputs!$D$42+Inputs!$D$43-$D18)*Portfolio_Flows!AW41+$D18*Portfolio_Flows!AW50</f>
        <v>0</v>
      </c>
      <c r="AX18" s="29" t="n">
        <f aca="false">Inputs!$D$39*Portfolio_Flows!AX14+Inputs!$D$40*Portfolio_Flows!AX23+Inputs!$D$41*Portfolio_Flows!AX32+(Inputs!$D$42+Inputs!$D$43-$D18)*Portfolio_Flows!AX41+$D18*Portfolio_Flows!AX50</f>
        <v>3376.872</v>
      </c>
      <c r="AY18" s="29" t="n">
        <f aca="false">Inputs!$D$39*Portfolio_Flows!AY14+Inputs!$D$40*Portfolio_Flows!AY23+Inputs!$D$41*Portfolio_Flows!AY32+(Inputs!$D$42+Inputs!$D$43-$D18)*Portfolio_Flows!AY41+$D18*Portfolio_Flows!AY50</f>
        <v>0</v>
      </c>
    </row>
    <row r="19" customFormat="false" ht="15" hidden="false" customHeight="false" outlineLevel="0" collapsed="false">
      <c r="B19" s="9" t="s">
        <v>306</v>
      </c>
      <c r="C19" s="27" t="str">
        <f aca="false">Inputs!$B$55</f>
        <v>Base</v>
      </c>
      <c r="D19" s="12" t="n">
        <v>11</v>
      </c>
      <c r="E19" s="40" t="n">
        <f aca="false">IRR($N19:$AY19,0.005)</f>
        <v>0.00305531006916343</v>
      </c>
      <c r="F19" s="41" t="n">
        <f aca="false">(1+E19)^12-1</f>
        <v>0.0372861435073333</v>
      </c>
      <c r="G19" s="30" t="n">
        <f aca="false">-N19</f>
        <v>229300</v>
      </c>
      <c r="H19" s="30" t="n">
        <f aca="false">-SUMIF(O19:AY19,"&lt;0")</f>
        <v>61217.3652</v>
      </c>
      <c r="I19" s="30" t="n">
        <f aca="false">SUMIF($N19:$AY19,"&gt;0")</f>
        <v>300109.88585</v>
      </c>
      <c r="J19" s="30" t="n">
        <f aca="false">I19-G19-H19</f>
        <v>9592.52065000001</v>
      </c>
      <c r="N19" s="29" t="n">
        <f aca="false">Inputs!$D$39*Portfolio_Flows!N14+Inputs!$D$40*Portfolio_Flows!N23+Inputs!$D$41*Portfolio_Flows!N32+(Inputs!$D$42+Inputs!$D$43-$D19)*Portfolio_Flows!N41+$D19*Portfolio_Flows!N50</f>
        <v>-229300</v>
      </c>
      <c r="O19" s="29" t="n">
        <f aca="false">Inputs!$D$39*Portfolio_Flows!O14+Inputs!$D$40*Portfolio_Flows!O23+Inputs!$D$41*Portfolio_Flows!O32+(Inputs!$D$42+Inputs!$D$43-$D19)*Portfolio_Flows!O41+$D19*Portfolio_Flows!O50</f>
        <v>0</v>
      </c>
      <c r="P19" s="29" t="n">
        <f aca="false">Inputs!$D$39*Portfolio_Flows!P14+Inputs!$D$40*Portfolio_Flows!P23+Inputs!$D$41*Portfolio_Flows!P32+(Inputs!$D$42+Inputs!$D$43-$D19)*Portfolio_Flows!P41+$D19*Portfolio_Flows!P50</f>
        <v>25868.808</v>
      </c>
      <c r="Q19" s="29" t="n">
        <f aca="false">Inputs!$D$39*Portfolio_Flows!Q14+Inputs!$D$40*Portfolio_Flows!Q23+Inputs!$D$41*Portfolio_Flows!Q32+(Inputs!$D$42+Inputs!$D$43-$D19)*Portfolio_Flows!Q41+$D19*Portfolio_Flows!Q50</f>
        <v>21557.34</v>
      </c>
      <c r="R19" s="29" t="n">
        <f aca="false">Inputs!$D$39*Portfolio_Flows!R14+Inputs!$D$40*Portfolio_Flows!R23+Inputs!$D$41*Portfolio_Flows!R32+(Inputs!$D$42+Inputs!$D$43-$D19)*Portfolio_Flows!R41+$D19*Portfolio_Flows!R50</f>
        <v>19401.606</v>
      </c>
      <c r="S19" s="29" t="n">
        <f aca="false">Inputs!$D$39*Portfolio_Flows!S14+Inputs!$D$40*Portfolio_Flows!S23+Inputs!$D$41*Portfolio_Flows!S32+(Inputs!$D$42+Inputs!$D$43-$D19)*Portfolio_Flows!S41+$D19*Portfolio_Flows!S50</f>
        <v>15090.138</v>
      </c>
      <c r="T19" s="29" t="n">
        <f aca="false">Inputs!$D$39*Portfolio_Flows!T14+Inputs!$D$40*Portfolio_Flows!T23+Inputs!$D$41*Portfolio_Flows!T32+(Inputs!$D$42+Inputs!$D$43-$D19)*Portfolio_Flows!T41+$D19*Portfolio_Flows!T50</f>
        <v>15093.428</v>
      </c>
      <c r="U19" s="29" t="n">
        <f aca="false">Inputs!$D$39*Portfolio_Flows!U14+Inputs!$D$40*Portfolio_Flows!U23+Inputs!$D$41*Portfolio_Flows!U32+(Inputs!$D$42+Inputs!$D$43-$D19)*Portfolio_Flows!U41+$D19*Portfolio_Flows!U50</f>
        <v>15101.982</v>
      </c>
      <c r="V19" s="29" t="n">
        <f aca="false">Inputs!$D$39*Portfolio_Flows!V14+Inputs!$D$40*Portfolio_Flows!V23+Inputs!$D$41*Portfolio_Flows!V32+(Inputs!$D$42+Inputs!$D$43-$D19)*Portfolio_Flows!V41+$D19*Portfolio_Flows!V50</f>
        <v>9358.77258333334</v>
      </c>
      <c r="W19" s="29" t="n">
        <f aca="false">Inputs!$D$39*Portfolio_Flows!W14+Inputs!$D$40*Portfolio_Flows!W23+Inputs!$D$41*Portfolio_Flows!W32+(Inputs!$D$42+Inputs!$D$43-$D19)*Portfolio_Flows!W41+$D19*Portfolio_Flows!W50</f>
        <v>9377.96166666667</v>
      </c>
      <c r="X19" s="29" t="n">
        <f aca="false">Inputs!$D$39*Portfolio_Flows!X14+Inputs!$D$40*Portfolio_Flows!X23+Inputs!$D$41*Portfolio_Flows!X32+(Inputs!$D$42+Inputs!$D$43-$D19)*Portfolio_Flows!X41+$D19*Portfolio_Flows!X50</f>
        <v>9403.67935</v>
      </c>
      <c r="Y19" s="29" t="n">
        <f aca="false">Inputs!$D$39*Portfolio_Flows!Y14+Inputs!$D$40*Portfolio_Flows!Y23+Inputs!$D$41*Portfolio_Flows!Y32+(Inputs!$D$42+Inputs!$D$43-$D19)*Portfolio_Flows!Y41+$D19*Portfolio_Flows!Y50</f>
        <v>7986.08616666666</v>
      </c>
      <c r="Z19" s="29" t="n">
        <f aca="false">Inputs!$D$39*Portfolio_Flows!Z14+Inputs!$D$40*Portfolio_Flows!Z23+Inputs!$D$41*Portfolio_Flows!Z32+(Inputs!$D$42+Inputs!$D$43-$D19)*Portfolio_Flows!Z41+$D19*Portfolio_Flows!Z50</f>
        <v>-51732.3071166667</v>
      </c>
      <c r="AA19" s="29" t="n">
        <f aca="false">Inputs!$D$39*Portfolio_Flows!AA14+Inputs!$D$40*Portfolio_Flows!AA23+Inputs!$D$41*Portfolio_Flows!AA32+(Inputs!$D$42+Inputs!$D$43-$D19)*Portfolio_Flows!AA41+$D19*Portfolio_Flows!AA50</f>
        <v>8044.33959999999</v>
      </c>
      <c r="AB19" s="29" t="n">
        <f aca="false">Inputs!$D$39*Portfolio_Flows!AB14+Inputs!$D$40*Portfolio_Flows!AB23+Inputs!$D$41*Portfolio_Flows!AB32+(Inputs!$D$42+Inputs!$D$43-$D19)*Portfolio_Flows!AB41+$D19*Portfolio_Flows!AB50</f>
        <v>9854.14884999999</v>
      </c>
      <c r="AC19" s="29" t="n">
        <f aca="false">Inputs!$D$39*Portfolio_Flows!AC14+Inputs!$D$40*Portfolio_Flows!AC23+Inputs!$D$41*Portfolio_Flows!AC32+(Inputs!$D$42+Inputs!$D$43-$D19)*Portfolio_Flows!AC41+$D19*Portfolio_Flows!AC50</f>
        <v>9942.38583333333</v>
      </c>
      <c r="AD19" s="29" t="n">
        <f aca="false">Inputs!$D$39*Portfolio_Flows!AD14+Inputs!$D$40*Portfolio_Flows!AD23+Inputs!$D$41*Portfolio_Flows!AD32+(Inputs!$D$42+Inputs!$D$43-$D19)*Portfolio_Flows!AD41+$D19*Portfolio_Flows!AD50</f>
        <v>10030.6228166667</v>
      </c>
      <c r="AE19" s="29" t="n">
        <f aca="false">Inputs!$D$39*Portfolio_Flows!AE14+Inputs!$D$40*Portfolio_Flows!AE23+Inputs!$D$41*Portfolio_Flows!AE32+(Inputs!$D$42+Inputs!$D$43-$D19)*Portfolio_Flows!AE41+$D19*Portfolio_Flows!AE50</f>
        <v>10118.8598</v>
      </c>
      <c r="AF19" s="29" t="n">
        <f aca="false">Inputs!$D$39*Portfolio_Flows!AF14+Inputs!$D$40*Portfolio_Flows!AF23+Inputs!$D$41*Portfolio_Flows!AF32+(Inputs!$D$42+Inputs!$D$43-$D19)*Portfolio_Flows!AF41+$D19*Portfolio_Flows!AF50</f>
        <v>10207.0967833333</v>
      </c>
      <c r="AG19" s="29" t="n">
        <f aca="false">Inputs!$D$39*Portfolio_Flows!AG14+Inputs!$D$40*Portfolio_Flows!AG23+Inputs!$D$41*Portfolio_Flows!AG32+(Inputs!$D$42+Inputs!$D$43-$D19)*Portfolio_Flows!AG41+$D19*Portfolio_Flows!AG50</f>
        <v>10295.3337666667</v>
      </c>
      <c r="AH19" s="29" t="n">
        <f aca="false">Inputs!$D$39*Portfolio_Flows!AH14+Inputs!$D$40*Portfolio_Flows!AH23+Inputs!$D$41*Portfolio_Flows!AH32+(Inputs!$D$42+Inputs!$D$43-$D19)*Portfolio_Flows!AH41+$D19*Portfolio_Flows!AH50</f>
        <v>7416.83625000002</v>
      </c>
      <c r="AI19" s="29" t="n">
        <f aca="false">Inputs!$D$39*Portfolio_Flows!AI14+Inputs!$D$40*Portfolio_Flows!AI23+Inputs!$D$41*Portfolio_Flows!AI32+(Inputs!$D$42+Inputs!$D$43-$D19)*Portfolio_Flows!AI41+$D19*Portfolio_Flows!AI50</f>
        <v>7479.86266666664</v>
      </c>
      <c r="AJ19" s="29" t="n">
        <f aca="false">Inputs!$D$39*Portfolio_Flows!AJ14+Inputs!$D$40*Portfolio_Flows!AJ23+Inputs!$D$41*Portfolio_Flows!AJ32+(Inputs!$D$42+Inputs!$D$43-$D19)*Portfolio_Flows!AJ41+$D19*Portfolio_Flows!AJ50</f>
        <v>7542.88908333331</v>
      </c>
      <c r="AK19" s="29" t="n">
        <f aca="false">Inputs!$D$39*Portfolio_Flows!AK14+Inputs!$D$40*Portfolio_Flows!AK23+Inputs!$D$41*Portfolio_Flows!AK32+(Inputs!$D$42+Inputs!$D$43-$D19)*Portfolio_Flows!AK41+$D19*Portfolio_Flows!AK50</f>
        <v>7605.91550000002</v>
      </c>
      <c r="AL19" s="29" t="n">
        <f aca="false">Inputs!$D$39*Portfolio_Flows!AL14+Inputs!$D$40*Portfolio_Flows!AL23+Inputs!$D$41*Portfolio_Flows!AL32+(Inputs!$D$42+Inputs!$D$43-$D19)*Portfolio_Flows!AL41+$D19*Portfolio_Flows!AL50</f>
        <v>-9485.0580833333</v>
      </c>
      <c r="AM19" s="29" t="n">
        <f aca="false">Inputs!$D$39*Portfolio_Flows!AM14+Inputs!$D$40*Portfolio_Flows!AM23+Inputs!$D$41*Portfolio_Flows!AM32+(Inputs!$D$42+Inputs!$D$43-$D19)*Portfolio_Flows!AM41+$D19*Portfolio_Flows!AM50</f>
        <v>7731.96833333331</v>
      </c>
      <c r="AN19" s="29" t="n">
        <f aca="false">Inputs!$D$39*Portfolio_Flows!AN14+Inputs!$D$40*Portfolio_Flows!AN23+Inputs!$D$41*Portfolio_Flows!AN32+(Inputs!$D$42+Inputs!$D$43-$D19)*Portfolio_Flows!AN41+$D19*Portfolio_Flows!AN50</f>
        <v>0</v>
      </c>
      <c r="AO19" s="29" t="n">
        <f aca="false">Inputs!$D$39*Portfolio_Flows!AO14+Inputs!$D$40*Portfolio_Flows!AO23+Inputs!$D$41*Portfolio_Flows!AO32+(Inputs!$D$42+Inputs!$D$43-$D19)*Portfolio_Flows!AO41+$D19*Portfolio_Flows!AO50</f>
        <v>0</v>
      </c>
      <c r="AP19" s="29" t="n">
        <f aca="false">Inputs!$D$39*Portfolio_Flows!AP14+Inputs!$D$40*Portfolio_Flows!AP23+Inputs!$D$41*Portfolio_Flows!AP32+(Inputs!$D$42+Inputs!$D$43-$D19)*Portfolio_Flows!AP41+$D19*Portfolio_Flows!AP50</f>
        <v>27682.125</v>
      </c>
      <c r="AQ19" s="29" t="n">
        <f aca="false">Inputs!$D$39*Portfolio_Flows!AQ14+Inputs!$D$40*Portfolio_Flows!AQ23+Inputs!$D$41*Portfolio_Flows!AQ32+(Inputs!$D$42+Inputs!$D$43-$D19)*Portfolio_Flows!AQ41+$D19*Portfolio_Flows!AQ50</f>
        <v>0</v>
      </c>
      <c r="AR19" s="29" t="n">
        <f aca="false">Inputs!$D$39*Portfolio_Flows!AR14+Inputs!$D$40*Portfolio_Flows!AR23+Inputs!$D$41*Portfolio_Flows!AR32+(Inputs!$D$42+Inputs!$D$43-$D19)*Portfolio_Flows!AR41+$D19*Portfolio_Flows!AR50</f>
        <v>0</v>
      </c>
      <c r="AS19" s="29" t="n">
        <f aca="false">Inputs!$D$39*Portfolio_Flows!AS14+Inputs!$D$40*Portfolio_Flows!AS23+Inputs!$D$41*Portfolio_Flows!AS32+(Inputs!$D$42+Inputs!$D$43-$D19)*Portfolio_Flows!AS41+$D19*Portfolio_Flows!AS50</f>
        <v>14818.0278</v>
      </c>
      <c r="AT19" s="29" t="n">
        <f aca="false">Inputs!$D$39*Portfolio_Flows!AT14+Inputs!$D$40*Portfolio_Flows!AT23+Inputs!$D$41*Portfolio_Flows!AT32+(Inputs!$D$42+Inputs!$D$43-$D19)*Portfolio_Flows!AT41+$D19*Portfolio_Flows!AT50</f>
        <v>0</v>
      </c>
      <c r="AU19" s="29" t="n">
        <f aca="false">Inputs!$D$39*Portfolio_Flows!AU14+Inputs!$D$40*Portfolio_Flows!AU23+Inputs!$D$41*Portfolio_Flows!AU32+(Inputs!$D$42+Inputs!$D$43-$D19)*Portfolio_Flows!AU41+$D19*Portfolio_Flows!AU50</f>
        <v>0</v>
      </c>
      <c r="AV19" s="29" t="n">
        <f aca="false">Inputs!$D$39*Portfolio_Flows!AV14+Inputs!$D$40*Portfolio_Flows!AV23+Inputs!$D$41*Portfolio_Flows!AV32+(Inputs!$D$42+Inputs!$D$43-$D19)*Portfolio_Flows!AV41+$D19*Portfolio_Flows!AV50</f>
        <v>0</v>
      </c>
      <c r="AW19" s="29" t="n">
        <f aca="false">Inputs!$D$39*Portfolio_Flows!AW14+Inputs!$D$40*Portfolio_Flows!AW23+Inputs!$D$41*Portfolio_Flows!AW32+(Inputs!$D$42+Inputs!$D$43-$D19)*Portfolio_Flows!AW41+$D19*Portfolio_Flows!AW50</f>
        <v>0</v>
      </c>
      <c r="AX19" s="29" t="n">
        <f aca="false">Inputs!$D$39*Portfolio_Flows!AX14+Inputs!$D$40*Portfolio_Flows!AX23+Inputs!$D$41*Portfolio_Flows!AX32+(Inputs!$D$42+Inputs!$D$43-$D19)*Portfolio_Flows!AX41+$D19*Portfolio_Flows!AX50</f>
        <v>3099.672</v>
      </c>
      <c r="AY19" s="29" t="n">
        <f aca="false">Inputs!$D$39*Portfolio_Flows!AY14+Inputs!$D$40*Portfolio_Flows!AY23+Inputs!$D$41*Portfolio_Flows!AY32+(Inputs!$D$42+Inputs!$D$43-$D19)*Portfolio_Flows!AY41+$D19*Portfolio_Flows!AY50</f>
        <v>0</v>
      </c>
    </row>
    <row r="20" customFormat="false" ht="15" hidden="false" customHeight="false" outlineLevel="0" collapsed="false">
      <c r="B20" s="9" t="s">
        <v>92</v>
      </c>
      <c r="C20" s="27" t="str">
        <f aca="false">Inputs!$B$56</f>
        <v>Slow redemptions</v>
      </c>
      <c r="D20" s="22" t="n">
        <f aca="false">Inputs!$D$43</f>
        <v>2</v>
      </c>
      <c r="E20" s="40" t="n">
        <f aca="false">IRR($N20:$AY20,0.005)</f>
        <v>0.0059811235642614</v>
      </c>
      <c r="F20" s="41" t="n">
        <f aca="false">(1+E20)^12-1</f>
        <v>0.0741822686463625</v>
      </c>
      <c r="G20" s="30" t="n">
        <f aca="false">-N20</f>
        <v>229300</v>
      </c>
      <c r="H20" s="30" t="n">
        <f aca="false">-SUMIF(O20:AY20,"&lt;0")</f>
        <v>94676.32595</v>
      </c>
      <c r="I20" s="30" t="n">
        <f aca="false">SUMIF($N20:$AY20,"&gt;0")</f>
        <v>348540.2056</v>
      </c>
      <c r="J20" s="30" t="n">
        <f aca="false">I20-G20-H20</f>
        <v>24563.87965</v>
      </c>
      <c r="N20" s="29" t="n">
        <f aca="false">Inputs!$D$39*Portfolio_Flows!N59+Inputs!$D$40*Portfolio_Flows!N68+Inputs!$D$41*Portfolio_Flows!N77+(Inputs!$D$42+Inputs!$D$43-$D20)*Portfolio_Flows!N86+$D20*Portfolio_Flows!N95</f>
        <v>-229300</v>
      </c>
      <c r="O20" s="29" t="n">
        <f aca="false">Inputs!$D$39*Portfolio_Flows!O59+Inputs!$D$40*Portfolio_Flows!O68+Inputs!$D$41*Portfolio_Flows!O77+(Inputs!$D$42+Inputs!$D$43-$D20)*Portfolio_Flows!O86+$D20*Portfolio_Flows!O95</f>
        <v>0</v>
      </c>
      <c r="P20" s="29" t="n">
        <f aca="false">Inputs!$D$39*Portfolio_Flows!P59+Inputs!$D$40*Portfolio_Flows!P68+Inputs!$D$41*Portfolio_Flows!P77+(Inputs!$D$42+Inputs!$D$43-$D20)*Portfolio_Flows!P86+$D20*Portfolio_Flows!P95</f>
        <v>13342.644</v>
      </c>
      <c r="Q20" s="29" t="n">
        <f aca="false">Inputs!$D$39*Portfolio_Flows!Q59+Inputs!$D$40*Portfolio_Flows!Q68+Inputs!$D$41*Portfolio_Flows!Q77+(Inputs!$D$42+Inputs!$D$43-$D20)*Portfolio_Flows!Q86+$D20*Portfolio_Flows!Q95</f>
        <v>13342.644</v>
      </c>
      <c r="R20" s="29" t="n">
        <f aca="false">Inputs!$D$39*Portfolio_Flows!R59+Inputs!$D$40*Portfolio_Flows!R68+Inputs!$D$41*Portfolio_Flows!R77+(Inputs!$D$42+Inputs!$D$43-$D20)*Portfolio_Flows!R86+$D20*Portfolio_Flows!R95</f>
        <v>13342.644</v>
      </c>
      <c r="S20" s="29" t="n">
        <f aca="false">Inputs!$D$39*Portfolio_Flows!S59+Inputs!$D$40*Portfolio_Flows!S68+Inputs!$D$41*Portfolio_Flows!S77+(Inputs!$D$42+Inputs!$D$43-$D20)*Portfolio_Flows!S86+$D20*Portfolio_Flows!S95</f>
        <v>13342.644</v>
      </c>
      <c r="T20" s="29" t="n">
        <f aca="false">Inputs!$D$39*Portfolio_Flows!T59+Inputs!$D$40*Portfolio_Flows!T68+Inputs!$D$41*Portfolio_Flows!T77+(Inputs!$D$42+Inputs!$D$43-$D20)*Portfolio_Flows!T86+$D20*Portfolio_Flows!T95</f>
        <v>13347.084</v>
      </c>
      <c r="U20" s="29" t="n">
        <f aca="false">Inputs!$D$39*Portfolio_Flows!U59+Inputs!$D$40*Portfolio_Flows!U68+Inputs!$D$41*Portfolio_Flows!U77+(Inputs!$D$42+Inputs!$D$43-$D20)*Portfolio_Flows!U86+$D20*Portfolio_Flows!U95</f>
        <v>13358.628</v>
      </c>
      <c r="V20" s="29" t="n">
        <f aca="false">Inputs!$D$39*Portfolio_Flows!V59+Inputs!$D$40*Portfolio_Flows!V68+Inputs!$D$41*Portfolio_Flows!V77+(Inputs!$D$42+Inputs!$D$43-$D20)*Portfolio_Flows!V86+$D20*Portfolio_Flows!V95</f>
        <v>10404.0101666667</v>
      </c>
      <c r="W20" s="29" t="n">
        <f aca="false">Inputs!$D$39*Portfolio_Flows!W59+Inputs!$D$40*Portfolio_Flows!W68+Inputs!$D$41*Portfolio_Flows!W77+(Inputs!$D$42+Inputs!$D$43-$D20)*Portfolio_Flows!W86+$D20*Portfolio_Flows!W95</f>
        <v>10427.9513333333</v>
      </c>
      <c r="X20" s="29" t="n">
        <f aca="false">Inputs!$D$39*Portfolio_Flows!X59+Inputs!$D$40*Portfolio_Flows!X68+Inputs!$D$41*Portfolio_Flows!X77+(Inputs!$D$42+Inputs!$D$43-$D20)*Portfolio_Flows!X86+$D20*Portfolio_Flows!X95</f>
        <v>10458.9233</v>
      </c>
      <c r="Y20" s="29" t="n">
        <f aca="false">Inputs!$D$39*Portfolio_Flows!Y59+Inputs!$D$40*Portfolio_Flows!Y68+Inputs!$D$41*Portfolio_Flows!Y77+(Inputs!$D$42+Inputs!$D$43-$D20)*Portfolio_Flows!Y86+$D20*Portfolio_Flows!Y95</f>
        <v>8999.37400000001</v>
      </c>
      <c r="Z20" s="29" t="n">
        <f aca="false">Inputs!$D$39*Portfolio_Flows!Z59+Inputs!$D$40*Portfolio_Flows!Z68+Inputs!$D$41*Portfolio_Flows!Z77+(Inputs!$D$42+Inputs!$D$43-$D20)*Portfolio_Flows!Z86+$D20*Portfolio_Flows!Z95</f>
        <v>-85851.8834</v>
      </c>
      <c r="AA20" s="29" t="n">
        <f aca="false">Inputs!$D$39*Portfolio_Flows!AA59+Inputs!$D$40*Portfolio_Flows!AA68+Inputs!$D$41*Portfolio_Flows!AA77+(Inputs!$D$42+Inputs!$D$43-$D20)*Portfolio_Flows!AA86+$D20*Portfolio_Flows!AA95</f>
        <v>9068.53920000001</v>
      </c>
      <c r="AB20" s="29" t="n">
        <f aca="false">Inputs!$D$39*Portfolio_Flows!AB59+Inputs!$D$40*Portfolio_Flows!AB68+Inputs!$D$41*Portfolio_Flows!AB77+(Inputs!$D$42+Inputs!$D$43-$D20)*Portfolio_Flows!AB86+$D20*Portfolio_Flows!AB95</f>
        <v>14713.5355</v>
      </c>
      <c r="AC20" s="29" t="n">
        <f aca="false">Inputs!$D$39*Portfolio_Flows!AC59+Inputs!$D$40*Portfolio_Flows!AC68+Inputs!$D$41*Portfolio_Flows!AC77+(Inputs!$D$42+Inputs!$D$43-$D20)*Portfolio_Flows!AC86+$D20*Portfolio_Flows!AC95</f>
        <v>14847.6883333333</v>
      </c>
      <c r="AD20" s="29" t="n">
        <f aca="false">Inputs!$D$39*Portfolio_Flows!AD59+Inputs!$D$40*Portfolio_Flows!AD68+Inputs!$D$41*Portfolio_Flows!AD77+(Inputs!$D$42+Inputs!$D$43-$D20)*Portfolio_Flows!AD86+$D20*Portfolio_Flows!AD95</f>
        <v>14981.8411666667</v>
      </c>
      <c r="AE20" s="29" t="n">
        <f aca="false">Inputs!$D$39*Portfolio_Flows!AE59+Inputs!$D$40*Portfolio_Flows!AE68+Inputs!$D$41*Portfolio_Flows!AE77+(Inputs!$D$42+Inputs!$D$43-$D20)*Portfolio_Flows!AE86+$D20*Portfolio_Flows!AE95</f>
        <v>15115.994</v>
      </c>
      <c r="AF20" s="29" t="n">
        <f aca="false">Inputs!$D$39*Portfolio_Flows!AF59+Inputs!$D$40*Portfolio_Flows!AF68+Inputs!$D$41*Portfolio_Flows!AF77+(Inputs!$D$42+Inputs!$D$43-$D20)*Portfolio_Flows!AF86+$D20*Portfolio_Flows!AF95</f>
        <v>15250.1468333333</v>
      </c>
      <c r="AG20" s="29" t="n">
        <f aca="false">Inputs!$D$39*Portfolio_Flows!AG59+Inputs!$D$40*Portfolio_Flows!AG68+Inputs!$D$41*Portfolio_Flows!AG77+(Inputs!$D$42+Inputs!$D$43-$D20)*Portfolio_Flows!AG86+$D20*Portfolio_Flows!AG95</f>
        <v>15384.2996666667</v>
      </c>
      <c r="AH20" s="29" t="n">
        <f aca="false">Inputs!$D$39*Portfolio_Flows!AH59+Inputs!$D$40*Portfolio_Flows!AH68+Inputs!$D$41*Portfolio_Flows!AH77+(Inputs!$D$42+Inputs!$D$43-$D20)*Portfolio_Flows!AH86+$D20*Portfolio_Flows!AH95</f>
        <v>13966.60725</v>
      </c>
      <c r="AI20" s="29" t="n">
        <f aca="false">Inputs!$D$39*Portfolio_Flows!AI59+Inputs!$D$40*Portfolio_Flows!AI68+Inputs!$D$41*Portfolio_Flows!AI77+(Inputs!$D$42+Inputs!$D$43-$D20)*Portfolio_Flows!AI86+$D20*Portfolio_Flows!AI95</f>
        <v>14087.3448</v>
      </c>
      <c r="AJ20" s="29" t="n">
        <f aca="false">Inputs!$D$39*Portfolio_Flows!AJ59+Inputs!$D$40*Portfolio_Flows!AJ68+Inputs!$D$41*Portfolio_Flows!AJ77+(Inputs!$D$42+Inputs!$D$43-$D20)*Portfolio_Flows!AJ86+$D20*Portfolio_Flows!AJ95</f>
        <v>14208.08235</v>
      </c>
      <c r="AK20" s="29" t="n">
        <f aca="false">Inputs!$D$39*Portfolio_Flows!AK59+Inputs!$D$40*Portfolio_Flows!AK68+Inputs!$D$41*Portfolio_Flows!AK77+(Inputs!$D$42+Inputs!$D$43-$D20)*Portfolio_Flows!AK86+$D20*Portfolio_Flows!AK95</f>
        <v>14328.8199</v>
      </c>
      <c r="AL20" s="29" t="n">
        <f aca="false">Inputs!$D$39*Portfolio_Flows!AL59+Inputs!$D$40*Portfolio_Flows!AL68+Inputs!$D$41*Portfolio_Flows!AL77+(Inputs!$D$42+Inputs!$D$43-$D20)*Portfolio_Flows!AL86+$D20*Portfolio_Flows!AL95</f>
        <v>-8824.44254999998</v>
      </c>
      <c r="AM20" s="29" t="n">
        <f aca="false">Inputs!$D$39*Portfolio_Flows!AM59+Inputs!$D$40*Portfolio_Flows!AM68+Inputs!$D$41*Portfolio_Flows!AM77+(Inputs!$D$42+Inputs!$D$43-$D20)*Portfolio_Flows!AM86+$D20*Portfolio_Flows!AM95</f>
        <v>14570.295</v>
      </c>
      <c r="AN20" s="29" t="n">
        <f aca="false">Inputs!$D$39*Portfolio_Flows!AN59+Inputs!$D$40*Portfolio_Flows!AN68+Inputs!$D$41*Portfolio_Flows!AN77+(Inputs!$D$42+Inputs!$D$43-$D20)*Portfolio_Flows!AN86+$D20*Portfolio_Flows!AN95</f>
        <v>0</v>
      </c>
      <c r="AO20" s="29" t="n">
        <f aca="false">Inputs!$D$39*Portfolio_Flows!AO59+Inputs!$D$40*Portfolio_Flows!AO68+Inputs!$D$41*Portfolio_Flows!AO77+(Inputs!$D$42+Inputs!$D$43-$D20)*Portfolio_Flows!AO86+$D20*Portfolio_Flows!AO95</f>
        <v>0</v>
      </c>
      <c r="AP20" s="29" t="n">
        <f aca="false">Inputs!$D$39*Portfolio_Flows!AP59+Inputs!$D$40*Portfolio_Flows!AP68+Inputs!$D$41*Portfolio_Flows!AP77+(Inputs!$D$42+Inputs!$D$43-$D20)*Portfolio_Flows!AP86+$D20*Portfolio_Flows!AP95</f>
        <v>33082.125</v>
      </c>
      <c r="AQ20" s="29" t="n">
        <f aca="false">Inputs!$D$39*Portfolio_Flows!AQ59+Inputs!$D$40*Portfolio_Flows!AQ68+Inputs!$D$41*Portfolio_Flows!AQ77+(Inputs!$D$42+Inputs!$D$43-$D20)*Portfolio_Flows!AQ86+$D20*Portfolio_Flows!AQ95</f>
        <v>0</v>
      </c>
      <c r="AR20" s="29" t="n">
        <f aca="false">Inputs!$D$39*Portfolio_Flows!AR59+Inputs!$D$40*Portfolio_Flows!AR68+Inputs!$D$41*Portfolio_Flows!AR77+(Inputs!$D$42+Inputs!$D$43-$D20)*Portfolio_Flows!AR86+$D20*Portfolio_Flows!AR95</f>
        <v>0</v>
      </c>
      <c r="AS20" s="29" t="n">
        <f aca="false">Inputs!$D$39*Portfolio_Flows!AS59+Inputs!$D$40*Portfolio_Flows!AS68+Inputs!$D$41*Portfolio_Flows!AS77+(Inputs!$D$42+Inputs!$D$43-$D20)*Portfolio_Flows!AS86+$D20*Portfolio_Flows!AS95</f>
        <v>18973.8678</v>
      </c>
      <c r="AT20" s="29" t="n">
        <f aca="false">Inputs!$D$39*Portfolio_Flows!AT59+Inputs!$D$40*Portfolio_Flows!AT68+Inputs!$D$41*Portfolio_Flows!AT77+(Inputs!$D$42+Inputs!$D$43-$D20)*Portfolio_Flows!AT86+$D20*Portfolio_Flows!AT95</f>
        <v>0</v>
      </c>
      <c r="AU20" s="29" t="n">
        <f aca="false">Inputs!$D$39*Portfolio_Flows!AU59+Inputs!$D$40*Portfolio_Flows!AU68+Inputs!$D$41*Portfolio_Flows!AU77+(Inputs!$D$42+Inputs!$D$43-$D20)*Portfolio_Flows!AU86+$D20*Portfolio_Flows!AU95</f>
        <v>0</v>
      </c>
      <c r="AV20" s="29" t="n">
        <f aca="false">Inputs!$D$39*Portfolio_Flows!AV59+Inputs!$D$40*Portfolio_Flows!AV68+Inputs!$D$41*Portfolio_Flows!AV77+(Inputs!$D$42+Inputs!$D$43-$D20)*Portfolio_Flows!AV86+$D20*Portfolio_Flows!AV95</f>
        <v>0</v>
      </c>
      <c r="AW20" s="29" t="n">
        <f aca="false">Inputs!$D$39*Portfolio_Flows!AW59+Inputs!$D$40*Portfolio_Flows!AW68+Inputs!$D$41*Portfolio_Flows!AW77+(Inputs!$D$42+Inputs!$D$43-$D20)*Portfolio_Flows!AW86+$D20*Portfolio_Flows!AW95</f>
        <v>0</v>
      </c>
      <c r="AX20" s="29" t="n">
        <f aca="false">Inputs!$D$39*Portfolio_Flows!AX59+Inputs!$D$40*Portfolio_Flows!AX68+Inputs!$D$41*Portfolio_Flows!AX77+(Inputs!$D$42+Inputs!$D$43-$D20)*Portfolio_Flows!AX86+$D20*Portfolio_Flows!AX95</f>
        <v>5594.472</v>
      </c>
      <c r="AY20" s="29" t="n">
        <f aca="false">Inputs!$D$39*Portfolio_Flows!AY59+Inputs!$D$40*Portfolio_Flows!AY68+Inputs!$D$41*Portfolio_Flows!AY77+(Inputs!$D$42+Inputs!$D$43-$D20)*Portfolio_Flows!AY86+$D20*Portfolio_Flows!AY95</f>
        <v>0</v>
      </c>
    </row>
    <row r="21" customFormat="false" ht="15" hidden="false" customHeight="false" outlineLevel="0" collapsed="false">
      <c r="B21" s="9" t="s">
        <v>93</v>
      </c>
      <c r="C21" s="27" t="str">
        <f aca="false">Inputs!$B$57</f>
        <v>Competitive sale</v>
      </c>
      <c r="D21" s="22" t="n">
        <f aca="false">Inputs!$D$43</f>
        <v>2</v>
      </c>
      <c r="E21" s="40" t="n">
        <f aca="false">IRR($N21:$AY21,0.005)</f>
        <v>0.00503474172968327</v>
      </c>
      <c r="F21" s="41" t="n">
        <f aca="false">(1+E21)^12-1</f>
        <v>0.0621183078307246</v>
      </c>
      <c r="G21" s="30" t="n">
        <f aca="false">-N21</f>
        <v>229300</v>
      </c>
      <c r="H21" s="30" t="n">
        <f aca="false">-SUMIF(O21:AY21,"&lt;0")</f>
        <v>72644.4177083333</v>
      </c>
      <c r="I21" s="30" t="n">
        <f aca="false">SUMIF($N21:$AY21,"&gt;0")</f>
        <v>318343.800583333</v>
      </c>
      <c r="J21" s="30" t="n">
        <f aca="false">I21-G21-H21</f>
        <v>16399.382875</v>
      </c>
      <c r="N21" s="29" t="n">
        <f aca="false">Inputs!$D$39*Portfolio_Flows!N104+Inputs!$D$40*Portfolio_Flows!N113+Inputs!$D$41*Portfolio_Flows!N122+(Inputs!$D$42+Inputs!$D$43-$D21)*Portfolio_Flows!N131+$D21*Portfolio_Flows!N140</f>
        <v>-229300</v>
      </c>
      <c r="O21" s="29" t="n">
        <f aca="false">Inputs!$D$39*Portfolio_Flows!O104+Inputs!$D$40*Portfolio_Flows!O113+Inputs!$D$41*Portfolio_Flows!O122+(Inputs!$D$42+Inputs!$D$43-$D21)*Portfolio_Flows!O131+$D21*Portfolio_Flows!O140</f>
        <v>0</v>
      </c>
      <c r="P21" s="29" t="n">
        <f aca="false">Inputs!$D$39*Portfolio_Flows!P104+Inputs!$D$40*Portfolio_Flows!P113+Inputs!$D$41*Portfolio_Flows!P122+(Inputs!$D$42+Inputs!$D$43-$D21)*Portfolio_Flows!P131+$D21*Portfolio_Flows!P140</f>
        <v>26685.288</v>
      </c>
      <c r="Q21" s="29" t="n">
        <f aca="false">Inputs!$D$39*Portfolio_Flows!Q104+Inputs!$D$40*Portfolio_Flows!Q113+Inputs!$D$41*Portfolio_Flows!Q122+(Inputs!$D$42+Inputs!$D$43-$D21)*Portfolio_Flows!Q131+$D21*Portfolio_Flows!Q140</f>
        <v>22237.74</v>
      </c>
      <c r="R21" s="29" t="n">
        <f aca="false">Inputs!$D$39*Portfolio_Flows!R104+Inputs!$D$40*Portfolio_Flows!R113+Inputs!$D$41*Portfolio_Flows!R122+(Inputs!$D$42+Inputs!$D$43-$D21)*Portfolio_Flows!R131+$D21*Portfolio_Flows!R140</f>
        <v>20013.966</v>
      </c>
      <c r="S21" s="29" t="n">
        <f aca="false">Inputs!$D$39*Portfolio_Flows!S104+Inputs!$D$40*Portfolio_Flows!S113+Inputs!$D$41*Portfolio_Flows!S122+(Inputs!$D$42+Inputs!$D$43-$D21)*Portfolio_Flows!S131+$D21*Portfolio_Flows!S140</f>
        <v>15566.418</v>
      </c>
      <c r="T21" s="29" t="n">
        <f aca="false">Inputs!$D$39*Portfolio_Flows!T104+Inputs!$D$40*Portfolio_Flows!T113+Inputs!$D$41*Portfolio_Flows!T122+(Inputs!$D$42+Inputs!$D$43-$D21)*Portfolio_Flows!T131+$D21*Portfolio_Flows!T140</f>
        <v>15566.418</v>
      </c>
      <c r="U21" s="29" t="n">
        <f aca="false">Inputs!$D$39*Portfolio_Flows!U104+Inputs!$D$40*Portfolio_Flows!U113+Inputs!$D$41*Portfolio_Flows!U122+(Inputs!$D$42+Inputs!$D$43-$D21)*Portfolio_Flows!U131+$D21*Portfolio_Flows!U140</f>
        <v>15566.418</v>
      </c>
      <c r="V21" s="29" t="n">
        <f aca="false">Inputs!$D$39*Portfolio_Flows!V104+Inputs!$D$40*Portfolio_Flows!V113+Inputs!$D$41*Portfolio_Flows!V122+(Inputs!$D$42+Inputs!$D$43-$D21)*Portfolio_Flows!V131+$D21*Portfolio_Flows!V140</f>
        <v>9636.354</v>
      </c>
      <c r="W21" s="29" t="n">
        <f aca="false">Inputs!$D$39*Portfolio_Flows!W104+Inputs!$D$40*Portfolio_Flows!W113+Inputs!$D$41*Portfolio_Flows!W122+(Inputs!$D$42+Inputs!$D$43-$D21)*Portfolio_Flows!W131+$D21*Portfolio_Flows!W140</f>
        <v>9636.354</v>
      </c>
      <c r="X21" s="29" t="n">
        <f aca="false">Inputs!$D$39*Portfolio_Flows!X104+Inputs!$D$40*Portfolio_Flows!X113+Inputs!$D$41*Portfolio_Flows!X122+(Inputs!$D$42+Inputs!$D$43-$D21)*Portfolio_Flows!X131+$D21*Portfolio_Flows!X140</f>
        <v>9636.354</v>
      </c>
      <c r="Y21" s="29" t="n">
        <f aca="false">Inputs!$D$39*Portfolio_Flows!Y104+Inputs!$D$40*Portfolio_Flows!Y113+Inputs!$D$41*Portfolio_Flows!Y122+(Inputs!$D$42+Inputs!$D$43-$D21)*Portfolio_Flows!Y131+$D21*Portfolio_Flows!Y140</f>
        <v>8156.55133333333</v>
      </c>
      <c r="Z21" s="29" t="n">
        <f aca="false">Inputs!$D$39*Portfolio_Flows!Z104+Inputs!$D$40*Portfolio_Flows!Z113+Inputs!$D$41*Portfolio_Flows!Z122+(Inputs!$D$42+Inputs!$D$43-$D21)*Portfolio_Flows!Z131+$D21*Portfolio_Flows!Z140</f>
        <v>-57232.2413333333</v>
      </c>
      <c r="AA21" s="29" t="n">
        <f aca="false">Inputs!$D$39*Portfolio_Flows!AA104+Inputs!$D$40*Portfolio_Flows!AA113+Inputs!$D$41*Portfolio_Flows!AA122+(Inputs!$D$42+Inputs!$D$43-$D21)*Portfolio_Flows!AA131+$D21*Portfolio_Flows!AA140</f>
        <v>8163.60599999999</v>
      </c>
      <c r="AB21" s="29" t="n">
        <f aca="false">Inputs!$D$39*Portfolio_Flows!AB104+Inputs!$D$40*Portfolio_Flows!AB113+Inputs!$D$41*Portfolio_Flows!AB122+(Inputs!$D$42+Inputs!$D$43-$D21)*Portfolio_Flows!AB131+$D21*Portfolio_Flows!AB140</f>
        <v>10186.5871333333</v>
      </c>
      <c r="AC21" s="29" t="n">
        <f aca="false">Inputs!$D$39*Portfolio_Flows!AC104+Inputs!$D$40*Portfolio_Flows!AC113+Inputs!$D$41*Portfolio_Flows!AC122+(Inputs!$D$42+Inputs!$D$43-$D21)*Portfolio_Flows!AC131+$D21*Portfolio_Flows!AC140</f>
        <v>10265.05935</v>
      </c>
      <c r="AD21" s="29" t="n">
        <f aca="false">Inputs!$D$39*Portfolio_Flows!AD104+Inputs!$D$40*Portfolio_Flows!AD113+Inputs!$D$41*Portfolio_Flows!AD122+(Inputs!$D$42+Inputs!$D$43-$D21)*Portfolio_Flows!AD131+$D21*Portfolio_Flows!AD140</f>
        <v>10344.7784416667</v>
      </c>
      <c r="AE21" s="29" t="n">
        <f aca="false">Inputs!$D$39*Portfolio_Flows!AE104+Inputs!$D$40*Portfolio_Flows!AE113+Inputs!$D$41*Portfolio_Flows!AE122+(Inputs!$D$42+Inputs!$D$43-$D21)*Portfolio_Flows!AE131+$D21*Portfolio_Flows!AE140</f>
        <v>10424.4975333333</v>
      </c>
      <c r="AF21" s="29" t="n">
        <f aca="false">Inputs!$D$39*Portfolio_Flows!AF104+Inputs!$D$40*Portfolio_Flows!AF113+Inputs!$D$41*Portfolio_Flows!AF122+(Inputs!$D$42+Inputs!$D$43-$D21)*Portfolio_Flows!AF131+$D21*Portfolio_Flows!AF140</f>
        <v>10504.216625</v>
      </c>
      <c r="AG21" s="29" t="n">
        <f aca="false">Inputs!$D$39*Portfolio_Flows!AG104+Inputs!$D$40*Portfolio_Flows!AG113+Inputs!$D$41*Portfolio_Flows!AG122+(Inputs!$D$42+Inputs!$D$43-$D21)*Portfolio_Flows!AG131+$D21*Portfolio_Flows!AG140</f>
        <v>10587.4511166667</v>
      </c>
      <c r="AH21" s="29" t="n">
        <f aca="false">Inputs!$D$39*Portfolio_Flows!AH104+Inputs!$D$40*Portfolio_Flows!AH113+Inputs!$D$41*Portfolio_Flows!AH122+(Inputs!$D$42+Inputs!$D$43-$D21)*Portfolio_Flows!AH131+$D21*Portfolio_Flows!AH140</f>
        <v>7622.33679166669</v>
      </c>
      <c r="AI21" s="29" t="n">
        <f aca="false">Inputs!$D$39*Portfolio_Flows!AI104+Inputs!$D$40*Portfolio_Flows!AI113+Inputs!$D$41*Portfolio_Flows!AI122+(Inputs!$D$42+Inputs!$D$43-$D21)*Portfolio_Flows!AI131+$D21*Portfolio_Flows!AI140</f>
        <v>7682.20849999997</v>
      </c>
      <c r="AJ21" s="29" t="n">
        <f aca="false">Inputs!$D$39*Portfolio_Flows!AJ104+Inputs!$D$40*Portfolio_Flows!AJ113+Inputs!$D$41*Portfolio_Flows!AJ122+(Inputs!$D$42+Inputs!$D$43-$D21)*Portfolio_Flows!AJ131+$D21*Portfolio_Flows!AJ140</f>
        <v>7742.08020833331</v>
      </c>
      <c r="AK21" s="29" t="n">
        <f aca="false">Inputs!$D$39*Portfolio_Flows!AK104+Inputs!$D$40*Portfolio_Flows!AK113+Inputs!$D$41*Portfolio_Flows!AK122+(Inputs!$D$42+Inputs!$D$43-$D21)*Portfolio_Flows!AK131+$D21*Portfolio_Flows!AK140</f>
        <v>7801.95191666669</v>
      </c>
      <c r="AL21" s="29" t="n">
        <f aca="false">Inputs!$D$39*Portfolio_Flows!AL104+Inputs!$D$40*Portfolio_Flows!AL113+Inputs!$D$41*Portfolio_Flows!AL122+(Inputs!$D$42+Inputs!$D$43-$D21)*Portfolio_Flows!AL131+$D21*Portfolio_Flows!AL140</f>
        <v>-15412.176375</v>
      </c>
      <c r="AM21" s="29" t="n">
        <f aca="false">Inputs!$D$39*Portfolio_Flows!AM104+Inputs!$D$40*Portfolio_Flows!AM113+Inputs!$D$41*Portfolio_Flows!AM122+(Inputs!$D$42+Inputs!$D$43-$D21)*Portfolio_Flows!AM131+$D21*Portfolio_Flows!AM140</f>
        <v>7921.69533333331</v>
      </c>
      <c r="AN21" s="29" t="n">
        <f aca="false">Inputs!$D$39*Portfolio_Flows!AN104+Inputs!$D$40*Portfolio_Flows!AN113+Inputs!$D$41*Portfolio_Flows!AN122+(Inputs!$D$42+Inputs!$D$43-$D21)*Portfolio_Flows!AN131+$D21*Portfolio_Flows!AN140</f>
        <v>0</v>
      </c>
      <c r="AO21" s="29" t="n">
        <f aca="false">Inputs!$D$39*Portfolio_Flows!AO104+Inputs!$D$40*Portfolio_Flows!AO113+Inputs!$D$41*Portfolio_Flows!AO122+(Inputs!$D$42+Inputs!$D$43-$D21)*Portfolio_Flows!AO131+$D21*Portfolio_Flows!AO140</f>
        <v>0</v>
      </c>
      <c r="AP21" s="29" t="n">
        <f aca="false">Inputs!$D$39*Portfolio_Flows!AP104+Inputs!$D$40*Portfolio_Flows!AP113+Inputs!$D$41*Portfolio_Flows!AP122+(Inputs!$D$42+Inputs!$D$43-$D21)*Portfolio_Flows!AP131+$D21*Portfolio_Flows!AP140</f>
        <v>32335.8765</v>
      </c>
      <c r="AQ21" s="29" t="n">
        <f aca="false">Inputs!$D$39*Portfolio_Flows!AQ104+Inputs!$D$40*Portfolio_Flows!AQ113+Inputs!$D$41*Portfolio_Flows!AQ122+(Inputs!$D$42+Inputs!$D$43-$D21)*Portfolio_Flows!AQ131+$D21*Portfolio_Flows!AQ140</f>
        <v>0</v>
      </c>
      <c r="AR21" s="29" t="n">
        <f aca="false">Inputs!$D$39*Portfolio_Flows!AR104+Inputs!$D$40*Portfolio_Flows!AR113+Inputs!$D$41*Portfolio_Flows!AR122+(Inputs!$D$42+Inputs!$D$43-$D21)*Portfolio_Flows!AR131+$D21*Portfolio_Flows!AR140</f>
        <v>0</v>
      </c>
      <c r="AS21" s="29" t="n">
        <f aca="false">Inputs!$D$39*Portfolio_Flows!AS104+Inputs!$D$40*Portfolio_Flows!AS113+Inputs!$D$41*Portfolio_Flows!AS122+(Inputs!$D$42+Inputs!$D$43-$D21)*Portfolio_Flows!AS131+$D21*Portfolio_Flows!AS140</f>
        <v>18465.1218</v>
      </c>
      <c r="AT21" s="29" t="n">
        <f aca="false">Inputs!$D$39*Portfolio_Flows!AT104+Inputs!$D$40*Portfolio_Flows!AT113+Inputs!$D$41*Portfolio_Flows!AT122+(Inputs!$D$42+Inputs!$D$43-$D21)*Portfolio_Flows!AT131+$D21*Portfolio_Flows!AT140</f>
        <v>0</v>
      </c>
      <c r="AU21" s="29" t="n">
        <f aca="false">Inputs!$D$39*Portfolio_Flows!AU104+Inputs!$D$40*Portfolio_Flows!AU113+Inputs!$D$41*Portfolio_Flows!AU122+(Inputs!$D$42+Inputs!$D$43-$D21)*Portfolio_Flows!AU131+$D21*Portfolio_Flows!AU140</f>
        <v>0</v>
      </c>
      <c r="AV21" s="29" t="n">
        <f aca="false">Inputs!$D$39*Portfolio_Flows!AV104+Inputs!$D$40*Portfolio_Flows!AV113+Inputs!$D$41*Portfolio_Flows!AV122+(Inputs!$D$42+Inputs!$D$43-$D21)*Portfolio_Flows!AV131+$D21*Portfolio_Flows!AV140</f>
        <v>0</v>
      </c>
      <c r="AW21" s="29" t="n">
        <f aca="false">Inputs!$D$39*Portfolio_Flows!AW104+Inputs!$D$40*Portfolio_Flows!AW113+Inputs!$D$41*Portfolio_Flows!AW122+(Inputs!$D$42+Inputs!$D$43-$D21)*Portfolio_Flows!AW131+$D21*Portfolio_Flows!AW140</f>
        <v>0</v>
      </c>
      <c r="AX21" s="29" t="n">
        <f aca="false">Inputs!$D$39*Portfolio_Flows!AX104+Inputs!$D$40*Portfolio_Flows!AX113+Inputs!$D$41*Portfolio_Flows!AX122+(Inputs!$D$42+Inputs!$D$43-$D21)*Portfolio_Flows!AX131+$D21*Portfolio_Flows!AX140</f>
        <v>5594.472</v>
      </c>
      <c r="AY21" s="29" t="n">
        <f aca="false">Inputs!$D$39*Portfolio_Flows!AY104+Inputs!$D$40*Portfolio_Flows!AY113+Inputs!$D$41*Portfolio_Flows!AY122+(Inputs!$D$42+Inputs!$D$43-$D21)*Portfolio_Flows!AY131+$D21*Portfolio_Flows!AY140</f>
        <v>0</v>
      </c>
    </row>
    <row r="22" customFormat="false" ht="15" hidden="false" customHeight="false" outlineLevel="0" collapsed="false">
      <c r="B22" s="9" t="s">
        <v>307</v>
      </c>
      <c r="C22" s="27" t="str">
        <f aca="false">Inputs!$B$58</f>
        <v>Mild downturn</v>
      </c>
      <c r="D22" s="12" t="n">
        <v>2</v>
      </c>
      <c r="E22" s="40" t="n">
        <f aca="false">IRR($N22:$AY22,0.005)</f>
        <v>0.00511589864695516</v>
      </c>
      <c r="F22" s="41" t="n">
        <f aca="false">(1+E22)^12-1</f>
        <v>0.0631479622774989</v>
      </c>
      <c r="G22" s="30" t="n">
        <f aca="false">-N22</f>
        <v>229300</v>
      </c>
      <c r="H22" s="30" t="n">
        <f aca="false">-SUMIF(O22:AY22,"&lt;0")</f>
        <v>98291.9810611111</v>
      </c>
      <c r="I22" s="30" t="n">
        <f aca="false">SUMIF($N22:$AY22,"&gt;0")</f>
        <v>346888.740302778</v>
      </c>
      <c r="J22" s="30" t="n">
        <f aca="false">I22-G22-H22</f>
        <v>19296.7592416666</v>
      </c>
      <c r="N22" s="29" t="n">
        <f aca="false">Inputs!$D$39*Portfolio_Flows!N149+Inputs!$D$40*Portfolio_Flows!N158+Inputs!$D$41*Portfolio_Flows!N167+(Inputs!$D$42+Inputs!$D$43-$D22)*Portfolio_Flows!N176+$D22*Portfolio_Flows!N185</f>
        <v>-229300</v>
      </c>
      <c r="O22" s="29" t="n">
        <f aca="false">Inputs!$D$39*Portfolio_Flows!O149+Inputs!$D$40*Portfolio_Flows!O158+Inputs!$D$41*Portfolio_Flows!O167+(Inputs!$D$42+Inputs!$D$43-$D22)*Portfolio_Flows!O176+$D22*Portfolio_Flows!O185</f>
        <v>0</v>
      </c>
      <c r="P22" s="29" t="n">
        <f aca="false">Inputs!$D$39*Portfolio_Flows!P149+Inputs!$D$40*Portfolio_Flows!P158+Inputs!$D$41*Portfolio_Flows!P167+(Inputs!$D$42+Inputs!$D$43-$D22)*Portfolio_Flows!P176+$D22*Portfolio_Flows!P185</f>
        <v>25264.638</v>
      </c>
      <c r="Q22" s="29" t="n">
        <f aca="false">Inputs!$D$39*Portfolio_Flows!Q149+Inputs!$D$40*Portfolio_Flows!Q158+Inputs!$D$41*Portfolio_Flows!Q167+(Inputs!$D$42+Inputs!$D$43-$D22)*Portfolio_Flows!Q176+$D22*Portfolio_Flows!Q185</f>
        <v>21053.865</v>
      </c>
      <c r="R22" s="29" t="n">
        <f aca="false">Inputs!$D$39*Portfolio_Flows!R149+Inputs!$D$40*Portfolio_Flows!R158+Inputs!$D$41*Portfolio_Flows!R167+(Inputs!$D$42+Inputs!$D$43-$D22)*Portfolio_Flows!R176+$D22*Portfolio_Flows!R185</f>
        <v>18948.4785</v>
      </c>
      <c r="S22" s="29" t="n">
        <f aca="false">Inputs!$D$39*Portfolio_Flows!S149+Inputs!$D$40*Portfolio_Flows!S158+Inputs!$D$41*Portfolio_Flows!S167+(Inputs!$D$42+Inputs!$D$43-$D22)*Portfolio_Flows!S176+$D22*Portfolio_Flows!S185</f>
        <v>14737.7055</v>
      </c>
      <c r="T22" s="29" t="n">
        <f aca="false">Inputs!$D$39*Portfolio_Flows!T149+Inputs!$D$40*Portfolio_Flows!T158+Inputs!$D$41*Portfolio_Flows!T167+(Inputs!$D$42+Inputs!$D$43-$D22)*Portfolio_Flows!T176+$D22*Portfolio_Flows!T185</f>
        <v>14742.5821666667</v>
      </c>
      <c r="U22" s="29" t="n">
        <f aca="false">Inputs!$D$39*Portfolio_Flows!U149+Inputs!$D$40*Portfolio_Flows!U158+Inputs!$D$41*Portfolio_Flows!U167+(Inputs!$D$42+Inputs!$D$43-$D22)*Portfolio_Flows!U176+$D22*Portfolio_Flows!U185</f>
        <v>14755.2615</v>
      </c>
      <c r="V22" s="29" t="n">
        <f aca="false">Inputs!$D$39*Portfolio_Flows!V149+Inputs!$D$40*Portfolio_Flows!V158+Inputs!$D$41*Portfolio_Flows!V167+(Inputs!$D$42+Inputs!$D$43-$D22)*Portfolio_Flows!V176+$D22*Portfolio_Flows!V185</f>
        <v>9146.43256944445</v>
      </c>
      <c r="W22" s="29" t="n">
        <f aca="false">Inputs!$D$39*Portfolio_Flows!W149+Inputs!$D$40*Portfolio_Flows!W158+Inputs!$D$41*Portfolio_Flows!W167+(Inputs!$D$42+Inputs!$D$43-$D22)*Portfolio_Flows!W176+$D22*Portfolio_Flows!W185</f>
        <v>9167.40355555556</v>
      </c>
      <c r="X22" s="29" t="n">
        <f aca="false">Inputs!$D$39*Portfolio_Flows!X149+Inputs!$D$40*Portfolio_Flows!X158+Inputs!$D$41*Portfolio_Flows!X167+(Inputs!$D$42+Inputs!$D$43-$D22)*Portfolio_Flows!X176+$D22*Portfolio_Flows!X185</f>
        <v>9194.55214166667</v>
      </c>
      <c r="Y22" s="29" t="n">
        <f aca="false">Inputs!$D$39*Portfolio_Flows!Y149+Inputs!$D$40*Portfolio_Flows!Y158+Inputs!$D$41*Portfolio_Flows!Y167+(Inputs!$D$42+Inputs!$D$43-$D22)*Portfolio_Flows!Y176+$D22*Portfolio_Flows!Y185</f>
        <v>7809.94713888888</v>
      </c>
      <c r="Z22" s="29" t="n">
        <f aca="false">Inputs!$D$39*Portfolio_Flows!Z149+Inputs!$D$40*Portfolio_Flows!Z158+Inputs!$D$41*Portfolio_Flows!Z167+(Inputs!$D$42+Inputs!$D$43-$D22)*Portfolio_Flows!Z176+$D22*Portfolio_Flows!Z185</f>
        <v>-66121.4313805555</v>
      </c>
      <c r="AA22" s="29" t="n">
        <f aca="false">Inputs!$D$39*Portfolio_Flows!AA149+Inputs!$D$40*Portfolio_Flows!AA158+Inputs!$D$41*Portfolio_Flows!AA167+(Inputs!$D$42+Inputs!$D$43-$D22)*Portfolio_Flows!AA176+$D22*Portfolio_Flows!AA185</f>
        <v>7869.83009999999</v>
      </c>
      <c r="AB22" s="29" t="n">
        <f aca="false">Inputs!$D$39*Portfolio_Flows!AB149+Inputs!$D$40*Portfolio_Flows!AB158+Inputs!$D$41*Portfolio_Flows!AB167+(Inputs!$D$42+Inputs!$D$43-$D22)*Portfolio_Flows!AB176+$D22*Portfolio_Flows!AB185</f>
        <v>9749.41825277777</v>
      </c>
      <c r="AC22" s="29" t="n">
        <f aca="false">Inputs!$D$39*Portfolio_Flows!AC149+Inputs!$D$40*Portfolio_Flows!AC158+Inputs!$D$41*Portfolio_Flows!AC167+(Inputs!$D$42+Inputs!$D$43-$D22)*Portfolio_Flows!AC176+$D22*Portfolio_Flows!AC185</f>
        <v>9838.25947222222</v>
      </c>
      <c r="AD22" s="29" t="n">
        <f aca="false">Inputs!$D$39*Portfolio_Flows!AD149+Inputs!$D$40*Portfolio_Flows!AD158+Inputs!$D$41*Portfolio_Flows!AD167+(Inputs!$D$42+Inputs!$D$43-$D22)*Portfolio_Flows!AD176+$D22*Portfolio_Flows!AD185</f>
        <v>9927.10069166671</v>
      </c>
      <c r="AE22" s="29" t="n">
        <f aca="false">Inputs!$D$39*Portfolio_Flows!AE149+Inputs!$D$40*Portfolio_Flows!AE158+Inputs!$D$41*Portfolio_Flows!AE167+(Inputs!$D$42+Inputs!$D$43-$D22)*Portfolio_Flows!AE176+$D22*Portfolio_Flows!AE185</f>
        <v>10015.9419111111</v>
      </c>
      <c r="AF22" s="29" t="n">
        <f aca="false">Inputs!$D$39*Portfolio_Flows!AF149+Inputs!$D$40*Portfolio_Flows!AF158+Inputs!$D$41*Portfolio_Flows!AF167+(Inputs!$D$42+Inputs!$D$43-$D22)*Portfolio_Flows!AF176+$D22*Portfolio_Flows!AF185</f>
        <v>10104.7831305555</v>
      </c>
      <c r="AG22" s="29" t="n">
        <f aca="false">Inputs!$D$39*Portfolio_Flows!AG149+Inputs!$D$40*Portfolio_Flows!AG158+Inputs!$D$41*Portfolio_Flows!AG167+(Inputs!$D$42+Inputs!$D$43-$D22)*Portfolio_Flows!AG176+$D22*Portfolio_Flows!AG185</f>
        <v>10193.62435</v>
      </c>
      <c r="AH22" s="29" t="n">
        <f aca="false">Inputs!$D$39*Portfolio_Flows!AH149+Inputs!$D$40*Portfolio_Flows!AH158+Inputs!$D$41*Portfolio_Flows!AH167+(Inputs!$D$42+Inputs!$D$43-$D22)*Portfolio_Flows!AH176+$D22*Portfolio_Flows!AH185</f>
        <v>7344.61826388891</v>
      </c>
      <c r="AI22" s="29" t="n">
        <f aca="false">Inputs!$D$39*Portfolio_Flows!AI149+Inputs!$D$40*Portfolio_Flows!AI158+Inputs!$D$41*Portfolio_Flows!AI167+(Inputs!$D$42+Inputs!$D$43-$D22)*Portfolio_Flows!AI176+$D22*Portfolio_Flows!AI185</f>
        <v>7408.07627777775</v>
      </c>
      <c r="AJ22" s="29" t="n">
        <f aca="false">Inputs!$D$39*Portfolio_Flows!AJ149+Inputs!$D$40*Portfolio_Flows!AJ158+Inputs!$D$41*Portfolio_Flows!AJ167+(Inputs!$D$42+Inputs!$D$43-$D22)*Portfolio_Flows!AJ176+$D22*Portfolio_Flows!AJ185</f>
        <v>7471.53429166664</v>
      </c>
      <c r="AK22" s="29" t="n">
        <f aca="false">Inputs!$D$39*Portfolio_Flows!AK149+Inputs!$D$40*Portfolio_Flows!AK158+Inputs!$D$41*Portfolio_Flows!AK167+(Inputs!$D$42+Inputs!$D$43-$D22)*Portfolio_Flows!AK176+$D22*Portfolio_Flows!AK185</f>
        <v>7534.99230555558</v>
      </c>
      <c r="AL22" s="29" t="n">
        <f aca="false">Inputs!$D$39*Portfolio_Flows!AL149+Inputs!$D$40*Portfolio_Flows!AL158+Inputs!$D$41*Portfolio_Flows!AL167+(Inputs!$D$42+Inputs!$D$43-$D22)*Portfolio_Flows!AL176+$D22*Portfolio_Flows!AL185</f>
        <v>-32170.5496805555</v>
      </c>
      <c r="AM22" s="29" t="n">
        <f aca="false">Inputs!$D$39*Portfolio_Flows!AM149+Inputs!$D$40*Portfolio_Flows!AM158+Inputs!$D$41*Portfolio_Flows!AM167+(Inputs!$D$42+Inputs!$D$43-$D22)*Portfolio_Flows!AM176+$D22*Portfolio_Flows!AM185</f>
        <v>7661.90833333331</v>
      </c>
      <c r="AN22" s="29" t="n">
        <f aca="false">Inputs!$D$39*Portfolio_Flows!AN149+Inputs!$D$40*Portfolio_Flows!AN158+Inputs!$D$41*Portfolio_Flows!AN167+(Inputs!$D$42+Inputs!$D$43-$D22)*Portfolio_Flows!AN176+$D22*Portfolio_Flows!AN185</f>
        <v>0</v>
      </c>
      <c r="AO22" s="29" t="n">
        <f aca="false">Inputs!$D$39*Portfolio_Flows!AO149+Inputs!$D$40*Portfolio_Flows!AO158+Inputs!$D$41*Portfolio_Flows!AO167+(Inputs!$D$42+Inputs!$D$43-$D22)*Portfolio_Flows!AO176+$D22*Portfolio_Flows!AO185</f>
        <v>0</v>
      </c>
      <c r="AP22" s="29" t="n">
        <f aca="false">Inputs!$D$39*Portfolio_Flows!AP149+Inputs!$D$40*Portfolio_Flows!AP158+Inputs!$D$41*Portfolio_Flows!AP167+(Inputs!$D$42+Inputs!$D$43-$D22)*Portfolio_Flows!AP176+$D22*Portfolio_Flows!AP185</f>
        <v>61740.2175</v>
      </c>
      <c r="AQ22" s="29" t="n">
        <f aca="false">Inputs!$D$39*Portfolio_Flows!AQ149+Inputs!$D$40*Portfolio_Flows!AQ158+Inputs!$D$41*Portfolio_Flows!AQ167+(Inputs!$D$42+Inputs!$D$43-$D22)*Portfolio_Flows!AQ176+$D22*Portfolio_Flows!AQ185</f>
        <v>0</v>
      </c>
      <c r="AR22" s="29" t="n">
        <f aca="false">Inputs!$D$39*Portfolio_Flows!AR149+Inputs!$D$40*Portfolio_Flows!AR158+Inputs!$D$41*Portfolio_Flows!AR167+(Inputs!$D$42+Inputs!$D$43-$D22)*Portfolio_Flows!AR176+$D22*Portfolio_Flows!AR185</f>
        <v>0</v>
      </c>
      <c r="AS22" s="29" t="n">
        <f aca="false">Inputs!$D$39*Portfolio_Flows!AS149+Inputs!$D$40*Portfolio_Flows!AS158+Inputs!$D$41*Portfolio_Flows!AS167+(Inputs!$D$42+Inputs!$D$43-$D22)*Portfolio_Flows!AS176+$D22*Portfolio_Flows!AS185</f>
        <v>23368.23135</v>
      </c>
      <c r="AT22" s="29" t="n">
        <f aca="false">Inputs!$D$39*Portfolio_Flows!AT149+Inputs!$D$40*Portfolio_Flows!AT158+Inputs!$D$41*Portfolio_Flows!AT167+(Inputs!$D$42+Inputs!$D$43-$D22)*Portfolio_Flows!AT176+$D22*Portfolio_Flows!AT185</f>
        <v>0</v>
      </c>
      <c r="AU22" s="29" t="n">
        <f aca="false">Inputs!$D$39*Portfolio_Flows!AU149+Inputs!$D$40*Portfolio_Flows!AU158+Inputs!$D$41*Portfolio_Flows!AU167+(Inputs!$D$42+Inputs!$D$43-$D22)*Portfolio_Flows!AU176+$D22*Portfolio_Flows!AU185</f>
        <v>0</v>
      </c>
      <c r="AV22" s="29" t="n">
        <f aca="false">Inputs!$D$39*Portfolio_Flows!AV149+Inputs!$D$40*Portfolio_Flows!AV158+Inputs!$D$41*Portfolio_Flows!AV167+(Inputs!$D$42+Inputs!$D$43-$D22)*Portfolio_Flows!AV176+$D22*Portfolio_Flows!AV185</f>
        <v>0</v>
      </c>
      <c r="AW22" s="29" t="n">
        <f aca="false">Inputs!$D$39*Portfolio_Flows!AW149+Inputs!$D$40*Portfolio_Flows!AW158+Inputs!$D$41*Portfolio_Flows!AW167+(Inputs!$D$42+Inputs!$D$43-$D22)*Portfolio_Flows!AW176+$D22*Portfolio_Flows!AW185</f>
        <v>0</v>
      </c>
      <c r="AX22" s="29" t="n">
        <f aca="false">Inputs!$D$39*Portfolio_Flows!AX149+Inputs!$D$40*Portfolio_Flows!AX158+Inputs!$D$41*Portfolio_Flows!AX167+(Inputs!$D$42+Inputs!$D$43-$D22)*Portfolio_Flows!AX176+$D22*Portfolio_Flows!AX185</f>
        <v>11839.338</v>
      </c>
      <c r="AY22" s="29" t="n">
        <f aca="false">Inputs!$D$39*Portfolio_Flows!AY149+Inputs!$D$40*Portfolio_Flows!AY158+Inputs!$D$41*Portfolio_Flows!AY167+(Inputs!$D$42+Inputs!$D$43-$D22)*Portfolio_Flows!AY176+$D22*Portfolio_Flows!AY185</f>
        <v>0</v>
      </c>
    </row>
    <row r="23" customFormat="false" ht="15" hidden="false" customHeight="false" outlineLevel="0" collapsed="false">
      <c r="B23" s="9" t="s">
        <v>308</v>
      </c>
      <c r="C23" s="27" t="str">
        <f aca="false">Inputs!$B$58</f>
        <v>Mild downturn</v>
      </c>
      <c r="D23" s="12" t="n">
        <v>4</v>
      </c>
      <c r="E23" s="40" t="n">
        <f aca="false">IRR($N23:$AY23,0.005)</f>
        <v>0.00461073759499299</v>
      </c>
      <c r="F23" s="41" t="n">
        <f aca="false">(1+E23)^12-1</f>
        <v>0.0567537282143991</v>
      </c>
      <c r="G23" s="30" t="n">
        <f aca="false">-N23</f>
        <v>229300</v>
      </c>
      <c r="H23" s="30" t="n">
        <f aca="false">-SUMIF(O23:AY23,"&lt;0")</f>
        <v>95341.7561722222</v>
      </c>
      <c r="I23" s="30" t="n">
        <f aca="false">SUMIF($N23:$AY23,"&gt;0")</f>
        <v>341872.274080556</v>
      </c>
      <c r="J23" s="30" t="n">
        <f aca="false">I23-G23-H23</f>
        <v>17230.5179083334</v>
      </c>
      <c r="N23" s="29" t="n">
        <f aca="false">Inputs!$D$39*Portfolio_Flows!N149+Inputs!$D$40*Portfolio_Flows!N158+Inputs!$D$41*Portfolio_Flows!N167+(Inputs!$D$42+Inputs!$D$43-$D23)*Portfolio_Flows!N176+$D23*Portfolio_Flows!N185</f>
        <v>-229300</v>
      </c>
      <c r="O23" s="29" t="n">
        <f aca="false">Inputs!$D$39*Portfolio_Flows!O149+Inputs!$D$40*Portfolio_Flows!O158+Inputs!$D$41*Portfolio_Flows!O167+(Inputs!$D$42+Inputs!$D$43-$D23)*Portfolio_Flows!O176+$D23*Portfolio_Flows!O185</f>
        <v>0</v>
      </c>
      <c r="P23" s="29" t="n">
        <f aca="false">Inputs!$D$39*Portfolio_Flows!P149+Inputs!$D$40*Portfolio_Flows!P158+Inputs!$D$41*Portfolio_Flows!P167+(Inputs!$D$42+Inputs!$D$43-$D23)*Portfolio_Flows!P176+$D23*Portfolio_Flows!P185</f>
        <v>25103.358</v>
      </c>
      <c r="Q23" s="29" t="n">
        <f aca="false">Inputs!$D$39*Portfolio_Flows!Q149+Inputs!$D$40*Portfolio_Flows!Q158+Inputs!$D$41*Portfolio_Flows!Q167+(Inputs!$D$42+Inputs!$D$43-$D23)*Portfolio_Flows!Q176+$D23*Portfolio_Flows!Q185</f>
        <v>20919.465</v>
      </c>
      <c r="R23" s="29" t="n">
        <f aca="false">Inputs!$D$39*Portfolio_Flows!R149+Inputs!$D$40*Portfolio_Flows!R158+Inputs!$D$41*Portfolio_Flows!R167+(Inputs!$D$42+Inputs!$D$43-$D23)*Portfolio_Flows!R176+$D23*Portfolio_Flows!R185</f>
        <v>18827.5185</v>
      </c>
      <c r="S23" s="29" t="n">
        <f aca="false">Inputs!$D$39*Portfolio_Flows!S149+Inputs!$D$40*Portfolio_Flows!S158+Inputs!$D$41*Portfolio_Flows!S167+(Inputs!$D$42+Inputs!$D$43-$D23)*Portfolio_Flows!S176+$D23*Portfolio_Flows!S185</f>
        <v>14643.6255</v>
      </c>
      <c r="T23" s="29" t="n">
        <f aca="false">Inputs!$D$39*Portfolio_Flows!T149+Inputs!$D$40*Portfolio_Flows!T158+Inputs!$D$41*Portfolio_Flows!T167+(Inputs!$D$42+Inputs!$D$43-$D23)*Portfolio_Flows!T176+$D23*Portfolio_Flows!T185</f>
        <v>14648.1288333333</v>
      </c>
      <c r="U23" s="29" t="n">
        <f aca="false">Inputs!$D$39*Portfolio_Flows!U149+Inputs!$D$40*Portfolio_Flows!U158+Inputs!$D$41*Portfolio_Flows!U167+(Inputs!$D$42+Inputs!$D$43-$D23)*Portfolio_Flows!U176+$D23*Portfolio_Flows!U185</f>
        <v>14659.8375</v>
      </c>
      <c r="V23" s="29" t="n">
        <f aca="false">Inputs!$D$39*Portfolio_Flows!V149+Inputs!$D$40*Portfolio_Flows!V158+Inputs!$D$41*Portfolio_Flows!V167+(Inputs!$D$42+Inputs!$D$43-$D23)*Portfolio_Flows!V176+$D23*Portfolio_Flows!V185</f>
        <v>9086.75968055556</v>
      </c>
      <c r="W23" s="29" t="n">
        <f aca="false">Inputs!$D$39*Portfolio_Flows!W149+Inputs!$D$40*Portfolio_Flows!W158+Inputs!$D$41*Portfolio_Flows!W167+(Inputs!$D$42+Inputs!$D$43-$D23)*Portfolio_Flows!W176+$D23*Portfolio_Flows!W185</f>
        <v>9107.12977777778</v>
      </c>
      <c r="X23" s="29" t="n">
        <f aca="false">Inputs!$D$39*Portfolio_Flows!X149+Inputs!$D$40*Portfolio_Flows!X158+Inputs!$D$41*Portfolio_Flows!X167+(Inputs!$D$42+Inputs!$D$43-$D23)*Portfolio_Flows!X176+$D23*Portfolio_Flows!X185</f>
        <v>9133.677475</v>
      </c>
      <c r="Y23" s="29" t="n">
        <f aca="false">Inputs!$D$39*Portfolio_Flows!Y149+Inputs!$D$40*Portfolio_Flows!Y158+Inputs!$D$41*Portfolio_Flows!Y167+(Inputs!$D$42+Inputs!$D$43-$D23)*Portfolio_Flows!Y176+$D23*Portfolio_Flows!Y185</f>
        <v>7757.9293611111</v>
      </c>
      <c r="Z23" s="29" t="n">
        <f aca="false">Inputs!$D$39*Portfolio_Flows!Z149+Inputs!$D$40*Portfolio_Flows!Z158+Inputs!$D$41*Portfolio_Flows!Z167+(Inputs!$D$42+Inputs!$D$43-$D23)*Portfolio_Flows!Z176+$D23*Portfolio_Flows!Z185</f>
        <v>-64797.9576027778</v>
      </c>
      <c r="AA23" s="29" t="n">
        <f aca="false">Inputs!$D$39*Portfolio_Flows!AA149+Inputs!$D$40*Portfolio_Flows!AA158+Inputs!$D$41*Portfolio_Flows!AA167+(Inputs!$D$42+Inputs!$D$43-$D23)*Portfolio_Flows!AA176+$D23*Portfolio_Flows!AA185</f>
        <v>7816.79543333333</v>
      </c>
      <c r="AB23" s="29" t="n">
        <f aca="false">Inputs!$D$39*Portfolio_Flows!AB149+Inputs!$D$40*Portfolio_Flows!AB158+Inputs!$D$41*Portfolio_Flows!AB167+(Inputs!$D$42+Inputs!$D$43-$D23)*Portfolio_Flows!AB176+$D23*Portfolio_Flows!AB185</f>
        <v>9658.50536388888</v>
      </c>
      <c r="AC23" s="29" t="n">
        <f aca="false">Inputs!$D$39*Portfolio_Flows!AC149+Inputs!$D$40*Portfolio_Flows!AC158+Inputs!$D$41*Portfolio_Flows!AC167+(Inputs!$D$42+Inputs!$D$43-$D23)*Portfolio_Flows!AC176+$D23*Portfolio_Flows!AC185</f>
        <v>9746.18302777777</v>
      </c>
      <c r="AD23" s="29" t="n">
        <f aca="false">Inputs!$D$39*Portfolio_Flows!AD149+Inputs!$D$40*Portfolio_Flows!AD158+Inputs!$D$41*Portfolio_Flows!AD167+(Inputs!$D$42+Inputs!$D$43-$D23)*Portfolio_Flows!AD176+$D23*Portfolio_Flows!AD185</f>
        <v>9833.86069166671</v>
      </c>
      <c r="AE23" s="29" t="n">
        <f aca="false">Inputs!$D$39*Portfolio_Flows!AE149+Inputs!$D$40*Portfolio_Flows!AE158+Inputs!$D$41*Portfolio_Flows!AE167+(Inputs!$D$42+Inputs!$D$43-$D23)*Portfolio_Flows!AE176+$D23*Portfolio_Flows!AE185</f>
        <v>9921.53835555555</v>
      </c>
      <c r="AF23" s="29" t="n">
        <f aca="false">Inputs!$D$39*Portfolio_Flows!AF149+Inputs!$D$40*Portfolio_Flows!AF158+Inputs!$D$41*Portfolio_Flows!AF167+(Inputs!$D$42+Inputs!$D$43-$D23)*Portfolio_Flows!AF176+$D23*Portfolio_Flows!AF185</f>
        <v>10009.2160194444</v>
      </c>
      <c r="AG23" s="29" t="n">
        <f aca="false">Inputs!$D$39*Portfolio_Flows!AG149+Inputs!$D$40*Portfolio_Flows!AG158+Inputs!$D$41*Portfolio_Flows!AG167+(Inputs!$D$42+Inputs!$D$43-$D23)*Portfolio_Flows!AG176+$D23*Portfolio_Flows!AG185</f>
        <v>10096.8936833333</v>
      </c>
      <c r="AH23" s="29" t="n">
        <f aca="false">Inputs!$D$39*Portfolio_Flows!AH149+Inputs!$D$40*Portfolio_Flows!AH158+Inputs!$D$41*Portfolio_Flows!AH167+(Inputs!$D$42+Inputs!$D$43-$D23)*Portfolio_Flows!AH176+$D23*Portfolio_Flows!AH185</f>
        <v>7274.69381944447</v>
      </c>
      <c r="AI23" s="29" t="n">
        <f aca="false">Inputs!$D$39*Portfolio_Flows!AI149+Inputs!$D$40*Portfolio_Flows!AI158+Inputs!$D$41*Portfolio_Flows!AI167+(Inputs!$D$42+Inputs!$D$43-$D23)*Portfolio_Flows!AI176+$D23*Portfolio_Flows!AI185</f>
        <v>7337.3207222222</v>
      </c>
      <c r="AJ23" s="29" t="n">
        <f aca="false">Inputs!$D$39*Portfolio_Flows!AJ149+Inputs!$D$40*Portfolio_Flows!AJ158+Inputs!$D$41*Portfolio_Flows!AJ167+(Inputs!$D$42+Inputs!$D$43-$D23)*Portfolio_Flows!AJ176+$D23*Portfolio_Flows!AJ185</f>
        <v>7399.94762499997</v>
      </c>
      <c r="AK23" s="29" t="n">
        <f aca="false">Inputs!$D$39*Portfolio_Flows!AK149+Inputs!$D$40*Portfolio_Flows!AK158+Inputs!$D$41*Portfolio_Flows!AK167+(Inputs!$D$42+Inputs!$D$43-$D23)*Portfolio_Flows!AK176+$D23*Portfolio_Flows!AK185</f>
        <v>7462.5745277778</v>
      </c>
      <c r="AL23" s="29" t="n">
        <f aca="false">Inputs!$D$39*Portfolio_Flows!AL149+Inputs!$D$40*Portfolio_Flows!AL158+Inputs!$D$41*Portfolio_Flows!AL167+(Inputs!$D$42+Inputs!$D$43-$D23)*Portfolio_Flows!AL176+$D23*Portfolio_Flows!AL185</f>
        <v>-30543.7985694444</v>
      </c>
      <c r="AM23" s="29" t="n">
        <f aca="false">Inputs!$D$39*Portfolio_Flows!AM149+Inputs!$D$40*Portfolio_Flows!AM158+Inputs!$D$41*Portfolio_Flows!AM167+(Inputs!$D$42+Inputs!$D$43-$D23)*Portfolio_Flows!AM176+$D23*Portfolio_Flows!AM185</f>
        <v>7587.82833333331</v>
      </c>
      <c r="AN23" s="29" t="n">
        <f aca="false">Inputs!$D$39*Portfolio_Flows!AN149+Inputs!$D$40*Portfolio_Flows!AN158+Inputs!$D$41*Portfolio_Flows!AN167+(Inputs!$D$42+Inputs!$D$43-$D23)*Portfolio_Flows!AN176+$D23*Portfolio_Flows!AN185</f>
        <v>0</v>
      </c>
      <c r="AO23" s="29" t="n">
        <f aca="false">Inputs!$D$39*Portfolio_Flows!AO149+Inputs!$D$40*Portfolio_Flows!AO158+Inputs!$D$41*Portfolio_Flows!AO167+(Inputs!$D$42+Inputs!$D$43-$D23)*Portfolio_Flows!AO176+$D23*Portfolio_Flows!AO185</f>
        <v>0</v>
      </c>
      <c r="AP23" s="29" t="n">
        <f aca="false">Inputs!$D$39*Portfolio_Flows!AP149+Inputs!$D$40*Portfolio_Flows!AP158+Inputs!$D$41*Portfolio_Flows!AP167+(Inputs!$D$42+Inputs!$D$43-$D23)*Portfolio_Flows!AP176+$D23*Portfolio_Flows!AP185</f>
        <v>60240.2175</v>
      </c>
      <c r="AQ23" s="29" t="n">
        <f aca="false">Inputs!$D$39*Portfolio_Flows!AQ149+Inputs!$D$40*Portfolio_Flows!AQ158+Inputs!$D$41*Portfolio_Flows!AQ167+(Inputs!$D$42+Inputs!$D$43-$D23)*Portfolio_Flows!AQ176+$D23*Portfolio_Flows!AQ185</f>
        <v>0</v>
      </c>
      <c r="AR23" s="29" t="n">
        <f aca="false">Inputs!$D$39*Portfolio_Flows!AR149+Inputs!$D$40*Portfolio_Flows!AR158+Inputs!$D$41*Portfolio_Flows!AR167+(Inputs!$D$42+Inputs!$D$43-$D23)*Portfolio_Flows!AR176+$D23*Portfolio_Flows!AR185</f>
        <v>0</v>
      </c>
      <c r="AS23" s="29" t="n">
        <f aca="false">Inputs!$D$39*Portfolio_Flows!AS149+Inputs!$D$40*Portfolio_Flows!AS158+Inputs!$D$41*Portfolio_Flows!AS167+(Inputs!$D$42+Inputs!$D$43-$D23)*Portfolio_Flows!AS176+$D23*Portfolio_Flows!AS185</f>
        <v>22502.43135</v>
      </c>
      <c r="AT23" s="29" t="n">
        <f aca="false">Inputs!$D$39*Portfolio_Flows!AT149+Inputs!$D$40*Portfolio_Flows!AT158+Inputs!$D$41*Portfolio_Flows!AT167+(Inputs!$D$42+Inputs!$D$43-$D23)*Portfolio_Flows!AT176+$D23*Portfolio_Flows!AT185</f>
        <v>0</v>
      </c>
      <c r="AU23" s="29" t="n">
        <f aca="false">Inputs!$D$39*Portfolio_Flows!AU149+Inputs!$D$40*Portfolio_Flows!AU158+Inputs!$D$41*Portfolio_Flows!AU167+(Inputs!$D$42+Inputs!$D$43-$D23)*Portfolio_Flows!AU176+$D23*Portfolio_Flows!AU185</f>
        <v>0</v>
      </c>
      <c r="AV23" s="29" t="n">
        <f aca="false">Inputs!$D$39*Portfolio_Flows!AV149+Inputs!$D$40*Portfolio_Flows!AV158+Inputs!$D$41*Portfolio_Flows!AV167+(Inputs!$D$42+Inputs!$D$43-$D23)*Portfolio_Flows!AV176+$D23*Portfolio_Flows!AV185</f>
        <v>0</v>
      </c>
      <c r="AW23" s="29" t="n">
        <f aca="false">Inputs!$D$39*Portfolio_Flows!AW149+Inputs!$D$40*Portfolio_Flows!AW158+Inputs!$D$41*Portfolio_Flows!AW167+(Inputs!$D$42+Inputs!$D$43-$D23)*Portfolio_Flows!AW176+$D23*Portfolio_Flows!AW185</f>
        <v>0</v>
      </c>
      <c r="AX23" s="29" t="n">
        <f aca="false">Inputs!$D$39*Portfolio_Flows!AX149+Inputs!$D$40*Portfolio_Flows!AX158+Inputs!$D$41*Portfolio_Flows!AX167+(Inputs!$D$42+Inputs!$D$43-$D23)*Portfolio_Flows!AX176+$D23*Portfolio_Flows!AX185</f>
        <v>11096.838</v>
      </c>
      <c r="AY23" s="29" t="n">
        <f aca="false">Inputs!$D$39*Portfolio_Flows!AY149+Inputs!$D$40*Portfolio_Flows!AY158+Inputs!$D$41*Portfolio_Flows!AY167+(Inputs!$D$42+Inputs!$D$43-$D23)*Portfolio_Flows!AY176+$D23*Portfolio_Flows!AY185</f>
        <v>0</v>
      </c>
    </row>
    <row r="24" customFormat="false" ht="15" hidden="false" customHeight="false" outlineLevel="0" collapsed="false">
      <c r="B24" s="9" t="s">
        <v>309</v>
      </c>
      <c r="C24" s="27" t="str">
        <f aca="false">Inputs!$B$58</f>
        <v>Mild downturn</v>
      </c>
      <c r="D24" s="12" t="n">
        <v>6</v>
      </c>
      <c r="E24" s="40" t="n">
        <f aca="false">IRR($N24:$AY24,0.005)</f>
        <v>0.00409648540670757</v>
      </c>
      <c r="F24" s="41" t="n">
        <f aca="false">(1+E24)^12-1</f>
        <v>0.0502806475724755</v>
      </c>
      <c r="G24" s="30" t="n">
        <f aca="false">-N24</f>
        <v>229300</v>
      </c>
      <c r="H24" s="30" t="n">
        <f aca="false">-SUMIF(O24:AY24,"&lt;0")</f>
        <v>92391.5312833333</v>
      </c>
      <c r="I24" s="30" t="n">
        <f aca="false">SUMIF($N24:$AY24,"&gt;0")</f>
        <v>336855.807858333</v>
      </c>
      <c r="J24" s="30" t="n">
        <f aca="false">I24-G24-H24</f>
        <v>15164.276575</v>
      </c>
      <c r="N24" s="29" t="n">
        <f aca="false">Inputs!$D$39*Portfolio_Flows!N149+Inputs!$D$40*Portfolio_Flows!N158+Inputs!$D$41*Portfolio_Flows!N167+(Inputs!$D$42+Inputs!$D$43-$D24)*Portfolio_Flows!N176+$D24*Portfolio_Flows!N185</f>
        <v>-229300</v>
      </c>
      <c r="O24" s="29" t="n">
        <f aca="false">Inputs!$D$39*Portfolio_Flows!O149+Inputs!$D$40*Portfolio_Flows!O158+Inputs!$D$41*Portfolio_Flows!O167+(Inputs!$D$42+Inputs!$D$43-$D24)*Portfolio_Flows!O176+$D24*Portfolio_Flows!O185</f>
        <v>0</v>
      </c>
      <c r="P24" s="29" t="n">
        <f aca="false">Inputs!$D$39*Portfolio_Flows!P149+Inputs!$D$40*Portfolio_Flows!P158+Inputs!$D$41*Portfolio_Flows!P167+(Inputs!$D$42+Inputs!$D$43-$D24)*Portfolio_Flows!P176+$D24*Portfolio_Flows!P185</f>
        <v>24942.078</v>
      </c>
      <c r="Q24" s="29" t="n">
        <f aca="false">Inputs!$D$39*Portfolio_Flows!Q149+Inputs!$D$40*Portfolio_Flows!Q158+Inputs!$D$41*Portfolio_Flows!Q167+(Inputs!$D$42+Inputs!$D$43-$D24)*Portfolio_Flows!Q176+$D24*Portfolio_Flows!Q185</f>
        <v>20785.065</v>
      </c>
      <c r="R24" s="29" t="n">
        <f aca="false">Inputs!$D$39*Portfolio_Flows!R149+Inputs!$D$40*Portfolio_Flows!R158+Inputs!$D$41*Portfolio_Flows!R167+(Inputs!$D$42+Inputs!$D$43-$D24)*Portfolio_Flows!R176+$D24*Portfolio_Flows!R185</f>
        <v>18706.5585</v>
      </c>
      <c r="S24" s="29" t="n">
        <f aca="false">Inputs!$D$39*Portfolio_Flows!S149+Inputs!$D$40*Portfolio_Flows!S158+Inputs!$D$41*Portfolio_Flows!S167+(Inputs!$D$42+Inputs!$D$43-$D24)*Portfolio_Flows!S176+$D24*Portfolio_Flows!S185</f>
        <v>14549.5455</v>
      </c>
      <c r="T24" s="29" t="n">
        <f aca="false">Inputs!$D$39*Portfolio_Flows!T149+Inputs!$D$40*Portfolio_Flows!T158+Inputs!$D$41*Portfolio_Flows!T167+(Inputs!$D$42+Inputs!$D$43-$D24)*Portfolio_Flows!T176+$D24*Portfolio_Flows!T185</f>
        <v>14553.6755</v>
      </c>
      <c r="U24" s="29" t="n">
        <f aca="false">Inputs!$D$39*Portfolio_Flows!U149+Inputs!$D$40*Portfolio_Flows!U158+Inputs!$D$41*Portfolio_Flows!U167+(Inputs!$D$42+Inputs!$D$43-$D24)*Portfolio_Flows!U176+$D24*Portfolio_Flows!U185</f>
        <v>14564.4135</v>
      </c>
      <c r="V24" s="29" t="n">
        <f aca="false">Inputs!$D$39*Portfolio_Flows!V149+Inputs!$D$40*Portfolio_Flows!V158+Inputs!$D$41*Portfolio_Flows!V167+(Inputs!$D$42+Inputs!$D$43-$D24)*Portfolio_Flows!V176+$D24*Portfolio_Flows!V185</f>
        <v>9027.08679166667</v>
      </c>
      <c r="W24" s="29" t="n">
        <f aca="false">Inputs!$D$39*Portfolio_Flows!W149+Inputs!$D$40*Portfolio_Flows!W158+Inputs!$D$41*Portfolio_Flows!W167+(Inputs!$D$42+Inputs!$D$43-$D24)*Portfolio_Flows!W176+$D24*Portfolio_Flows!W185</f>
        <v>9046.856</v>
      </c>
      <c r="X24" s="29" t="n">
        <f aca="false">Inputs!$D$39*Portfolio_Flows!X149+Inputs!$D$40*Portfolio_Flows!X158+Inputs!$D$41*Portfolio_Flows!X167+(Inputs!$D$42+Inputs!$D$43-$D24)*Portfolio_Flows!X176+$D24*Portfolio_Flows!X185</f>
        <v>9072.80280833333</v>
      </c>
      <c r="Y24" s="29" t="n">
        <f aca="false">Inputs!$D$39*Portfolio_Flows!Y149+Inputs!$D$40*Portfolio_Flows!Y158+Inputs!$D$41*Portfolio_Flows!Y167+(Inputs!$D$42+Inputs!$D$43-$D24)*Portfolio_Flows!Y176+$D24*Portfolio_Flows!Y185</f>
        <v>7705.91158333332</v>
      </c>
      <c r="Z24" s="29" t="n">
        <f aca="false">Inputs!$D$39*Portfolio_Flows!Z149+Inputs!$D$40*Portfolio_Flows!Z158+Inputs!$D$41*Portfolio_Flows!Z167+(Inputs!$D$42+Inputs!$D$43-$D24)*Portfolio_Flows!Z176+$D24*Portfolio_Flows!Z185</f>
        <v>-63474.483825</v>
      </c>
      <c r="AA24" s="29" t="n">
        <f aca="false">Inputs!$D$39*Portfolio_Flows!AA149+Inputs!$D$40*Portfolio_Flows!AA158+Inputs!$D$41*Portfolio_Flows!AA167+(Inputs!$D$42+Inputs!$D$43-$D24)*Portfolio_Flows!AA176+$D24*Portfolio_Flows!AA185</f>
        <v>7763.76076666666</v>
      </c>
      <c r="AB24" s="29" t="n">
        <f aca="false">Inputs!$D$39*Portfolio_Flows!AB149+Inputs!$D$40*Portfolio_Flows!AB158+Inputs!$D$41*Portfolio_Flows!AB167+(Inputs!$D$42+Inputs!$D$43-$D24)*Portfolio_Flows!AB176+$D24*Portfolio_Flows!AB185</f>
        <v>9567.592475</v>
      </c>
      <c r="AC24" s="29" t="n">
        <f aca="false">Inputs!$D$39*Portfolio_Flows!AC149+Inputs!$D$40*Portfolio_Flows!AC158+Inputs!$D$41*Portfolio_Flows!AC167+(Inputs!$D$42+Inputs!$D$43-$D24)*Portfolio_Flows!AC176+$D24*Portfolio_Flows!AC185</f>
        <v>9654.10658333333</v>
      </c>
      <c r="AD24" s="29" t="n">
        <f aca="false">Inputs!$D$39*Portfolio_Flows!AD149+Inputs!$D$40*Portfolio_Flows!AD158+Inputs!$D$41*Portfolio_Flows!AD167+(Inputs!$D$42+Inputs!$D$43-$D24)*Portfolio_Flows!AD176+$D24*Portfolio_Flows!AD185</f>
        <v>9740.62069166671</v>
      </c>
      <c r="AE24" s="29" t="n">
        <f aca="false">Inputs!$D$39*Portfolio_Flows!AE149+Inputs!$D$40*Portfolio_Flows!AE158+Inputs!$D$41*Portfolio_Flows!AE167+(Inputs!$D$42+Inputs!$D$43-$D24)*Portfolio_Flows!AE176+$D24*Portfolio_Flows!AE185</f>
        <v>9827.13479999999</v>
      </c>
      <c r="AF24" s="29" t="n">
        <f aca="false">Inputs!$D$39*Portfolio_Flows!AF149+Inputs!$D$40*Portfolio_Flows!AF158+Inputs!$D$41*Portfolio_Flows!AF167+(Inputs!$D$42+Inputs!$D$43-$D24)*Portfolio_Flows!AF176+$D24*Portfolio_Flows!AF185</f>
        <v>9913.64890833333</v>
      </c>
      <c r="AG24" s="29" t="n">
        <f aca="false">Inputs!$D$39*Portfolio_Flows!AG149+Inputs!$D$40*Portfolio_Flows!AG158+Inputs!$D$41*Portfolio_Flows!AG167+(Inputs!$D$42+Inputs!$D$43-$D24)*Portfolio_Flows!AG176+$D24*Portfolio_Flows!AG185</f>
        <v>10000.1630166667</v>
      </c>
      <c r="AH24" s="29" t="n">
        <f aca="false">Inputs!$D$39*Portfolio_Flows!AH149+Inputs!$D$40*Portfolio_Flows!AH158+Inputs!$D$41*Portfolio_Flows!AH167+(Inputs!$D$42+Inputs!$D$43-$D24)*Portfolio_Flows!AH176+$D24*Portfolio_Flows!AH185</f>
        <v>7204.76937500002</v>
      </c>
      <c r="AI24" s="29" t="n">
        <f aca="false">Inputs!$D$39*Portfolio_Flows!AI149+Inputs!$D$40*Portfolio_Flows!AI158+Inputs!$D$41*Portfolio_Flows!AI167+(Inputs!$D$42+Inputs!$D$43-$D24)*Portfolio_Flows!AI176+$D24*Portfolio_Flows!AI185</f>
        <v>7266.56516666664</v>
      </c>
      <c r="AJ24" s="29" t="n">
        <f aca="false">Inputs!$D$39*Portfolio_Flows!AJ149+Inputs!$D$40*Portfolio_Flows!AJ158+Inputs!$D$41*Portfolio_Flows!AJ167+(Inputs!$D$42+Inputs!$D$43-$D24)*Portfolio_Flows!AJ176+$D24*Portfolio_Flows!AJ185</f>
        <v>7328.36095833331</v>
      </c>
      <c r="AK24" s="29" t="n">
        <f aca="false">Inputs!$D$39*Portfolio_Flows!AK149+Inputs!$D$40*Portfolio_Flows!AK158+Inputs!$D$41*Portfolio_Flows!AK167+(Inputs!$D$42+Inputs!$D$43-$D24)*Portfolio_Flows!AK176+$D24*Portfolio_Flows!AK185</f>
        <v>7390.15675000002</v>
      </c>
      <c r="AL24" s="29" t="n">
        <f aca="false">Inputs!$D$39*Portfolio_Flows!AL149+Inputs!$D$40*Portfolio_Flows!AL158+Inputs!$D$41*Portfolio_Flows!AL167+(Inputs!$D$42+Inputs!$D$43-$D24)*Portfolio_Flows!AL176+$D24*Portfolio_Flows!AL185</f>
        <v>-28917.0474583333</v>
      </c>
      <c r="AM24" s="29" t="n">
        <f aca="false">Inputs!$D$39*Portfolio_Flows!AM149+Inputs!$D$40*Portfolio_Flows!AM158+Inputs!$D$41*Portfolio_Flows!AM167+(Inputs!$D$42+Inputs!$D$43-$D24)*Portfolio_Flows!AM176+$D24*Portfolio_Flows!AM185</f>
        <v>7513.74833333331</v>
      </c>
      <c r="AN24" s="29" t="n">
        <f aca="false">Inputs!$D$39*Portfolio_Flows!AN149+Inputs!$D$40*Portfolio_Flows!AN158+Inputs!$D$41*Portfolio_Flows!AN167+(Inputs!$D$42+Inputs!$D$43-$D24)*Portfolio_Flows!AN176+$D24*Portfolio_Flows!AN185</f>
        <v>0</v>
      </c>
      <c r="AO24" s="29" t="n">
        <f aca="false">Inputs!$D$39*Portfolio_Flows!AO149+Inputs!$D$40*Portfolio_Flows!AO158+Inputs!$D$41*Portfolio_Flows!AO167+(Inputs!$D$42+Inputs!$D$43-$D24)*Portfolio_Flows!AO176+$D24*Portfolio_Flows!AO185</f>
        <v>0</v>
      </c>
      <c r="AP24" s="29" t="n">
        <f aca="false">Inputs!$D$39*Portfolio_Flows!AP149+Inputs!$D$40*Portfolio_Flows!AP158+Inputs!$D$41*Portfolio_Flows!AP167+(Inputs!$D$42+Inputs!$D$43-$D24)*Portfolio_Flows!AP176+$D24*Portfolio_Flows!AP185</f>
        <v>58740.2175</v>
      </c>
      <c r="AQ24" s="29" t="n">
        <f aca="false">Inputs!$D$39*Portfolio_Flows!AQ149+Inputs!$D$40*Portfolio_Flows!AQ158+Inputs!$D$41*Portfolio_Flows!AQ167+(Inputs!$D$42+Inputs!$D$43-$D24)*Portfolio_Flows!AQ176+$D24*Portfolio_Flows!AQ185</f>
        <v>0</v>
      </c>
      <c r="AR24" s="29" t="n">
        <f aca="false">Inputs!$D$39*Portfolio_Flows!AR149+Inputs!$D$40*Portfolio_Flows!AR158+Inputs!$D$41*Portfolio_Flows!AR167+(Inputs!$D$42+Inputs!$D$43-$D24)*Portfolio_Flows!AR176+$D24*Portfolio_Flows!AR185</f>
        <v>0</v>
      </c>
      <c r="AS24" s="29" t="n">
        <f aca="false">Inputs!$D$39*Portfolio_Flows!AS149+Inputs!$D$40*Portfolio_Flows!AS158+Inputs!$D$41*Portfolio_Flows!AS167+(Inputs!$D$42+Inputs!$D$43-$D24)*Portfolio_Flows!AS176+$D24*Portfolio_Flows!AS185</f>
        <v>21636.63135</v>
      </c>
      <c r="AT24" s="29" t="n">
        <f aca="false">Inputs!$D$39*Portfolio_Flows!AT149+Inputs!$D$40*Portfolio_Flows!AT158+Inputs!$D$41*Portfolio_Flows!AT167+(Inputs!$D$42+Inputs!$D$43-$D24)*Portfolio_Flows!AT176+$D24*Portfolio_Flows!AT185</f>
        <v>0</v>
      </c>
      <c r="AU24" s="29" t="n">
        <f aca="false">Inputs!$D$39*Portfolio_Flows!AU149+Inputs!$D$40*Portfolio_Flows!AU158+Inputs!$D$41*Portfolio_Flows!AU167+(Inputs!$D$42+Inputs!$D$43-$D24)*Portfolio_Flows!AU176+$D24*Portfolio_Flows!AU185</f>
        <v>0</v>
      </c>
      <c r="AV24" s="29" t="n">
        <f aca="false">Inputs!$D$39*Portfolio_Flows!AV149+Inputs!$D$40*Portfolio_Flows!AV158+Inputs!$D$41*Portfolio_Flows!AV167+(Inputs!$D$42+Inputs!$D$43-$D24)*Portfolio_Flows!AV176+$D24*Portfolio_Flows!AV185</f>
        <v>0</v>
      </c>
      <c r="AW24" s="29" t="n">
        <f aca="false">Inputs!$D$39*Portfolio_Flows!AW149+Inputs!$D$40*Portfolio_Flows!AW158+Inputs!$D$41*Portfolio_Flows!AW167+(Inputs!$D$42+Inputs!$D$43-$D24)*Portfolio_Flows!AW176+$D24*Portfolio_Flows!AW185</f>
        <v>0</v>
      </c>
      <c r="AX24" s="29" t="n">
        <f aca="false">Inputs!$D$39*Portfolio_Flows!AX149+Inputs!$D$40*Portfolio_Flows!AX158+Inputs!$D$41*Portfolio_Flows!AX167+(Inputs!$D$42+Inputs!$D$43-$D24)*Portfolio_Flows!AX176+$D24*Portfolio_Flows!AX185</f>
        <v>10354.338</v>
      </c>
      <c r="AY24" s="29" t="n">
        <f aca="false">Inputs!$D$39*Portfolio_Flows!AY149+Inputs!$D$40*Portfolio_Flows!AY158+Inputs!$D$41*Portfolio_Flows!AY167+(Inputs!$D$42+Inputs!$D$43-$D24)*Portfolio_Flows!AY176+$D24*Portfolio_Flows!AY185</f>
        <v>0</v>
      </c>
    </row>
    <row r="25" customFormat="false" ht="15" hidden="false" customHeight="false" outlineLevel="0" collapsed="false">
      <c r="B25" s="9" t="s">
        <v>310</v>
      </c>
      <c r="C25" s="27" t="str">
        <f aca="false">Inputs!$B$58</f>
        <v>Mild downturn</v>
      </c>
      <c r="D25" s="12" t="n">
        <v>8</v>
      </c>
      <c r="E25" s="40" t="n">
        <f aca="false">IRR($N25:$AY25,0.005)</f>
        <v>0.00357273025379832</v>
      </c>
      <c r="F25" s="41" t="n">
        <f aca="false">(1+E25)^12-1</f>
        <v>0.0437253274835625</v>
      </c>
      <c r="G25" s="30" t="n">
        <f aca="false">-N25</f>
        <v>229300</v>
      </c>
      <c r="H25" s="30" t="n">
        <f aca="false">-SUMIF(O25:AY25,"&lt;0")</f>
        <v>89441.3063944444</v>
      </c>
      <c r="I25" s="30" t="n">
        <f aca="false">SUMIF($N25:$AY25,"&gt;0")</f>
        <v>331839.341636111</v>
      </c>
      <c r="J25" s="30" t="n">
        <f aca="false">I25-G25-H25</f>
        <v>13098.0352416667</v>
      </c>
      <c r="N25" s="29" t="n">
        <f aca="false">Inputs!$D$39*Portfolio_Flows!N149+Inputs!$D$40*Portfolio_Flows!N158+Inputs!$D$41*Portfolio_Flows!N167+(Inputs!$D$42+Inputs!$D$43-$D25)*Portfolio_Flows!N176+$D25*Portfolio_Flows!N185</f>
        <v>-229300</v>
      </c>
      <c r="O25" s="29" t="n">
        <f aca="false">Inputs!$D$39*Portfolio_Flows!O149+Inputs!$D$40*Portfolio_Flows!O158+Inputs!$D$41*Portfolio_Flows!O167+(Inputs!$D$42+Inputs!$D$43-$D25)*Portfolio_Flows!O176+$D25*Portfolio_Flows!O185</f>
        <v>0</v>
      </c>
      <c r="P25" s="29" t="n">
        <f aca="false">Inputs!$D$39*Portfolio_Flows!P149+Inputs!$D$40*Portfolio_Flows!P158+Inputs!$D$41*Portfolio_Flows!P167+(Inputs!$D$42+Inputs!$D$43-$D25)*Portfolio_Flows!P176+$D25*Portfolio_Flows!P185</f>
        <v>24780.798</v>
      </c>
      <c r="Q25" s="29" t="n">
        <f aca="false">Inputs!$D$39*Portfolio_Flows!Q149+Inputs!$D$40*Portfolio_Flows!Q158+Inputs!$D$41*Portfolio_Flows!Q167+(Inputs!$D$42+Inputs!$D$43-$D25)*Portfolio_Flows!Q176+$D25*Portfolio_Flows!Q185</f>
        <v>20650.665</v>
      </c>
      <c r="R25" s="29" t="n">
        <f aca="false">Inputs!$D$39*Portfolio_Flows!R149+Inputs!$D$40*Portfolio_Flows!R158+Inputs!$D$41*Portfolio_Flows!R167+(Inputs!$D$42+Inputs!$D$43-$D25)*Portfolio_Flows!R176+$D25*Portfolio_Flows!R185</f>
        <v>18585.5985</v>
      </c>
      <c r="S25" s="29" t="n">
        <f aca="false">Inputs!$D$39*Portfolio_Flows!S149+Inputs!$D$40*Portfolio_Flows!S158+Inputs!$D$41*Portfolio_Flows!S167+(Inputs!$D$42+Inputs!$D$43-$D25)*Portfolio_Flows!S176+$D25*Portfolio_Flows!S185</f>
        <v>14455.4655</v>
      </c>
      <c r="T25" s="29" t="n">
        <f aca="false">Inputs!$D$39*Portfolio_Flows!T149+Inputs!$D$40*Portfolio_Flows!T158+Inputs!$D$41*Portfolio_Flows!T167+(Inputs!$D$42+Inputs!$D$43-$D25)*Portfolio_Flows!T176+$D25*Portfolio_Flows!T185</f>
        <v>14459.2221666667</v>
      </c>
      <c r="U25" s="29" t="n">
        <f aca="false">Inputs!$D$39*Portfolio_Flows!U149+Inputs!$D$40*Portfolio_Flows!U158+Inputs!$D$41*Portfolio_Flows!U167+(Inputs!$D$42+Inputs!$D$43-$D25)*Portfolio_Flows!U176+$D25*Portfolio_Flows!U185</f>
        <v>14468.9895</v>
      </c>
      <c r="V25" s="29" t="n">
        <f aca="false">Inputs!$D$39*Portfolio_Flows!V149+Inputs!$D$40*Portfolio_Flows!V158+Inputs!$D$41*Portfolio_Flows!V167+(Inputs!$D$42+Inputs!$D$43-$D25)*Portfolio_Flows!V176+$D25*Portfolio_Flows!V185</f>
        <v>8967.41390277778</v>
      </c>
      <c r="W25" s="29" t="n">
        <f aca="false">Inputs!$D$39*Portfolio_Flows!W149+Inputs!$D$40*Portfolio_Flows!W158+Inputs!$D$41*Portfolio_Flows!W167+(Inputs!$D$42+Inputs!$D$43-$D25)*Portfolio_Flows!W176+$D25*Portfolio_Flows!W185</f>
        <v>8986.58222222222</v>
      </c>
      <c r="X25" s="29" t="n">
        <f aca="false">Inputs!$D$39*Portfolio_Flows!X149+Inputs!$D$40*Portfolio_Flows!X158+Inputs!$D$41*Portfolio_Flows!X167+(Inputs!$D$42+Inputs!$D$43-$D25)*Portfolio_Flows!X176+$D25*Portfolio_Flows!X185</f>
        <v>9011.92814166667</v>
      </c>
      <c r="Y25" s="29" t="n">
        <f aca="false">Inputs!$D$39*Portfolio_Flows!Y149+Inputs!$D$40*Portfolio_Flows!Y158+Inputs!$D$41*Portfolio_Flows!Y167+(Inputs!$D$42+Inputs!$D$43-$D25)*Portfolio_Flows!Y176+$D25*Portfolio_Flows!Y185</f>
        <v>7653.89380555555</v>
      </c>
      <c r="Z25" s="29" t="n">
        <f aca="false">Inputs!$D$39*Portfolio_Flows!Z149+Inputs!$D$40*Portfolio_Flows!Z158+Inputs!$D$41*Portfolio_Flows!Z167+(Inputs!$D$42+Inputs!$D$43-$D25)*Portfolio_Flows!Z176+$D25*Portfolio_Flows!Z185</f>
        <v>-62151.0100472222</v>
      </c>
      <c r="AA25" s="29" t="n">
        <f aca="false">Inputs!$D$39*Portfolio_Flows!AA149+Inputs!$D$40*Portfolio_Flows!AA158+Inputs!$D$41*Portfolio_Flows!AA167+(Inputs!$D$42+Inputs!$D$43-$D25)*Portfolio_Flows!AA176+$D25*Portfolio_Flows!AA185</f>
        <v>7710.72609999999</v>
      </c>
      <c r="AB25" s="29" t="n">
        <f aca="false">Inputs!$D$39*Portfolio_Flows!AB149+Inputs!$D$40*Portfolio_Flows!AB158+Inputs!$D$41*Portfolio_Flows!AB167+(Inputs!$D$42+Inputs!$D$43-$D25)*Portfolio_Flows!AB176+$D25*Portfolio_Flows!AB185</f>
        <v>9476.67958611111</v>
      </c>
      <c r="AC25" s="29" t="n">
        <f aca="false">Inputs!$D$39*Portfolio_Flows!AC149+Inputs!$D$40*Portfolio_Flows!AC158+Inputs!$D$41*Portfolio_Flows!AC167+(Inputs!$D$42+Inputs!$D$43-$D25)*Portfolio_Flows!AC176+$D25*Portfolio_Flows!AC185</f>
        <v>9562.03013888888</v>
      </c>
      <c r="AD25" s="29" t="n">
        <f aca="false">Inputs!$D$39*Portfolio_Flows!AD149+Inputs!$D$40*Portfolio_Flows!AD158+Inputs!$D$41*Portfolio_Flows!AD167+(Inputs!$D$42+Inputs!$D$43-$D25)*Portfolio_Flows!AD176+$D25*Portfolio_Flows!AD185</f>
        <v>9647.38069166671</v>
      </c>
      <c r="AE25" s="29" t="n">
        <f aca="false">Inputs!$D$39*Portfolio_Flows!AE149+Inputs!$D$40*Portfolio_Flows!AE158+Inputs!$D$41*Portfolio_Flows!AE167+(Inputs!$D$42+Inputs!$D$43-$D25)*Portfolio_Flows!AE176+$D25*Portfolio_Flows!AE185</f>
        <v>9732.73124444444</v>
      </c>
      <c r="AF25" s="29" t="n">
        <f aca="false">Inputs!$D$39*Portfolio_Flows!AF149+Inputs!$D$40*Portfolio_Flows!AF158+Inputs!$D$41*Portfolio_Flows!AF167+(Inputs!$D$42+Inputs!$D$43-$D25)*Portfolio_Flows!AF176+$D25*Portfolio_Flows!AF185</f>
        <v>9818.08179722222</v>
      </c>
      <c r="AG25" s="29" t="n">
        <f aca="false">Inputs!$D$39*Portfolio_Flows!AG149+Inputs!$D$40*Portfolio_Flows!AG158+Inputs!$D$41*Portfolio_Flows!AG167+(Inputs!$D$42+Inputs!$D$43-$D25)*Portfolio_Flows!AG176+$D25*Portfolio_Flows!AG185</f>
        <v>9903.43234999999</v>
      </c>
      <c r="AH25" s="29" t="n">
        <f aca="false">Inputs!$D$39*Portfolio_Flows!AH149+Inputs!$D$40*Portfolio_Flows!AH158+Inputs!$D$41*Portfolio_Flows!AH167+(Inputs!$D$42+Inputs!$D$43-$D25)*Portfolio_Flows!AH176+$D25*Portfolio_Flows!AH185</f>
        <v>7134.84493055558</v>
      </c>
      <c r="AI25" s="29" t="n">
        <f aca="false">Inputs!$D$39*Portfolio_Flows!AI149+Inputs!$D$40*Portfolio_Flows!AI158+Inputs!$D$41*Portfolio_Flows!AI167+(Inputs!$D$42+Inputs!$D$43-$D25)*Portfolio_Flows!AI176+$D25*Portfolio_Flows!AI185</f>
        <v>7195.80961111109</v>
      </c>
      <c r="AJ25" s="29" t="n">
        <f aca="false">Inputs!$D$39*Portfolio_Flows!AJ149+Inputs!$D$40*Portfolio_Flows!AJ158+Inputs!$D$41*Portfolio_Flows!AJ167+(Inputs!$D$42+Inputs!$D$43-$D25)*Portfolio_Flows!AJ176+$D25*Portfolio_Flows!AJ185</f>
        <v>7256.77429166664</v>
      </c>
      <c r="AK25" s="29" t="n">
        <f aca="false">Inputs!$D$39*Portfolio_Flows!AK149+Inputs!$D$40*Portfolio_Flows!AK158+Inputs!$D$41*Portfolio_Flows!AK167+(Inputs!$D$42+Inputs!$D$43-$D25)*Portfolio_Flows!AK176+$D25*Portfolio_Flows!AK185</f>
        <v>7317.73897222225</v>
      </c>
      <c r="AL25" s="29" t="n">
        <f aca="false">Inputs!$D$39*Portfolio_Flows!AL149+Inputs!$D$40*Portfolio_Flows!AL158+Inputs!$D$41*Portfolio_Flows!AL167+(Inputs!$D$42+Inputs!$D$43-$D25)*Portfolio_Flows!AL176+$D25*Portfolio_Flows!AL185</f>
        <v>-27290.2963472222</v>
      </c>
      <c r="AM25" s="29" t="n">
        <f aca="false">Inputs!$D$39*Portfolio_Flows!AM149+Inputs!$D$40*Portfolio_Flows!AM158+Inputs!$D$41*Portfolio_Flows!AM167+(Inputs!$D$42+Inputs!$D$43-$D25)*Portfolio_Flows!AM176+$D25*Portfolio_Flows!AM185</f>
        <v>7439.66833333331</v>
      </c>
      <c r="AN25" s="29" t="n">
        <f aca="false">Inputs!$D$39*Portfolio_Flows!AN149+Inputs!$D$40*Portfolio_Flows!AN158+Inputs!$D$41*Portfolio_Flows!AN167+(Inputs!$D$42+Inputs!$D$43-$D25)*Portfolio_Flows!AN176+$D25*Portfolio_Flows!AN185</f>
        <v>0</v>
      </c>
      <c r="AO25" s="29" t="n">
        <f aca="false">Inputs!$D$39*Portfolio_Flows!AO149+Inputs!$D$40*Portfolio_Flows!AO158+Inputs!$D$41*Portfolio_Flows!AO167+(Inputs!$D$42+Inputs!$D$43-$D25)*Portfolio_Flows!AO176+$D25*Portfolio_Flows!AO185</f>
        <v>0</v>
      </c>
      <c r="AP25" s="29" t="n">
        <f aca="false">Inputs!$D$39*Portfolio_Flows!AP149+Inputs!$D$40*Portfolio_Flows!AP158+Inputs!$D$41*Portfolio_Flows!AP167+(Inputs!$D$42+Inputs!$D$43-$D25)*Portfolio_Flows!AP176+$D25*Portfolio_Flows!AP185</f>
        <v>57240.2175</v>
      </c>
      <c r="AQ25" s="29" t="n">
        <f aca="false">Inputs!$D$39*Portfolio_Flows!AQ149+Inputs!$D$40*Portfolio_Flows!AQ158+Inputs!$D$41*Portfolio_Flows!AQ167+(Inputs!$D$42+Inputs!$D$43-$D25)*Portfolio_Flows!AQ176+$D25*Portfolio_Flows!AQ185</f>
        <v>0</v>
      </c>
      <c r="AR25" s="29" t="n">
        <f aca="false">Inputs!$D$39*Portfolio_Flows!AR149+Inputs!$D$40*Portfolio_Flows!AR158+Inputs!$D$41*Portfolio_Flows!AR167+(Inputs!$D$42+Inputs!$D$43-$D25)*Portfolio_Flows!AR176+$D25*Portfolio_Flows!AR185</f>
        <v>0</v>
      </c>
      <c r="AS25" s="29" t="n">
        <f aca="false">Inputs!$D$39*Portfolio_Flows!AS149+Inputs!$D$40*Portfolio_Flows!AS158+Inputs!$D$41*Portfolio_Flows!AS167+(Inputs!$D$42+Inputs!$D$43-$D25)*Portfolio_Flows!AS176+$D25*Portfolio_Flows!AS185</f>
        <v>20770.83135</v>
      </c>
      <c r="AT25" s="29" t="n">
        <f aca="false">Inputs!$D$39*Portfolio_Flows!AT149+Inputs!$D$40*Portfolio_Flows!AT158+Inputs!$D$41*Portfolio_Flows!AT167+(Inputs!$D$42+Inputs!$D$43-$D25)*Portfolio_Flows!AT176+$D25*Portfolio_Flows!AT185</f>
        <v>0</v>
      </c>
      <c r="AU25" s="29" t="n">
        <f aca="false">Inputs!$D$39*Portfolio_Flows!AU149+Inputs!$D$40*Portfolio_Flows!AU158+Inputs!$D$41*Portfolio_Flows!AU167+(Inputs!$D$42+Inputs!$D$43-$D25)*Portfolio_Flows!AU176+$D25*Portfolio_Flows!AU185</f>
        <v>0</v>
      </c>
      <c r="AV25" s="29" t="n">
        <f aca="false">Inputs!$D$39*Portfolio_Flows!AV149+Inputs!$D$40*Portfolio_Flows!AV158+Inputs!$D$41*Portfolio_Flows!AV167+(Inputs!$D$42+Inputs!$D$43-$D25)*Portfolio_Flows!AV176+$D25*Portfolio_Flows!AV185</f>
        <v>0</v>
      </c>
      <c r="AW25" s="29" t="n">
        <f aca="false">Inputs!$D$39*Portfolio_Flows!AW149+Inputs!$D$40*Portfolio_Flows!AW158+Inputs!$D$41*Portfolio_Flows!AW167+(Inputs!$D$42+Inputs!$D$43-$D25)*Portfolio_Flows!AW176+$D25*Portfolio_Flows!AW185</f>
        <v>0</v>
      </c>
      <c r="AX25" s="29" t="n">
        <f aca="false">Inputs!$D$39*Portfolio_Flows!AX149+Inputs!$D$40*Portfolio_Flows!AX158+Inputs!$D$41*Portfolio_Flows!AX167+(Inputs!$D$42+Inputs!$D$43-$D25)*Portfolio_Flows!AX176+$D25*Portfolio_Flows!AX185</f>
        <v>9611.838</v>
      </c>
      <c r="AY25" s="29" t="n">
        <f aca="false">Inputs!$D$39*Portfolio_Flows!AY149+Inputs!$D$40*Portfolio_Flows!AY158+Inputs!$D$41*Portfolio_Flows!AY167+(Inputs!$D$42+Inputs!$D$43-$D25)*Portfolio_Flows!AY176+$D25*Portfolio_Flows!AY185</f>
        <v>0</v>
      </c>
    </row>
    <row r="26" customFormat="false" ht="15" hidden="false" customHeight="false" outlineLevel="0" collapsed="false">
      <c r="B26" s="9" t="s">
        <v>311</v>
      </c>
      <c r="C26" s="27" t="str">
        <f aca="false">Inputs!$B$59</f>
        <v>Severe downturn</v>
      </c>
      <c r="D26" s="12" t="n">
        <v>2</v>
      </c>
      <c r="E26" s="40" t="n">
        <f aca="false">IRR($N26:$AY26,0.005)</f>
        <v>0.00337982838054692</v>
      </c>
      <c r="F26" s="41" t="n">
        <f aca="false">(1+E26)^12-1</f>
        <v>0.0413204332320818</v>
      </c>
      <c r="G26" s="30" t="n">
        <f aca="false">-N26</f>
        <v>229300</v>
      </c>
      <c r="H26" s="30" t="n">
        <f aca="false">-SUMIF(O26:AY26,"&lt;0")</f>
        <v>124226.300922222</v>
      </c>
      <c r="I26" s="30" t="n">
        <f aca="false">SUMIF($N26:$AY26,"&gt;0")</f>
        <v>367700.515755556</v>
      </c>
      <c r="J26" s="30" t="n">
        <f aca="false">I26-G26-H26</f>
        <v>14174.2148333333</v>
      </c>
      <c r="N26" s="29" t="n">
        <f aca="false">Inputs!$D$39*Portfolio_Flows!N194+Inputs!$D$40*Portfolio_Flows!N203+Inputs!$D$41*Portfolio_Flows!N212+(Inputs!$D$42+Inputs!$D$43-$D26)*Portfolio_Flows!N221+$D26*Portfolio_Flows!N230</f>
        <v>-229300</v>
      </c>
      <c r="O26" s="29" t="n">
        <f aca="false">Inputs!$D$39*Portfolio_Flows!O194+Inputs!$D$40*Portfolio_Flows!O203+Inputs!$D$41*Portfolio_Flows!O212+(Inputs!$D$42+Inputs!$D$43-$D26)*Portfolio_Flows!O221+$D26*Portfolio_Flows!O230</f>
        <v>0</v>
      </c>
      <c r="P26" s="29" t="n">
        <f aca="false">Inputs!$D$39*Portfolio_Flows!P194+Inputs!$D$40*Portfolio_Flows!P203+Inputs!$D$41*Portfolio_Flows!P212+(Inputs!$D$42+Inputs!$D$43-$D26)*Portfolio_Flows!P221+$D26*Portfolio_Flows!P230</f>
        <v>23843.988</v>
      </c>
      <c r="Q26" s="29" t="n">
        <f aca="false">Inputs!$D$39*Portfolio_Flows!Q194+Inputs!$D$40*Portfolio_Flows!Q203+Inputs!$D$41*Portfolio_Flows!Q212+(Inputs!$D$42+Inputs!$D$43-$D26)*Portfolio_Flows!Q221+$D26*Portfolio_Flows!Q230</f>
        <v>19869.99</v>
      </c>
      <c r="R26" s="29" t="n">
        <f aca="false">Inputs!$D$39*Portfolio_Flows!R194+Inputs!$D$40*Portfolio_Flows!R203+Inputs!$D$41*Portfolio_Flows!R212+(Inputs!$D$42+Inputs!$D$43-$D26)*Portfolio_Flows!R221+$D26*Portfolio_Flows!R230</f>
        <v>17882.991</v>
      </c>
      <c r="S26" s="29" t="n">
        <f aca="false">Inputs!$D$39*Portfolio_Flows!S194+Inputs!$D$40*Portfolio_Flows!S203+Inputs!$D$41*Portfolio_Flows!S212+(Inputs!$D$42+Inputs!$D$43-$D26)*Portfolio_Flows!S221+$D26*Portfolio_Flows!S230</f>
        <v>13908.993</v>
      </c>
      <c r="T26" s="29" t="n">
        <f aca="false">Inputs!$D$39*Portfolio_Flows!T194+Inputs!$D$40*Portfolio_Flows!T203+Inputs!$D$41*Portfolio_Flows!T212+(Inputs!$D$42+Inputs!$D$43-$D26)*Portfolio_Flows!T221+$D26*Portfolio_Flows!T230</f>
        <v>13913.5663333333</v>
      </c>
      <c r="U26" s="29" t="n">
        <f aca="false">Inputs!$D$39*Portfolio_Flows!U194+Inputs!$D$40*Portfolio_Flows!U203+Inputs!$D$41*Portfolio_Flows!U212+(Inputs!$D$42+Inputs!$D$43-$D26)*Portfolio_Flows!U221+$D26*Portfolio_Flows!U230</f>
        <v>13925.457</v>
      </c>
      <c r="V26" s="29" t="n">
        <f aca="false">Inputs!$D$39*Portfolio_Flows!V194+Inputs!$D$40*Portfolio_Flows!V203+Inputs!$D$41*Portfolio_Flows!V212+(Inputs!$D$42+Inputs!$D$43-$D26)*Portfolio_Flows!V221+$D26*Portfolio_Flows!V230</f>
        <v>8631.99855555556</v>
      </c>
      <c r="W26" s="29" t="n">
        <f aca="false">Inputs!$D$39*Portfolio_Flows!W194+Inputs!$D$40*Portfolio_Flows!W203+Inputs!$D$41*Portfolio_Flows!W212+(Inputs!$D$42+Inputs!$D$43-$D26)*Portfolio_Flows!W221+$D26*Portfolio_Flows!W230</f>
        <v>8651.70944444445</v>
      </c>
      <c r="X26" s="29" t="n">
        <f aca="false">Inputs!$D$39*Portfolio_Flows!X194+Inputs!$D$40*Portfolio_Flows!X203+Inputs!$D$41*Portfolio_Flows!X212+(Inputs!$D$42+Inputs!$D$43-$D26)*Portfolio_Flows!X221+$D26*Portfolio_Flows!X230</f>
        <v>8677.24693333333</v>
      </c>
      <c r="Y26" s="29" t="n">
        <f aca="false">Inputs!$D$39*Portfolio_Flows!Y194+Inputs!$D$40*Portfolio_Flows!Y203+Inputs!$D$41*Portfolio_Flows!Y212+(Inputs!$D$42+Inputs!$D$43-$D26)*Portfolio_Flows!Y221+$D26*Portfolio_Flows!Y230</f>
        <v>7370.4681111111</v>
      </c>
      <c r="Z26" s="29" t="n">
        <f aca="false">Inputs!$D$39*Portfolio_Flows!Z194+Inputs!$D$40*Portfolio_Flows!Z203+Inputs!$D$41*Portfolio_Flows!Z212+(Inputs!$D$42+Inputs!$D$43-$D26)*Portfolio_Flows!Z221+$D26*Portfolio_Flows!Z230</f>
        <v>-75131.6696444444</v>
      </c>
      <c r="AA26" s="29" t="n">
        <f aca="false">Inputs!$D$39*Portfolio_Flows!AA194+Inputs!$D$40*Portfolio_Flows!AA203+Inputs!$D$41*Portfolio_Flows!AA212+(Inputs!$D$42+Inputs!$D$43-$D26)*Portfolio_Flows!AA221+$D26*Portfolio_Flows!AA230</f>
        <v>7426.83259999999</v>
      </c>
      <c r="AB26" s="29" t="n">
        <f aca="false">Inputs!$D$39*Portfolio_Flows!AB194+Inputs!$D$40*Portfolio_Flows!AB203+Inputs!$D$41*Portfolio_Flows!AB212+(Inputs!$D$42+Inputs!$D$43-$D26)*Portfolio_Flows!AB221+$D26*Portfolio_Flows!AB230</f>
        <v>9199.36165555555</v>
      </c>
      <c r="AC26" s="29" t="n">
        <f aca="false">Inputs!$D$39*Portfolio_Flows!AC194+Inputs!$D$40*Portfolio_Flows!AC203+Inputs!$D$41*Portfolio_Flows!AC212+(Inputs!$D$42+Inputs!$D$43-$D26)*Portfolio_Flows!AC221+$D26*Portfolio_Flows!AC230</f>
        <v>9283.1371111111</v>
      </c>
      <c r="AD26" s="29" t="n">
        <f aca="false">Inputs!$D$39*Portfolio_Flows!AD194+Inputs!$D$40*Portfolio_Flows!AD203+Inputs!$D$41*Portfolio_Flows!AD212+(Inputs!$D$42+Inputs!$D$43-$D26)*Portfolio_Flows!AD221+$D26*Portfolio_Flows!AD230</f>
        <v>9366.91256666671</v>
      </c>
      <c r="AE26" s="29" t="n">
        <f aca="false">Inputs!$D$39*Portfolio_Flows!AE194+Inputs!$D$40*Portfolio_Flows!AE203+Inputs!$D$41*Portfolio_Flows!AE212+(Inputs!$D$42+Inputs!$D$43-$D26)*Portfolio_Flows!AE221+$D26*Portfolio_Flows!AE230</f>
        <v>9450.68802222222</v>
      </c>
      <c r="AF26" s="29" t="n">
        <f aca="false">Inputs!$D$39*Portfolio_Flows!AF194+Inputs!$D$40*Portfolio_Flows!AF203+Inputs!$D$41*Portfolio_Flows!AF212+(Inputs!$D$42+Inputs!$D$43-$D26)*Portfolio_Flows!AF221+$D26*Portfolio_Flows!AF230</f>
        <v>9534.46347777777</v>
      </c>
      <c r="AG26" s="29" t="n">
        <f aca="false">Inputs!$D$39*Portfolio_Flows!AG194+Inputs!$D$40*Portfolio_Flows!AG203+Inputs!$D$41*Portfolio_Flows!AG212+(Inputs!$D$42+Inputs!$D$43-$D26)*Portfolio_Flows!AG221+$D26*Portfolio_Flows!AG230</f>
        <v>9618.23893333333</v>
      </c>
      <c r="AH26" s="29" t="n">
        <f aca="false">Inputs!$D$39*Portfolio_Flows!AH194+Inputs!$D$40*Portfolio_Flows!AH203+Inputs!$D$41*Portfolio_Flows!AH212+(Inputs!$D$42+Inputs!$D$43-$D26)*Portfolio_Flows!AH221+$D26*Portfolio_Flows!AH230</f>
        <v>6930.0102777778</v>
      </c>
      <c r="AI26" s="29" t="n">
        <f aca="false">Inputs!$D$39*Portfolio_Flows!AI194+Inputs!$D$40*Portfolio_Flows!AI203+Inputs!$D$41*Portfolio_Flows!AI212+(Inputs!$D$42+Inputs!$D$43-$D26)*Portfolio_Flows!AI221+$D26*Portfolio_Flows!AI230</f>
        <v>6989.84988888886</v>
      </c>
      <c r="AJ26" s="29" t="n">
        <f aca="false">Inputs!$D$39*Portfolio_Flows!AJ194+Inputs!$D$40*Portfolio_Flows!AJ203+Inputs!$D$41*Portfolio_Flows!AJ212+(Inputs!$D$42+Inputs!$D$43-$D26)*Portfolio_Flows!AJ221+$D26*Portfolio_Flows!AJ230</f>
        <v>7049.68949999998</v>
      </c>
      <c r="AK26" s="29" t="n">
        <f aca="false">Inputs!$D$39*Portfolio_Flows!AK194+Inputs!$D$40*Portfolio_Flows!AK203+Inputs!$D$41*Portfolio_Flows!AK212+(Inputs!$D$42+Inputs!$D$43-$D26)*Portfolio_Flows!AK221+$D26*Portfolio_Flows!AK230</f>
        <v>7109.52911111114</v>
      </c>
      <c r="AL26" s="29" t="n">
        <f aca="false">Inputs!$D$39*Portfolio_Flows!AL194+Inputs!$D$40*Portfolio_Flows!AL203+Inputs!$D$41*Portfolio_Flows!AL212+(Inputs!$D$42+Inputs!$D$43-$D26)*Portfolio_Flows!AL221+$D26*Portfolio_Flows!AL230</f>
        <v>-49094.6312777778</v>
      </c>
      <c r="AM26" s="29" t="n">
        <f aca="false">Inputs!$D$39*Portfolio_Flows!AM194+Inputs!$D$40*Portfolio_Flows!AM203+Inputs!$D$41*Portfolio_Flows!AM212+(Inputs!$D$42+Inputs!$D$43-$D26)*Portfolio_Flows!AM221+$D26*Portfolio_Flows!AM230</f>
        <v>7229.20833333331</v>
      </c>
      <c r="AN26" s="29" t="n">
        <f aca="false">Inputs!$D$39*Portfolio_Flows!AN194+Inputs!$D$40*Portfolio_Flows!AN203+Inputs!$D$41*Portfolio_Flows!AN212+(Inputs!$D$42+Inputs!$D$43-$D26)*Portfolio_Flows!AN221+$D26*Portfolio_Flows!AN230</f>
        <v>0</v>
      </c>
      <c r="AO26" s="29" t="n">
        <f aca="false">Inputs!$D$39*Portfolio_Flows!AO194+Inputs!$D$40*Portfolio_Flows!AO203+Inputs!$D$41*Portfolio_Flows!AO212+(Inputs!$D$42+Inputs!$D$43-$D26)*Portfolio_Flows!AO221+$D26*Portfolio_Flows!AO230</f>
        <v>0</v>
      </c>
      <c r="AP26" s="29" t="n">
        <f aca="false">Inputs!$D$39*Portfolio_Flows!AP194+Inputs!$D$40*Portfolio_Flows!AP203+Inputs!$D$41*Portfolio_Flows!AP212+(Inputs!$D$42+Inputs!$D$43-$D26)*Portfolio_Flows!AP221+$D26*Portfolio_Flows!AP230</f>
        <v>90398.31</v>
      </c>
      <c r="AQ26" s="29" t="n">
        <f aca="false">Inputs!$D$39*Portfolio_Flows!AQ194+Inputs!$D$40*Portfolio_Flows!AQ203+Inputs!$D$41*Portfolio_Flows!AQ212+(Inputs!$D$42+Inputs!$D$43-$D26)*Portfolio_Flows!AQ221+$D26*Portfolio_Flows!AQ230</f>
        <v>0</v>
      </c>
      <c r="AR26" s="29" t="n">
        <f aca="false">Inputs!$D$39*Portfolio_Flows!AR194+Inputs!$D$40*Portfolio_Flows!AR203+Inputs!$D$41*Portfolio_Flows!AR212+(Inputs!$D$42+Inputs!$D$43-$D26)*Portfolio_Flows!AR221+$D26*Portfolio_Flows!AR230</f>
        <v>0</v>
      </c>
      <c r="AS26" s="29" t="n">
        <f aca="false">Inputs!$D$39*Portfolio_Flows!AS194+Inputs!$D$40*Portfolio_Flows!AS203+Inputs!$D$41*Portfolio_Flows!AS212+(Inputs!$D$42+Inputs!$D$43-$D26)*Portfolio_Flows!AS221+$D26*Portfolio_Flows!AS230</f>
        <v>21670.7079</v>
      </c>
      <c r="AT26" s="29" t="n">
        <f aca="false">Inputs!$D$39*Portfolio_Flows!AT194+Inputs!$D$40*Portfolio_Flows!AT203+Inputs!$D$41*Portfolio_Flows!AT212+(Inputs!$D$42+Inputs!$D$43-$D26)*Portfolio_Flows!AT221+$D26*Portfolio_Flows!AT230</f>
        <v>0</v>
      </c>
      <c r="AU26" s="29" t="n">
        <f aca="false">Inputs!$D$39*Portfolio_Flows!AU194+Inputs!$D$40*Portfolio_Flows!AU203+Inputs!$D$41*Portfolio_Flows!AU212+(Inputs!$D$42+Inputs!$D$43-$D26)*Portfolio_Flows!AU221+$D26*Portfolio_Flows!AU230</f>
        <v>0</v>
      </c>
      <c r="AV26" s="29" t="n">
        <f aca="false">Inputs!$D$39*Portfolio_Flows!AV194+Inputs!$D$40*Portfolio_Flows!AV203+Inputs!$D$41*Portfolio_Flows!AV212+(Inputs!$D$42+Inputs!$D$43-$D26)*Portfolio_Flows!AV221+$D26*Portfolio_Flows!AV230</f>
        <v>0</v>
      </c>
      <c r="AW26" s="29" t="n">
        <f aca="false">Inputs!$D$39*Portfolio_Flows!AW194+Inputs!$D$40*Portfolio_Flows!AW203+Inputs!$D$41*Portfolio_Flows!AW212+(Inputs!$D$42+Inputs!$D$43-$D26)*Portfolio_Flows!AW221+$D26*Portfolio_Flows!AW230</f>
        <v>0</v>
      </c>
      <c r="AX26" s="29" t="n">
        <f aca="false">Inputs!$D$39*Portfolio_Flows!AX194+Inputs!$D$40*Portfolio_Flows!AX203+Inputs!$D$41*Portfolio_Flows!AX212+(Inputs!$D$42+Inputs!$D$43-$D26)*Portfolio_Flows!AX221+$D26*Portfolio_Flows!AX230</f>
        <v>19767.168</v>
      </c>
      <c r="AY26" s="29" t="n">
        <f aca="false">Inputs!$D$39*Portfolio_Flows!AY194+Inputs!$D$40*Portfolio_Flows!AY203+Inputs!$D$41*Portfolio_Flows!AY212+(Inputs!$D$42+Inputs!$D$43-$D26)*Portfolio_Flows!AY221+$D26*Portfolio_Flows!AY230</f>
        <v>0</v>
      </c>
    </row>
    <row r="27" customFormat="false" ht="15" hidden="false" customHeight="false" outlineLevel="0" collapsed="false">
      <c r="B27" s="9" t="s">
        <v>312</v>
      </c>
      <c r="C27" s="27" t="str">
        <f aca="false">Inputs!$B$59</f>
        <v>Severe downturn</v>
      </c>
      <c r="D27" s="12" t="n">
        <v>4</v>
      </c>
      <c r="E27" s="40" t="n">
        <f aca="false">IRR($N27:$AY27,0.005)</f>
        <v>0.00300890918182703</v>
      </c>
      <c r="F27" s="41" t="n">
        <f aca="false">(1+E27)^12-1</f>
        <v>0.0367104773038647</v>
      </c>
      <c r="G27" s="30" t="n">
        <f aca="false">-N27</f>
        <v>229300</v>
      </c>
      <c r="H27" s="30" t="n">
        <f aca="false">-SUMIF(O27:AY27,"&lt;0")</f>
        <v>120801.472477778</v>
      </c>
      <c r="I27" s="30" t="n">
        <f aca="false">SUMIF($N27:$AY27,"&gt;0")</f>
        <v>362613.324644444</v>
      </c>
      <c r="J27" s="30" t="n">
        <f aca="false">I27-G27-H27</f>
        <v>12511.8521666667</v>
      </c>
      <c r="N27" s="29" t="n">
        <f aca="false">Inputs!$D$39*Portfolio_Flows!N194+Inputs!$D$40*Portfolio_Flows!N203+Inputs!$D$41*Portfolio_Flows!N212+(Inputs!$D$42+Inputs!$D$43-$D27)*Portfolio_Flows!N221+$D27*Portfolio_Flows!N230</f>
        <v>-229300</v>
      </c>
      <c r="O27" s="29" t="n">
        <f aca="false">Inputs!$D$39*Portfolio_Flows!O194+Inputs!$D$40*Portfolio_Flows!O203+Inputs!$D$41*Portfolio_Flows!O212+(Inputs!$D$42+Inputs!$D$43-$D27)*Portfolio_Flows!O221+$D27*Portfolio_Flows!O230</f>
        <v>0</v>
      </c>
      <c r="P27" s="29" t="n">
        <f aca="false">Inputs!$D$39*Portfolio_Flows!P194+Inputs!$D$40*Portfolio_Flows!P203+Inputs!$D$41*Portfolio_Flows!P212+(Inputs!$D$42+Inputs!$D$43-$D27)*Portfolio_Flows!P221+$D27*Portfolio_Flows!P230</f>
        <v>23702.868</v>
      </c>
      <c r="Q27" s="29" t="n">
        <f aca="false">Inputs!$D$39*Portfolio_Flows!Q194+Inputs!$D$40*Portfolio_Flows!Q203+Inputs!$D$41*Portfolio_Flows!Q212+(Inputs!$D$42+Inputs!$D$43-$D27)*Portfolio_Flows!Q221+$D27*Portfolio_Flows!Q230</f>
        <v>19752.39</v>
      </c>
      <c r="R27" s="29" t="n">
        <f aca="false">Inputs!$D$39*Portfolio_Flows!R194+Inputs!$D$40*Portfolio_Flows!R203+Inputs!$D$41*Portfolio_Flows!R212+(Inputs!$D$42+Inputs!$D$43-$D27)*Portfolio_Flows!R221+$D27*Portfolio_Flows!R230</f>
        <v>17777.151</v>
      </c>
      <c r="S27" s="29" t="n">
        <f aca="false">Inputs!$D$39*Portfolio_Flows!S194+Inputs!$D$40*Portfolio_Flows!S203+Inputs!$D$41*Portfolio_Flows!S212+(Inputs!$D$42+Inputs!$D$43-$D27)*Portfolio_Flows!S221+$D27*Portfolio_Flows!S230</f>
        <v>13826.673</v>
      </c>
      <c r="T27" s="29" t="n">
        <f aca="false">Inputs!$D$39*Portfolio_Flows!T194+Inputs!$D$40*Portfolio_Flows!T203+Inputs!$D$41*Portfolio_Flows!T212+(Inputs!$D$42+Inputs!$D$43-$D27)*Portfolio_Flows!T221+$D27*Portfolio_Flows!T230</f>
        <v>13830.9196666667</v>
      </c>
      <c r="U27" s="29" t="n">
        <f aca="false">Inputs!$D$39*Portfolio_Flows!U194+Inputs!$D$40*Portfolio_Flows!U203+Inputs!$D$41*Portfolio_Flows!U212+(Inputs!$D$42+Inputs!$D$43-$D27)*Portfolio_Flows!U221+$D27*Portfolio_Flows!U230</f>
        <v>13841.961</v>
      </c>
      <c r="V27" s="29" t="n">
        <f aca="false">Inputs!$D$39*Portfolio_Flows!V194+Inputs!$D$40*Portfolio_Flows!V203+Inputs!$D$41*Portfolio_Flows!V212+(Inputs!$D$42+Inputs!$D$43-$D27)*Portfolio_Flows!V221+$D27*Portfolio_Flows!V230</f>
        <v>8579.78477777778</v>
      </c>
      <c r="W27" s="29" t="n">
        <f aca="false">Inputs!$D$39*Portfolio_Flows!W194+Inputs!$D$40*Portfolio_Flows!W203+Inputs!$D$41*Portfolio_Flows!W212+(Inputs!$D$42+Inputs!$D$43-$D27)*Portfolio_Flows!W221+$D27*Portfolio_Flows!W230</f>
        <v>8598.96988888889</v>
      </c>
      <c r="X27" s="29" t="n">
        <f aca="false">Inputs!$D$39*Portfolio_Flows!X194+Inputs!$D$40*Portfolio_Flows!X203+Inputs!$D$41*Portfolio_Flows!X212+(Inputs!$D$42+Inputs!$D$43-$D27)*Portfolio_Flows!X221+$D27*Portfolio_Flows!X230</f>
        <v>8623.9816</v>
      </c>
      <c r="Y27" s="29" t="n">
        <f aca="false">Inputs!$D$39*Portfolio_Flows!Y194+Inputs!$D$40*Portfolio_Flows!Y203+Inputs!$D$41*Portfolio_Flows!Y212+(Inputs!$D$42+Inputs!$D$43-$D27)*Portfolio_Flows!Y221+$D27*Portfolio_Flows!Y230</f>
        <v>7324.95255555555</v>
      </c>
      <c r="Z27" s="29" t="n">
        <f aca="false">Inputs!$D$39*Portfolio_Flows!Z194+Inputs!$D$40*Portfolio_Flows!Z203+Inputs!$D$41*Portfolio_Flows!Z212+(Inputs!$D$42+Inputs!$D$43-$D27)*Portfolio_Flows!Z221+$D27*Portfolio_Flows!Z230</f>
        <v>-73680.0300888889</v>
      </c>
      <c r="AA27" s="29" t="n">
        <f aca="false">Inputs!$D$39*Portfolio_Flows!AA194+Inputs!$D$40*Portfolio_Flows!AA203+Inputs!$D$41*Portfolio_Flows!AA212+(Inputs!$D$42+Inputs!$D$43-$D27)*Portfolio_Flows!AA221+$D27*Portfolio_Flows!AA230</f>
        <v>7380.42726666666</v>
      </c>
      <c r="AB27" s="29" t="n">
        <f aca="false">Inputs!$D$39*Portfolio_Flows!AB194+Inputs!$D$40*Portfolio_Flows!AB203+Inputs!$D$41*Portfolio_Flows!AB212+(Inputs!$D$42+Inputs!$D$43-$D27)*Portfolio_Flows!AB221+$D27*Portfolio_Flows!AB230</f>
        <v>9116.49721111111</v>
      </c>
      <c r="AC27" s="29" t="n">
        <f aca="false">Inputs!$D$39*Portfolio_Flows!AC194+Inputs!$D$40*Portfolio_Flows!AC203+Inputs!$D$41*Portfolio_Flows!AC212+(Inputs!$D$42+Inputs!$D$43-$D27)*Portfolio_Flows!AC221+$D27*Portfolio_Flows!AC230</f>
        <v>9199.20555555555</v>
      </c>
      <c r="AD27" s="29" t="n">
        <f aca="false">Inputs!$D$39*Portfolio_Flows!AD194+Inputs!$D$40*Portfolio_Flows!AD203+Inputs!$D$41*Portfolio_Flows!AD212+(Inputs!$D$42+Inputs!$D$43-$D27)*Portfolio_Flows!AD221+$D27*Portfolio_Flows!AD230</f>
        <v>9281.91390000004</v>
      </c>
      <c r="AE27" s="29" t="n">
        <f aca="false">Inputs!$D$39*Portfolio_Flows!AE194+Inputs!$D$40*Portfolio_Flows!AE203+Inputs!$D$41*Portfolio_Flows!AE212+(Inputs!$D$42+Inputs!$D$43-$D27)*Portfolio_Flows!AE221+$D27*Portfolio_Flows!AE230</f>
        <v>9364.62224444444</v>
      </c>
      <c r="AF27" s="29" t="n">
        <f aca="false">Inputs!$D$39*Portfolio_Flows!AF194+Inputs!$D$40*Portfolio_Flows!AF203+Inputs!$D$41*Portfolio_Flows!AF212+(Inputs!$D$42+Inputs!$D$43-$D27)*Portfolio_Flows!AF221+$D27*Portfolio_Flows!AF230</f>
        <v>9447.33058888888</v>
      </c>
      <c r="AG27" s="29" t="n">
        <f aca="false">Inputs!$D$39*Portfolio_Flows!AG194+Inputs!$D$40*Portfolio_Flows!AG203+Inputs!$D$41*Portfolio_Flows!AG212+(Inputs!$D$42+Inputs!$D$43-$D27)*Portfolio_Flows!AG221+$D27*Portfolio_Flows!AG230</f>
        <v>9530.03893333333</v>
      </c>
      <c r="AH27" s="29" t="n">
        <f aca="false">Inputs!$D$39*Portfolio_Flows!AH194+Inputs!$D$40*Portfolio_Flows!AH203+Inputs!$D$41*Portfolio_Flows!AH212+(Inputs!$D$42+Inputs!$D$43-$D27)*Portfolio_Flows!AH221+$D27*Portfolio_Flows!AH230</f>
        <v>6866.24805555558</v>
      </c>
      <c r="AI27" s="29" t="n">
        <f aca="false">Inputs!$D$39*Portfolio_Flows!AI194+Inputs!$D$40*Portfolio_Flows!AI203+Inputs!$D$41*Portfolio_Flows!AI212+(Inputs!$D$42+Inputs!$D$43-$D27)*Portfolio_Flows!AI221+$D27*Portfolio_Flows!AI230</f>
        <v>6925.32544444442</v>
      </c>
      <c r="AJ27" s="29" t="n">
        <f aca="false">Inputs!$D$39*Portfolio_Flows!AJ194+Inputs!$D$40*Portfolio_Flows!AJ203+Inputs!$D$41*Portfolio_Flows!AJ212+(Inputs!$D$42+Inputs!$D$43-$D27)*Portfolio_Flows!AJ221+$D27*Portfolio_Flows!AJ230</f>
        <v>6984.40283333331</v>
      </c>
      <c r="AK27" s="29" t="n">
        <f aca="false">Inputs!$D$39*Portfolio_Flows!AK194+Inputs!$D$40*Portfolio_Flows!AK203+Inputs!$D$41*Portfolio_Flows!AK212+(Inputs!$D$42+Inputs!$D$43-$D27)*Portfolio_Flows!AK221+$D27*Portfolio_Flows!AK230</f>
        <v>7043.48022222225</v>
      </c>
      <c r="AL27" s="29" t="n">
        <f aca="false">Inputs!$D$39*Portfolio_Flows!AL194+Inputs!$D$40*Portfolio_Flows!AL203+Inputs!$D$41*Portfolio_Flows!AL212+(Inputs!$D$42+Inputs!$D$43-$D27)*Portfolio_Flows!AL221+$D27*Portfolio_Flows!AL230</f>
        <v>-47121.4423888889</v>
      </c>
      <c r="AM27" s="29" t="n">
        <f aca="false">Inputs!$D$39*Portfolio_Flows!AM194+Inputs!$D$40*Portfolio_Flows!AM203+Inputs!$D$41*Portfolio_Flows!AM212+(Inputs!$D$42+Inputs!$D$43-$D27)*Portfolio_Flows!AM221+$D27*Portfolio_Flows!AM230</f>
        <v>7161.63499999998</v>
      </c>
      <c r="AN27" s="29" t="n">
        <f aca="false">Inputs!$D$39*Portfolio_Flows!AN194+Inputs!$D$40*Portfolio_Flows!AN203+Inputs!$D$41*Portfolio_Flows!AN212+(Inputs!$D$42+Inputs!$D$43-$D27)*Portfolio_Flows!AN221+$D27*Portfolio_Flows!AN230</f>
        <v>0</v>
      </c>
      <c r="AO27" s="29" t="n">
        <f aca="false">Inputs!$D$39*Portfolio_Flows!AO194+Inputs!$D$40*Portfolio_Flows!AO203+Inputs!$D$41*Portfolio_Flows!AO212+(Inputs!$D$42+Inputs!$D$43-$D27)*Portfolio_Flows!AO221+$D27*Portfolio_Flows!AO230</f>
        <v>0</v>
      </c>
      <c r="AP27" s="29" t="n">
        <f aca="false">Inputs!$D$39*Portfolio_Flows!AP194+Inputs!$D$40*Portfolio_Flows!AP203+Inputs!$D$41*Portfolio_Flows!AP212+(Inputs!$D$42+Inputs!$D$43-$D27)*Portfolio_Flows!AP221+$D27*Portfolio_Flows!AP230</f>
        <v>88598.31</v>
      </c>
      <c r="AQ27" s="29" t="n">
        <f aca="false">Inputs!$D$39*Portfolio_Flows!AQ194+Inputs!$D$40*Portfolio_Flows!AQ203+Inputs!$D$41*Portfolio_Flows!AQ212+(Inputs!$D$42+Inputs!$D$43-$D27)*Portfolio_Flows!AQ221+$D27*Portfolio_Flows!AQ230</f>
        <v>0</v>
      </c>
      <c r="AR27" s="29" t="n">
        <f aca="false">Inputs!$D$39*Portfolio_Flows!AR194+Inputs!$D$40*Portfolio_Flows!AR203+Inputs!$D$41*Portfolio_Flows!AR212+(Inputs!$D$42+Inputs!$D$43-$D27)*Portfolio_Flows!AR221+$D27*Portfolio_Flows!AR230</f>
        <v>0</v>
      </c>
      <c r="AS27" s="29" t="n">
        <f aca="false">Inputs!$D$39*Portfolio_Flows!AS194+Inputs!$D$40*Portfolio_Flows!AS203+Inputs!$D$41*Portfolio_Flows!AS212+(Inputs!$D$42+Inputs!$D$43-$D27)*Portfolio_Flows!AS221+$D27*Portfolio_Flows!AS230</f>
        <v>20978.0679</v>
      </c>
      <c r="AT27" s="29" t="n">
        <f aca="false">Inputs!$D$39*Portfolio_Flows!AT194+Inputs!$D$40*Portfolio_Flows!AT203+Inputs!$D$41*Portfolio_Flows!AT212+(Inputs!$D$42+Inputs!$D$43-$D27)*Portfolio_Flows!AT221+$D27*Portfolio_Flows!AT230</f>
        <v>0</v>
      </c>
      <c r="AU27" s="29" t="n">
        <f aca="false">Inputs!$D$39*Portfolio_Flows!AU194+Inputs!$D$40*Portfolio_Flows!AU203+Inputs!$D$41*Portfolio_Flows!AU212+(Inputs!$D$42+Inputs!$D$43-$D27)*Portfolio_Flows!AU221+$D27*Portfolio_Flows!AU230</f>
        <v>0</v>
      </c>
      <c r="AV27" s="29" t="n">
        <f aca="false">Inputs!$D$39*Portfolio_Flows!AV194+Inputs!$D$40*Portfolio_Flows!AV203+Inputs!$D$41*Portfolio_Flows!AV212+(Inputs!$D$42+Inputs!$D$43-$D27)*Portfolio_Flows!AV221+$D27*Portfolio_Flows!AV230</f>
        <v>0</v>
      </c>
      <c r="AW27" s="29" t="n">
        <f aca="false">Inputs!$D$39*Portfolio_Flows!AW194+Inputs!$D$40*Portfolio_Flows!AW203+Inputs!$D$41*Portfolio_Flows!AW212+(Inputs!$D$42+Inputs!$D$43-$D27)*Portfolio_Flows!AW221+$D27*Portfolio_Flows!AW230</f>
        <v>0</v>
      </c>
      <c r="AX27" s="29" t="n">
        <f aca="false">Inputs!$D$39*Portfolio_Flows!AX194+Inputs!$D$40*Portfolio_Flows!AX203+Inputs!$D$41*Portfolio_Flows!AX212+(Inputs!$D$42+Inputs!$D$43-$D27)*Portfolio_Flows!AX221+$D27*Portfolio_Flows!AX230</f>
        <v>18876.168</v>
      </c>
      <c r="AY27" s="29" t="n">
        <f aca="false">Inputs!$D$39*Portfolio_Flows!AY194+Inputs!$D$40*Portfolio_Flows!AY203+Inputs!$D$41*Portfolio_Flows!AY212+(Inputs!$D$42+Inputs!$D$43-$D27)*Portfolio_Flows!AY221+$D27*Portfolio_Flows!AY230</f>
        <v>0</v>
      </c>
    </row>
    <row r="28" customFormat="false" ht="15" hidden="false" customHeight="false" outlineLevel="0" collapsed="false">
      <c r="B28" s="9" t="s">
        <v>313</v>
      </c>
      <c r="C28" s="27" t="str">
        <f aca="false">Inputs!$B$59</f>
        <v>Severe downturn</v>
      </c>
      <c r="D28" s="12" t="n">
        <v>6</v>
      </c>
      <c r="E28" s="40" t="n">
        <f aca="false">IRR($N28:$AY28,0.005)</f>
        <v>0.00263178364157544</v>
      </c>
      <c r="F28" s="41" t="n">
        <f aca="false">(1+E28)^12-1</f>
        <v>0.0320425726314957</v>
      </c>
      <c r="G28" s="30" t="n">
        <f aca="false">-N28</f>
        <v>229300</v>
      </c>
      <c r="H28" s="30" t="n">
        <f aca="false">-SUMIF(O28:AY28,"&lt;0")</f>
        <v>117376.644033333</v>
      </c>
      <c r="I28" s="30" t="n">
        <f aca="false">SUMIF($N28:$AY28,"&gt;0")</f>
        <v>357526.133533333</v>
      </c>
      <c r="J28" s="30" t="n">
        <f aca="false">I28-G28-H28</f>
        <v>10849.4895</v>
      </c>
      <c r="N28" s="29" t="n">
        <f aca="false">Inputs!$D$39*Portfolio_Flows!N194+Inputs!$D$40*Portfolio_Flows!N203+Inputs!$D$41*Portfolio_Flows!N212+(Inputs!$D$42+Inputs!$D$43-$D28)*Portfolio_Flows!N221+$D28*Portfolio_Flows!N230</f>
        <v>-229300</v>
      </c>
      <c r="O28" s="29" t="n">
        <f aca="false">Inputs!$D$39*Portfolio_Flows!O194+Inputs!$D$40*Portfolio_Flows!O203+Inputs!$D$41*Portfolio_Flows!O212+(Inputs!$D$42+Inputs!$D$43-$D28)*Portfolio_Flows!O221+$D28*Portfolio_Flows!O230</f>
        <v>0</v>
      </c>
      <c r="P28" s="29" t="n">
        <f aca="false">Inputs!$D$39*Portfolio_Flows!P194+Inputs!$D$40*Portfolio_Flows!P203+Inputs!$D$41*Portfolio_Flows!P212+(Inputs!$D$42+Inputs!$D$43-$D28)*Portfolio_Flows!P221+$D28*Portfolio_Flows!P230</f>
        <v>23561.748</v>
      </c>
      <c r="Q28" s="29" t="n">
        <f aca="false">Inputs!$D$39*Portfolio_Flows!Q194+Inputs!$D$40*Portfolio_Flows!Q203+Inputs!$D$41*Portfolio_Flows!Q212+(Inputs!$D$42+Inputs!$D$43-$D28)*Portfolio_Flows!Q221+$D28*Portfolio_Flows!Q230</f>
        <v>19634.79</v>
      </c>
      <c r="R28" s="29" t="n">
        <f aca="false">Inputs!$D$39*Portfolio_Flows!R194+Inputs!$D$40*Portfolio_Flows!R203+Inputs!$D$41*Portfolio_Flows!R212+(Inputs!$D$42+Inputs!$D$43-$D28)*Portfolio_Flows!R221+$D28*Portfolio_Flows!R230</f>
        <v>17671.311</v>
      </c>
      <c r="S28" s="29" t="n">
        <f aca="false">Inputs!$D$39*Portfolio_Flows!S194+Inputs!$D$40*Portfolio_Flows!S203+Inputs!$D$41*Portfolio_Flows!S212+(Inputs!$D$42+Inputs!$D$43-$D28)*Portfolio_Flows!S221+$D28*Portfolio_Flows!S230</f>
        <v>13744.353</v>
      </c>
      <c r="T28" s="29" t="n">
        <f aca="false">Inputs!$D$39*Portfolio_Flows!T194+Inputs!$D$40*Portfolio_Flows!T203+Inputs!$D$41*Portfolio_Flows!T212+(Inputs!$D$42+Inputs!$D$43-$D28)*Portfolio_Flows!T221+$D28*Portfolio_Flows!T230</f>
        <v>13748.273</v>
      </c>
      <c r="U28" s="29" t="n">
        <f aca="false">Inputs!$D$39*Portfolio_Flows!U194+Inputs!$D$40*Portfolio_Flows!U203+Inputs!$D$41*Portfolio_Flows!U212+(Inputs!$D$42+Inputs!$D$43-$D28)*Portfolio_Flows!U221+$D28*Portfolio_Flows!U230</f>
        <v>13758.465</v>
      </c>
      <c r="V28" s="29" t="n">
        <f aca="false">Inputs!$D$39*Portfolio_Flows!V194+Inputs!$D$40*Portfolio_Flows!V203+Inputs!$D$41*Portfolio_Flows!V212+(Inputs!$D$42+Inputs!$D$43-$D28)*Portfolio_Flows!V221+$D28*Portfolio_Flows!V230</f>
        <v>8527.571</v>
      </c>
      <c r="W28" s="29" t="n">
        <f aca="false">Inputs!$D$39*Portfolio_Flows!W194+Inputs!$D$40*Portfolio_Flows!W203+Inputs!$D$41*Portfolio_Flows!W212+(Inputs!$D$42+Inputs!$D$43-$D28)*Portfolio_Flows!W221+$D28*Portfolio_Flows!W230</f>
        <v>8546.23033333334</v>
      </c>
      <c r="X28" s="29" t="n">
        <f aca="false">Inputs!$D$39*Portfolio_Flows!X194+Inputs!$D$40*Portfolio_Flows!X203+Inputs!$D$41*Portfolio_Flows!X212+(Inputs!$D$42+Inputs!$D$43-$D28)*Portfolio_Flows!X221+$D28*Portfolio_Flows!X230</f>
        <v>8570.71626666667</v>
      </c>
      <c r="Y28" s="29" t="n">
        <f aca="false">Inputs!$D$39*Portfolio_Flows!Y194+Inputs!$D$40*Portfolio_Flows!Y203+Inputs!$D$41*Portfolio_Flows!Y212+(Inputs!$D$42+Inputs!$D$43-$D28)*Portfolio_Flows!Y221+$D28*Portfolio_Flows!Y230</f>
        <v>7279.43699999999</v>
      </c>
      <c r="Z28" s="29" t="n">
        <f aca="false">Inputs!$D$39*Portfolio_Flows!Z194+Inputs!$D$40*Portfolio_Flows!Z203+Inputs!$D$41*Portfolio_Flows!Z212+(Inputs!$D$42+Inputs!$D$43-$D28)*Portfolio_Flows!Z221+$D28*Portfolio_Flows!Z230</f>
        <v>-72228.3905333333</v>
      </c>
      <c r="AA28" s="29" t="n">
        <f aca="false">Inputs!$D$39*Portfolio_Flows!AA194+Inputs!$D$40*Portfolio_Flows!AA203+Inputs!$D$41*Portfolio_Flows!AA212+(Inputs!$D$42+Inputs!$D$43-$D28)*Portfolio_Flows!AA221+$D28*Portfolio_Flows!AA230</f>
        <v>7334.02193333333</v>
      </c>
      <c r="AB28" s="29" t="n">
        <f aca="false">Inputs!$D$39*Portfolio_Flows!AB194+Inputs!$D$40*Portfolio_Flows!AB203+Inputs!$D$41*Portfolio_Flows!AB212+(Inputs!$D$42+Inputs!$D$43-$D28)*Portfolio_Flows!AB221+$D28*Portfolio_Flows!AB230</f>
        <v>9033.63276666666</v>
      </c>
      <c r="AC28" s="29" t="n">
        <f aca="false">Inputs!$D$39*Portfolio_Flows!AC194+Inputs!$D$40*Portfolio_Flows!AC203+Inputs!$D$41*Portfolio_Flows!AC212+(Inputs!$D$42+Inputs!$D$43-$D28)*Portfolio_Flows!AC221+$D28*Portfolio_Flows!AC230</f>
        <v>9115.27399999999</v>
      </c>
      <c r="AD28" s="29" t="n">
        <f aca="false">Inputs!$D$39*Portfolio_Flows!AD194+Inputs!$D$40*Portfolio_Flows!AD203+Inputs!$D$41*Portfolio_Flows!AD212+(Inputs!$D$42+Inputs!$D$43-$D28)*Portfolio_Flows!AD221+$D28*Portfolio_Flows!AD230</f>
        <v>9196.91523333337</v>
      </c>
      <c r="AE28" s="29" t="n">
        <f aca="false">Inputs!$D$39*Portfolio_Flows!AE194+Inputs!$D$40*Portfolio_Flows!AE203+Inputs!$D$41*Portfolio_Flows!AE212+(Inputs!$D$42+Inputs!$D$43-$D28)*Portfolio_Flows!AE221+$D28*Portfolio_Flows!AE230</f>
        <v>9278.55646666666</v>
      </c>
      <c r="AF28" s="29" t="n">
        <f aca="false">Inputs!$D$39*Portfolio_Flows!AF194+Inputs!$D$40*Portfolio_Flows!AF203+Inputs!$D$41*Portfolio_Flows!AF212+(Inputs!$D$42+Inputs!$D$43-$D28)*Portfolio_Flows!AF221+$D28*Portfolio_Flows!AF230</f>
        <v>9360.19769999999</v>
      </c>
      <c r="AG28" s="29" t="n">
        <f aca="false">Inputs!$D$39*Portfolio_Flows!AG194+Inputs!$D$40*Portfolio_Flows!AG203+Inputs!$D$41*Portfolio_Flows!AG212+(Inputs!$D$42+Inputs!$D$43-$D28)*Portfolio_Flows!AG221+$D28*Portfolio_Flows!AG230</f>
        <v>9441.83893333333</v>
      </c>
      <c r="AH28" s="29" t="n">
        <f aca="false">Inputs!$D$39*Portfolio_Flows!AH194+Inputs!$D$40*Portfolio_Flows!AH203+Inputs!$D$41*Portfolio_Flows!AH212+(Inputs!$D$42+Inputs!$D$43-$D28)*Portfolio_Flows!AH221+$D28*Portfolio_Flows!AH230</f>
        <v>6802.48583333336</v>
      </c>
      <c r="AI28" s="29" t="n">
        <f aca="false">Inputs!$D$39*Portfolio_Flows!AI194+Inputs!$D$40*Portfolio_Flows!AI203+Inputs!$D$41*Portfolio_Flows!AI212+(Inputs!$D$42+Inputs!$D$43-$D28)*Portfolio_Flows!AI221+$D28*Portfolio_Flows!AI230</f>
        <v>6860.80099999998</v>
      </c>
      <c r="AJ28" s="29" t="n">
        <f aca="false">Inputs!$D$39*Portfolio_Flows!AJ194+Inputs!$D$40*Portfolio_Flows!AJ203+Inputs!$D$41*Portfolio_Flows!AJ212+(Inputs!$D$42+Inputs!$D$43-$D28)*Portfolio_Flows!AJ221+$D28*Portfolio_Flows!AJ230</f>
        <v>6919.11616666664</v>
      </c>
      <c r="AK28" s="29" t="n">
        <f aca="false">Inputs!$D$39*Portfolio_Flows!AK194+Inputs!$D$40*Portfolio_Flows!AK203+Inputs!$D$41*Portfolio_Flows!AK212+(Inputs!$D$42+Inputs!$D$43-$D28)*Portfolio_Flows!AK221+$D28*Portfolio_Flows!AK230</f>
        <v>6977.43133333336</v>
      </c>
      <c r="AL28" s="29" t="n">
        <f aca="false">Inputs!$D$39*Portfolio_Flows!AL194+Inputs!$D$40*Portfolio_Flows!AL203+Inputs!$D$41*Portfolio_Flows!AL212+(Inputs!$D$42+Inputs!$D$43-$D28)*Portfolio_Flows!AL221+$D28*Portfolio_Flows!AL230</f>
        <v>-45148.2535</v>
      </c>
      <c r="AM28" s="29" t="n">
        <f aca="false">Inputs!$D$39*Portfolio_Flows!AM194+Inputs!$D$40*Portfolio_Flows!AM203+Inputs!$D$41*Portfolio_Flows!AM212+(Inputs!$D$42+Inputs!$D$43-$D28)*Portfolio_Flows!AM221+$D28*Portfolio_Flows!AM230</f>
        <v>7094.06166666664</v>
      </c>
      <c r="AN28" s="29" t="n">
        <f aca="false">Inputs!$D$39*Portfolio_Flows!AN194+Inputs!$D$40*Portfolio_Flows!AN203+Inputs!$D$41*Portfolio_Flows!AN212+(Inputs!$D$42+Inputs!$D$43-$D28)*Portfolio_Flows!AN221+$D28*Portfolio_Flows!AN230</f>
        <v>0</v>
      </c>
      <c r="AO28" s="29" t="n">
        <f aca="false">Inputs!$D$39*Portfolio_Flows!AO194+Inputs!$D$40*Portfolio_Flows!AO203+Inputs!$D$41*Portfolio_Flows!AO212+(Inputs!$D$42+Inputs!$D$43-$D28)*Portfolio_Flows!AO221+$D28*Portfolio_Flows!AO230</f>
        <v>0</v>
      </c>
      <c r="AP28" s="29" t="n">
        <f aca="false">Inputs!$D$39*Portfolio_Flows!AP194+Inputs!$D$40*Portfolio_Flows!AP203+Inputs!$D$41*Portfolio_Flows!AP212+(Inputs!$D$42+Inputs!$D$43-$D28)*Portfolio_Flows!AP221+$D28*Portfolio_Flows!AP230</f>
        <v>86798.31</v>
      </c>
      <c r="AQ28" s="29" t="n">
        <f aca="false">Inputs!$D$39*Portfolio_Flows!AQ194+Inputs!$D$40*Portfolio_Flows!AQ203+Inputs!$D$41*Portfolio_Flows!AQ212+(Inputs!$D$42+Inputs!$D$43-$D28)*Portfolio_Flows!AQ221+$D28*Portfolio_Flows!AQ230</f>
        <v>0</v>
      </c>
      <c r="AR28" s="29" t="n">
        <f aca="false">Inputs!$D$39*Portfolio_Flows!AR194+Inputs!$D$40*Portfolio_Flows!AR203+Inputs!$D$41*Portfolio_Flows!AR212+(Inputs!$D$42+Inputs!$D$43-$D28)*Portfolio_Flows!AR221+$D28*Portfolio_Flows!AR230</f>
        <v>0</v>
      </c>
      <c r="AS28" s="29" t="n">
        <f aca="false">Inputs!$D$39*Portfolio_Flows!AS194+Inputs!$D$40*Portfolio_Flows!AS203+Inputs!$D$41*Portfolio_Flows!AS212+(Inputs!$D$42+Inputs!$D$43-$D28)*Portfolio_Flows!AS221+$D28*Portfolio_Flows!AS230</f>
        <v>20285.4279</v>
      </c>
      <c r="AT28" s="29" t="n">
        <f aca="false">Inputs!$D$39*Portfolio_Flows!AT194+Inputs!$D$40*Portfolio_Flows!AT203+Inputs!$D$41*Portfolio_Flows!AT212+(Inputs!$D$42+Inputs!$D$43-$D28)*Portfolio_Flows!AT221+$D28*Portfolio_Flows!AT230</f>
        <v>0</v>
      </c>
      <c r="AU28" s="29" t="n">
        <f aca="false">Inputs!$D$39*Portfolio_Flows!AU194+Inputs!$D$40*Portfolio_Flows!AU203+Inputs!$D$41*Portfolio_Flows!AU212+(Inputs!$D$42+Inputs!$D$43-$D28)*Portfolio_Flows!AU221+$D28*Portfolio_Flows!AU230</f>
        <v>0</v>
      </c>
      <c r="AV28" s="29" t="n">
        <f aca="false">Inputs!$D$39*Portfolio_Flows!AV194+Inputs!$D$40*Portfolio_Flows!AV203+Inputs!$D$41*Portfolio_Flows!AV212+(Inputs!$D$42+Inputs!$D$43-$D28)*Portfolio_Flows!AV221+$D28*Portfolio_Flows!AV230</f>
        <v>0</v>
      </c>
      <c r="AW28" s="29" t="n">
        <f aca="false">Inputs!$D$39*Portfolio_Flows!AW194+Inputs!$D$40*Portfolio_Flows!AW203+Inputs!$D$41*Portfolio_Flows!AW212+(Inputs!$D$42+Inputs!$D$43-$D28)*Portfolio_Flows!AW221+$D28*Portfolio_Flows!AW230</f>
        <v>0</v>
      </c>
      <c r="AX28" s="29" t="n">
        <f aca="false">Inputs!$D$39*Portfolio_Flows!AX194+Inputs!$D$40*Portfolio_Flows!AX203+Inputs!$D$41*Portfolio_Flows!AX212+(Inputs!$D$42+Inputs!$D$43-$D28)*Portfolio_Flows!AX221+$D28*Portfolio_Flows!AX230</f>
        <v>17985.168</v>
      </c>
      <c r="AY28" s="29" t="n">
        <f aca="false">Inputs!$D$39*Portfolio_Flows!AY194+Inputs!$D$40*Portfolio_Flows!AY203+Inputs!$D$41*Portfolio_Flows!AY212+(Inputs!$D$42+Inputs!$D$43-$D28)*Portfolio_Flows!AY221+$D28*Portfolio_Flows!AY230</f>
        <v>0</v>
      </c>
    </row>
    <row r="29" customFormat="false" ht="15" hidden="false" customHeight="false" outlineLevel="0" collapsed="false">
      <c r="B29" s="9" t="s">
        <v>314</v>
      </c>
      <c r="C29" s="27" t="str">
        <f aca="false">Inputs!$B$59</f>
        <v>Severe downturn</v>
      </c>
      <c r="D29" s="12" t="n">
        <v>8</v>
      </c>
      <c r="E29" s="40" t="n">
        <f aca="false">IRR($N29:$AY29,0.005)</f>
        <v>0.00224821475667416</v>
      </c>
      <c r="F29" s="41" t="n">
        <f aca="false">(1+E29)^12-1</f>
        <v>0.0273146847421613</v>
      </c>
      <c r="G29" s="30" t="n">
        <f aca="false">-N29</f>
        <v>229300</v>
      </c>
      <c r="H29" s="30" t="n">
        <f aca="false">-SUMIF(O29:AY29,"&lt;0")</f>
        <v>113951.815588889</v>
      </c>
      <c r="I29" s="30" t="n">
        <f aca="false">SUMIF($N29:$AY29,"&gt;0")</f>
        <v>352438.942422222</v>
      </c>
      <c r="J29" s="30" t="n">
        <f aca="false">I29-G29-H29</f>
        <v>9187.12683333334</v>
      </c>
      <c r="N29" s="29" t="n">
        <f aca="false">Inputs!$D$39*Portfolio_Flows!N194+Inputs!$D$40*Portfolio_Flows!N203+Inputs!$D$41*Portfolio_Flows!N212+(Inputs!$D$42+Inputs!$D$43-$D29)*Portfolio_Flows!N221+$D29*Portfolio_Flows!N230</f>
        <v>-229300</v>
      </c>
      <c r="O29" s="29" t="n">
        <f aca="false">Inputs!$D$39*Portfolio_Flows!O194+Inputs!$D$40*Portfolio_Flows!O203+Inputs!$D$41*Portfolio_Flows!O212+(Inputs!$D$42+Inputs!$D$43-$D29)*Portfolio_Flows!O221+$D29*Portfolio_Flows!O230</f>
        <v>0</v>
      </c>
      <c r="P29" s="29" t="n">
        <f aca="false">Inputs!$D$39*Portfolio_Flows!P194+Inputs!$D$40*Portfolio_Flows!P203+Inputs!$D$41*Portfolio_Flows!P212+(Inputs!$D$42+Inputs!$D$43-$D29)*Portfolio_Flows!P221+$D29*Portfolio_Flows!P230</f>
        <v>23420.628</v>
      </c>
      <c r="Q29" s="29" t="n">
        <f aca="false">Inputs!$D$39*Portfolio_Flows!Q194+Inputs!$D$40*Portfolio_Flows!Q203+Inputs!$D$41*Portfolio_Flows!Q212+(Inputs!$D$42+Inputs!$D$43-$D29)*Portfolio_Flows!Q221+$D29*Portfolio_Flows!Q230</f>
        <v>19517.19</v>
      </c>
      <c r="R29" s="29" t="n">
        <f aca="false">Inputs!$D$39*Portfolio_Flows!R194+Inputs!$D$40*Portfolio_Flows!R203+Inputs!$D$41*Portfolio_Flows!R212+(Inputs!$D$42+Inputs!$D$43-$D29)*Portfolio_Flows!R221+$D29*Portfolio_Flows!R230</f>
        <v>17565.471</v>
      </c>
      <c r="S29" s="29" t="n">
        <f aca="false">Inputs!$D$39*Portfolio_Flows!S194+Inputs!$D$40*Portfolio_Flows!S203+Inputs!$D$41*Portfolio_Flows!S212+(Inputs!$D$42+Inputs!$D$43-$D29)*Portfolio_Flows!S221+$D29*Portfolio_Flows!S230</f>
        <v>13662.033</v>
      </c>
      <c r="T29" s="29" t="n">
        <f aca="false">Inputs!$D$39*Portfolio_Flows!T194+Inputs!$D$40*Portfolio_Flows!T203+Inputs!$D$41*Portfolio_Flows!T212+(Inputs!$D$42+Inputs!$D$43-$D29)*Portfolio_Flows!T221+$D29*Portfolio_Flows!T230</f>
        <v>13665.6263333333</v>
      </c>
      <c r="U29" s="29" t="n">
        <f aca="false">Inputs!$D$39*Portfolio_Flows!U194+Inputs!$D$40*Portfolio_Flows!U203+Inputs!$D$41*Portfolio_Flows!U212+(Inputs!$D$42+Inputs!$D$43-$D29)*Portfolio_Flows!U221+$D29*Portfolio_Flows!U230</f>
        <v>13674.969</v>
      </c>
      <c r="V29" s="29" t="n">
        <f aca="false">Inputs!$D$39*Portfolio_Flows!V194+Inputs!$D$40*Portfolio_Flows!V203+Inputs!$D$41*Portfolio_Flows!V212+(Inputs!$D$42+Inputs!$D$43-$D29)*Portfolio_Flows!V221+$D29*Portfolio_Flows!V230</f>
        <v>8475.35722222222</v>
      </c>
      <c r="W29" s="29" t="n">
        <f aca="false">Inputs!$D$39*Portfolio_Flows!W194+Inputs!$D$40*Portfolio_Flows!W203+Inputs!$D$41*Portfolio_Flows!W212+(Inputs!$D$42+Inputs!$D$43-$D29)*Portfolio_Flows!W221+$D29*Portfolio_Flows!W230</f>
        <v>8493.49077777778</v>
      </c>
      <c r="X29" s="29" t="n">
        <f aca="false">Inputs!$D$39*Portfolio_Flows!X194+Inputs!$D$40*Portfolio_Flows!X203+Inputs!$D$41*Portfolio_Flows!X212+(Inputs!$D$42+Inputs!$D$43-$D29)*Portfolio_Flows!X221+$D29*Portfolio_Flows!X230</f>
        <v>8517.45093333333</v>
      </c>
      <c r="Y29" s="29" t="n">
        <f aca="false">Inputs!$D$39*Portfolio_Flows!Y194+Inputs!$D$40*Portfolio_Flows!Y203+Inputs!$D$41*Portfolio_Flows!Y212+(Inputs!$D$42+Inputs!$D$43-$D29)*Portfolio_Flows!Y221+$D29*Portfolio_Flows!Y230</f>
        <v>7233.92144444444</v>
      </c>
      <c r="Z29" s="29" t="n">
        <f aca="false">Inputs!$D$39*Portfolio_Flows!Z194+Inputs!$D$40*Portfolio_Flows!Z203+Inputs!$D$41*Portfolio_Flows!Z212+(Inputs!$D$42+Inputs!$D$43-$D29)*Portfolio_Flows!Z221+$D29*Portfolio_Flows!Z230</f>
        <v>-70776.7509777778</v>
      </c>
      <c r="AA29" s="29" t="n">
        <f aca="false">Inputs!$D$39*Portfolio_Flows!AA194+Inputs!$D$40*Portfolio_Flows!AA203+Inputs!$D$41*Portfolio_Flows!AA212+(Inputs!$D$42+Inputs!$D$43-$D29)*Portfolio_Flows!AA221+$D29*Portfolio_Flows!AA230</f>
        <v>7287.61659999999</v>
      </c>
      <c r="AB29" s="29" t="n">
        <f aca="false">Inputs!$D$39*Portfolio_Flows!AB194+Inputs!$D$40*Portfolio_Flows!AB203+Inputs!$D$41*Portfolio_Flows!AB212+(Inputs!$D$42+Inputs!$D$43-$D29)*Portfolio_Flows!AB221+$D29*Portfolio_Flows!AB230</f>
        <v>8950.76832222222</v>
      </c>
      <c r="AC29" s="29" t="n">
        <f aca="false">Inputs!$D$39*Portfolio_Flows!AC194+Inputs!$D$40*Portfolio_Flows!AC203+Inputs!$D$41*Portfolio_Flows!AC212+(Inputs!$D$42+Inputs!$D$43-$D29)*Portfolio_Flows!AC221+$D29*Portfolio_Flows!AC230</f>
        <v>9031.34244444444</v>
      </c>
      <c r="AD29" s="29" t="n">
        <f aca="false">Inputs!$D$39*Portfolio_Flows!AD194+Inputs!$D$40*Portfolio_Flows!AD203+Inputs!$D$41*Portfolio_Flows!AD212+(Inputs!$D$42+Inputs!$D$43-$D29)*Portfolio_Flows!AD221+$D29*Portfolio_Flows!AD230</f>
        <v>9111.9165666667</v>
      </c>
      <c r="AE29" s="29" t="n">
        <f aca="false">Inputs!$D$39*Portfolio_Flows!AE194+Inputs!$D$40*Portfolio_Flows!AE203+Inputs!$D$41*Portfolio_Flows!AE212+(Inputs!$D$42+Inputs!$D$43-$D29)*Portfolio_Flows!AE221+$D29*Portfolio_Flows!AE230</f>
        <v>9192.49068888888</v>
      </c>
      <c r="AF29" s="29" t="n">
        <f aca="false">Inputs!$D$39*Portfolio_Flows!AF194+Inputs!$D$40*Portfolio_Flows!AF203+Inputs!$D$41*Portfolio_Flows!AF212+(Inputs!$D$42+Inputs!$D$43-$D29)*Portfolio_Flows!AF221+$D29*Portfolio_Flows!AF230</f>
        <v>9273.06481111111</v>
      </c>
      <c r="AG29" s="29" t="n">
        <f aca="false">Inputs!$D$39*Portfolio_Flows!AG194+Inputs!$D$40*Portfolio_Flows!AG203+Inputs!$D$41*Portfolio_Flows!AG212+(Inputs!$D$42+Inputs!$D$43-$D29)*Portfolio_Flows!AG221+$D29*Portfolio_Flows!AG230</f>
        <v>9353.63893333333</v>
      </c>
      <c r="AH29" s="29" t="n">
        <f aca="false">Inputs!$D$39*Portfolio_Flows!AH194+Inputs!$D$40*Portfolio_Flows!AH203+Inputs!$D$41*Portfolio_Flows!AH212+(Inputs!$D$42+Inputs!$D$43-$D29)*Portfolio_Flows!AH221+$D29*Portfolio_Flows!AH230</f>
        <v>6738.72361111113</v>
      </c>
      <c r="AI29" s="29" t="n">
        <f aca="false">Inputs!$D$39*Portfolio_Flows!AI194+Inputs!$D$40*Portfolio_Flows!AI203+Inputs!$D$41*Portfolio_Flows!AI212+(Inputs!$D$42+Inputs!$D$43-$D29)*Portfolio_Flows!AI221+$D29*Portfolio_Flows!AI230</f>
        <v>6796.27655555553</v>
      </c>
      <c r="AJ29" s="29" t="n">
        <f aca="false">Inputs!$D$39*Portfolio_Flows!AJ194+Inputs!$D$40*Portfolio_Flows!AJ203+Inputs!$D$41*Portfolio_Flows!AJ212+(Inputs!$D$42+Inputs!$D$43-$D29)*Portfolio_Flows!AJ221+$D29*Portfolio_Flows!AJ230</f>
        <v>6853.82949999998</v>
      </c>
      <c r="AK29" s="29" t="n">
        <f aca="false">Inputs!$D$39*Portfolio_Flows!AK194+Inputs!$D$40*Portfolio_Flows!AK203+Inputs!$D$41*Portfolio_Flows!AK212+(Inputs!$D$42+Inputs!$D$43-$D29)*Portfolio_Flows!AK221+$D29*Portfolio_Flows!AK230</f>
        <v>6911.38244444447</v>
      </c>
      <c r="AL29" s="29" t="n">
        <f aca="false">Inputs!$D$39*Portfolio_Flows!AL194+Inputs!$D$40*Portfolio_Flows!AL203+Inputs!$D$41*Portfolio_Flows!AL212+(Inputs!$D$42+Inputs!$D$43-$D29)*Portfolio_Flows!AL221+$D29*Portfolio_Flows!AL230</f>
        <v>-43175.0646111111</v>
      </c>
      <c r="AM29" s="29" t="n">
        <f aca="false">Inputs!$D$39*Portfolio_Flows!AM194+Inputs!$D$40*Portfolio_Flows!AM203+Inputs!$D$41*Portfolio_Flows!AM212+(Inputs!$D$42+Inputs!$D$43-$D29)*Portfolio_Flows!AM221+$D29*Portfolio_Flows!AM230</f>
        <v>7026.48833333331</v>
      </c>
      <c r="AN29" s="29" t="n">
        <f aca="false">Inputs!$D$39*Portfolio_Flows!AN194+Inputs!$D$40*Portfolio_Flows!AN203+Inputs!$D$41*Portfolio_Flows!AN212+(Inputs!$D$42+Inputs!$D$43-$D29)*Portfolio_Flows!AN221+$D29*Portfolio_Flows!AN230</f>
        <v>0</v>
      </c>
      <c r="AO29" s="29" t="n">
        <f aca="false">Inputs!$D$39*Portfolio_Flows!AO194+Inputs!$D$40*Portfolio_Flows!AO203+Inputs!$D$41*Portfolio_Flows!AO212+(Inputs!$D$42+Inputs!$D$43-$D29)*Portfolio_Flows!AO221+$D29*Portfolio_Flows!AO230</f>
        <v>0</v>
      </c>
      <c r="AP29" s="29" t="n">
        <f aca="false">Inputs!$D$39*Portfolio_Flows!AP194+Inputs!$D$40*Portfolio_Flows!AP203+Inputs!$D$41*Portfolio_Flows!AP212+(Inputs!$D$42+Inputs!$D$43-$D29)*Portfolio_Flows!AP221+$D29*Portfolio_Flows!AP230</f>
        <v>84998.31</v>
      </c>
      <c r="AQ29" s="29" t="n">
        <f aca="false">Inputs!$D$39*Portfolio_Flows!AQ194+Inputs!$D$40*Portfolio_Flows!AQ203+Inputs!$D$41*Portfolio_Flows!AQ212+(Inputs!$D$42+Inputs!$D$43-$D29)*Portfolio_Flows!AQ221+$D29*Portfolio_Flows!AQ230</f>
        <v>0</v>
      </c>
      <c r="AR29" s="29" t="n">
        <f aca="false">Inputs!$D$39*Portfolio_Flows!AR194+Inputs!$D$40*Portfolio_Flows!AR203+Inputs!$D$41*Portfolio_Flows!AR212+(Inputs!$D$42+Inputs!$D$43-$D29)*Portfolio_Flows!AR221+$D29*Portfolio_Flows!AR230</f>
        <v>0</v>
      </c>
      <c r="AS29" s="29" t="n">
        <f aca="false">Inputs!$D$39*Portfolio_Flows!AS194+Inputs!$D$40*Portfolio_Flows!AS203+Inputs!$D$41*Portfolio_Flows!AS212+(Inputs!$D$42+Inputs!$D$43-$D29)*Portfolio_Flows!AS221+$D29*Portfolio_Flows!AS230</f>
        <v>19592.7879</v>
      </c>
      <c r="AT29" s="29" t="n">
        <f aca="false">Inputs!$D$39*Portfolio_Flows!AT194+Inputs!$D$40*Portfolio_Flows!AT203+Inputs!$D$41*Portfolio_Flows!AT212+(Inputs!$D$42+Inputs!$D$43-$D29)*Portfolio_Flows!AT221+$D29*Portfolio_Flows!AT230</f>
        <v>0</v>
      </c>
      <c r="AU29" s="29" t="n">
        <f aca="false">Inputs!$D$39*Portfolio_Flows!AU194+Inputs!$D$40*Portfolio_Flows!AU203+Inputs!$D$41*Portfolio_Flows!AU212+(Inputs!$D$42+Inputs!$D$43-$D29)*Portfolio_Flows!AU221+$D29*Portfolio_Flows!AU230</f>
        <v>0</v>
      </c>
      <c r="AV29" s="29" t="n">
        <f aca="false">Inputs!$D$39*Portfolio_Flows!AV194+Inputs!$D$40*Portfolio_Flows!AV203+Inputs!$D$41*Portfolio_Flows!AV212+(Inputs!$D$42+Inputs!$D$43-$D29)*Portfolio_Flows!AV221+$D29*Portfolio_Flows!AV230</f>
        <v>0</v>
      </c>
      <c r="AW29" s="29" t="n">
        <f aca="false">Inputs!$D$39*Portfolio_Flows!AW194+Inputs!$D$40*Portfolio_Flows!AW203+Inputs!$D$41*Portfolio_Flows!AW212+(Inputs!$D$42+Inputs!$D$43-$D29)*Portfolio_Flows!AW221+$D29*Portfolio_Flows!AW230</f>
        <v>0</v>
      </c>
      <c r="AX29" s="29" t="n">
        <f aca="false">Inputs!$D$39*Portfolio_Flows!AX194+Inputs!$D$40*Portfolio_Flows!AX203+Inputs!$D$41*Portfolio_Flows!AX212+(Inputs!$D$42+Inputs!$D$43-$D29)*Portfolio_Flows!AX221+$D29*Portfolio_Flows!AX230</f>
        <v>17094.168</v>
      </c>
      <c r="AY29" s="29" t="n">
        <f aca="false">Inputs!$D$39*Portfolio_Flows!AY194+Inputs!$D$40*Portfolio_Flows!AY203+Inputs!$D$41*Portfolio_Flows!AY212+(Inputs!$D$42+Inputs!$D$43-$D29)*Portfolio_Flows!AY221+$D29*Portfolio_Flows!AY230</f>
        <v>0</v>
      </c>
    </row>
    <row r="30" customFormat="false" ht="15" hidden="false" customHeight="false" outlineLevel="0" collapsed="false">
      <c r="B30" s="9" t="s">
        <v>315</v>
      </c>
      <c r="C30" s="27" t="str">
        <f aca="false">Inputs!$B$60</f>
        <v>Extreme downturn</v>
      </c>
      <c r="D30" s="12" t="n">
        <v>2</v>
      </c>
      <c r="E30" s="40" t="n">
        <f aca="false">IRR($N30:$AY30,0.005)</f>
        <v>0.000674572826615371</v>
      </c>
      <c r="F30" s="41" t="n">
        <f aca="false">(1+E30)^12-1</f>
        <v>0.00812497475482599</v>
      </c>
      <c r="G30" s="30" t="n">
        <f aca="false">-N30</f>
        <v>229300</v>
      </c>
      <c r="H30" s="30" t="n">
        <f aca="false">-SUMIF(O30:AY30,"&lt;0")</f>
        <v>150160.620783333</v>
      </c>
      <c r="I30" s="30" t="n">
        <f aca="false">SUMIF($N30:$AY30,"&gt;0")</f>
        <v>382516.938208333</v>
      </c>
      <c r="J30" s="30" t="n">
        <f aca="false">I30-G30-H30</f>
        <v>3056.31742499996</v>
      </c>
      <c r="N30" s="29" t="n">
        <f aca="false">Inputs!$D$39*Portfolio_Flows!N239+Inputs!$D$40*Portfolio_Flows!N248+Inputs!$D$41*Portfolio_Flows!N257+(Inputs!$D$42+Inputs!$D$43-$D30)*Portfolio_Flows!N266+$D30*Portfolio_Flows!N275</f>
        <v>-229300</v>
      </c>
      <c r="O30" s="29" t="n">
        <f aca="false">Inputs!$D$39*Portfolio_Flows!O239+Inputs!$D$40*Portfolio_Flows!O248+Inputs!$D$41*Portfolio_Flows!O257+(Inputs!$D$42+Inputs!$D$43-$D30)*Portfolio_Flows!O266+$D30*Portfolio_Flows!O275</f>
        <v>0</v>
      </c>
      <c r="P30" s="29" t="n">
        <f aca="false">Inputs!$D$39*Portfolio_Flows!P239+Inputs!$D$40*Portfolio_Flows!P248+Inputs!$D$41*Portfolio_Flows!P257+(Inputs!$D$42+Inputs!$D$43-$D30)*Portfolio_Flows!P266+$D30*Portfolio_Flows!P275</f>
        <v>22423.338</v>
      </c>
      <c r="Q30" s="29" t="n">
        <f aca="false">Inputs!$D$39*Portfolio_Flows!Q239+Inputs!$D$40*Portfolio_Flows!Q248+Inputs!$D$41*Portfolio_Flows!Q257+(Inputs!$D$42+Inputs!$D$43-$D30)*Portfolio_Flows!Q266+$D30*Portfolio_Flows!Q275</f>
        <v>18686.115</v>
      </c>
      <c r="R30" s="29" t="n">
        <f aca="false">Inputs!$D$39*Portfolio_Flows!R239+Inputs!$D$40*Portfolio_Flows!R248+Inputs!$D$41*Portfolio_Flows!R257+(Inputs!$D$42+Inputs!$D$43-$D30)*Portfolio_Flows!R266+$D30*Portfolio_Flows!R275</f>
        <v>16817.5035</v>
      </c>
      <c r="S30" s="29" t="n">
        <f aca="false">Inputs!$D$39*Portfolio_Flows!S239+Inputs!$D$40*Portfolio_Flows!S248+Inputs!$D$41*Portfolio_Flows!S257+(Inputs!$D$42+Inputs!$D$43-$D30)*Portfolio_Flows!S266+$D30*Portfolio_Flows!S275</f>
        <v>13080.2805</v>
      </c>
      <c r="T30" s="29" t="n">
        <f aca="false">Inputs!$D$39*Portfolio_Flows!T239+Inputs!$D$40*Portfolio_Flows!T248+Inputs!$D$41*Portfolio_Flows!T257+(Inputs!$D$42+Inputs!$D$43-$D30)*Portfolio_Flows!T266+$D30*Portfolio_Flows!T275</f>
        <v>13084.5505</v>
      </c>
      <c r="U30" s="29" t="n">
        <f aca="false">Inputs!$D$39*Portfolio_Flows!U239+Inputs!$D$40*Portfolio_Flows!U248+Inputs!$D$41*Portfolio_Flows!U257+(Inputs!$D$42+Inputs!$D$43-$D30)*Portfolio_Flows!U266+$D30*Portfolio_Flows!U275</f>
        <v>13095.6525</v>
      </c>
      <c r="V30" s="29" t="n">
        <f aca="false">Inputs!$D$39*Portfolio_Flows!V239+Inputs!$D$40*Portfolio_Flows!V248+Inputs!$D$41*Portfolio_Flows!V257+(Inputs!$D$42+Inputs!$D$43-$D30)*Portfolio_Flows!V266+$D30*Portfolio_Flows!V275</f>
        <v>8117.56454166667</v>
      </c>
      <c r="W30" s="29" t="n">
        <f aca="false">Inputs!$D$39*Portfolio_Flows!W239+Inputs!$D$40*Portfolio_Flows!W248+Inputs!$D$41*Portfolio_Flows!W257+(Inputs!$D$42+Inputs!$D$43-$D30)*Portfolio_Flows!W266+$D30*Portfolio_Flows!W275</f>
        <v>8136.01533333333</v>
      </c>
      <c r="X30" s="29" t="n">
        <f aca="false">Inputs!$D$39*Portfolio_Flows!X239+Inputs!$D$40*Portfolio_Flows!X248+Inputs!$D$41*Portfolio_Flows!X257+(Inputs!$D$42+Inputs!$D$43-$D30)*Portfolio_Flows!X266+$D30*Portfolio_Flows!X275</f>
        <v>8159.941725</v>
      </c>
      <c r="Y30" s="29" t="n">
        <f aca="false">Inputs!$D$39*Portfolio_Flows!Y239+Inputs!$D$40*Portfolio_Flows!Y248+Inputs!$D$41*Portfolio_Flows!Y257+(Inputs!$D$42+Inputs!$D$43-$D30)*Portfolio_Flows!Y266+$D30*Portfolio_Flows!Y275</f>
        <v>6930.98908333333</v>
      </c>
      <c r="Z30" s="29" t="n">
        <f aca="false">Inputs!$D$39*Portfolio_Flows!Z239+Inputs!$D$40*Portfolio_Flows!Z248+Inputs!$D$41*Portfolio_Flows!Z257+(Inputs!$D$42+Inputs!$D$43-$D30)*Portfolio_Flows!Z266+$D30*Portfolio_Flows!Z275</f>
        <v>-84141.9079083333</v>
      </c>
      <c r="AA30" s="29" t="n">
        <f aca="false">Inputs!$D$39*Portfolio_Flows!AA239+Inputs!$D$40*Portfolio_Flows!AA248+Inputs!$D$41*Portfolio_Flows!AA257+(Inputs!$D$42+Inputs!$D$43-$D30)*Portfolio_Flows!AA266+$D30*Portfolio_Flows!AA275</f>
        <v>6983.83509999999</v>
      </c>
      <c r="AB30" s="29" t="n">
        <f aca="false">Inputs!$D$39*Portfolio_Flows!AB239+Inputs!$D$40*Portfolio_Flows!AB248+Inputs!$D$41*Portfolio_Flows!AB257+(Inputs!$D$42+Inputs!$D$43-$D30)*Portfolio_Flows!AB266+$D30*Portfolio_Flows!AB275</f>
        <v>8649.30505833333</v>
      </c>
      <c r="AC30" s="29" t="n">
        <f aca="false">Inputs!$D$39*Portfolio_Flows!AC239+Inputs!$D$40*Portfolio_Flows!AC248+Inputs!$D$41*Portfolio_Flows!AC257+(Inputs!$D$42+Inputs!$D$43-$D30)*Portfolio_Flows!AC266+$D30*Portfolio_Flows!AC275</f>
        <v>8728.01474999999</v>
      </c>
      <c r="AD30" s="29" t="n">
        <f aca="false">Inputs!$D$39*Portfolio_Flows!AD239+Inputs!$D$40*Portfolio_Flows!AD248+Inputs!$D$41*Portfolio_Flows!AD257+(Inputs!$D$42+Inputs!$D$43-$D30)*Portfolio_Flows!AD266+$D30*Portfolio_Flows!AD275</f>
        <v>8806.7244416667</v>
      </c>
      <c r="AE30" s="29" t="n">
        <f aca="false">Inputs!$D$39*Portfolio_Flows!AE239+Inputs!$D$40*Portfolio_Flows!AE248+Inputs!$D$41*Portfolio_Flows!AE257+(Inputs!$D$42+Inputs!$D$43-$D30)*Portfolio_Flows!AE266+$D30*Portfolio_Flows!AE275</f>
        <v>8885.43413333333</v>
      </c>
      <c r="AF30" s="29" t="n">
        <f aca="false">Inputs!$D$39*Portfolio_Flows!AF239+Inputs!$D$40*Portfolio_Flows!AF248+Inputs!$D$41*Portfolio_Flows!AF257+(Inputs!$D$42+Inputs!$D$43-$D30)*Portfolio_Flows!AF266+$D30*Portfolio_Flows!AF275</f>
        <v>8964.14382499999</v>
      </c>
      <c r="AG30" s="29" t="n">
        <f aca="false">Inputs!$D$39*Portfolio_Flows!AG239+Inputs!$D$40*Portfolio_Flows!AG248+Inputs!$D$41*Portfolio_Flows!AG257+(Inputs!$D$42+Inputs!$D$43-$D30)*Portfolio_Flows!AG266+$D30*Portfolio_Flows!AG275</f>
        <v>9042.85351666666</v>
      </c>
      <c r="AH30" s="29" t="n">
        <f aca="false">Inputs!$D$39*Portfolio_Flows!AH239+Inputs!$D$40*Portfolio_Flows!AH248+Inputs!$D$41*Portfolio_Flows!AH257+(Inputs!$D$42+Inputs!$D$43-$D30)*Portfolio_Flows!AH266+$D30*Portfolio_Flows!AH275</f>
        <v>6515.40229166669</v>
      </c>
      <c r="AI30" s="29" t="n">
        <f aca="false">Inputs!$D$39*Portfolio_Flows!AI239+Inputs!$D$40*Portfolio_Flows!AI248+Inputs!$D$41*Portfolio_Flows!AI257+(Inputs!$D$42+Inputs!$D$43-$D30)*Portfolio_Flows!AI266+$D30*Portfolio_Flows!AI275</f>
        <v>6571.62349999998</v>
      </c>
      <c r="AJ30" s="29" t="n">
        <f aca="false">Inputs!$D$39*Portfolio_Flows!AJ239+Inputs!$D$40*Portfolio_Flows!AJ248+Inputs!$D$41*Portfolio_Flows!AJ257+(Inputs!$D$42+Inputs!$D$43-$D30)*Portfolio_Flows!AJ266+$D30*Portfolio_Flows!AJ275</f>
        <v>6627.84470833331</v>
      </c>
      <c r="AK30" s="29" t="n">
        <f aca="false">Inputs!$D$39*Portfolio_Flows!AK239+Inputs!$D$40*Portfolio_Flows!AK248+Inputs!$D$41*Portfolio_Flows!AK257+(Inputs!$D$42+Inputs!$D$43-$D30)*Portfolio_Flows!AK266+$D30*Portfolio_Flows!AK275</f>
        <v>6684.06591666669</v>
      </c>
      <c r="AL30" s="29" t="n">
        <f aca="false">Inputs!$D$39*Portfolio_Flows!AL239+Inputs!$D$40*Portfolio_Flows!AL248+Inputs!$D$41*Portfolio_Flows!AL257+(Inputs!$D$42+Inputs!$D$43-$D30)*Portfolio_Flows!AL266+$D30*Portfolio_Flows!AL275</f>
        <v>-66018.712875</v>
      </c>
      <c r="AM30" s="29" t="n">
        <f aca="false">Inputs!$D$39*Portfolio_Flows!AM239+Inputs!$D$40*Portfolio_Flows!AM248+Inputs!$D$41*Portfolio_Flows!AM257+(Inputs!$D$42+Inputs!$D$43-$D30)*Portfolio_Flows!AM266+$D30*Portfolio_Flows!AM275</f>
        <v>6796.50833333331</v>
      </c>
      <c r="AN30" s="29" t="n">
        <f aca="false">Inputs!$D$39*Portfolio_Flows!AN239+Inputs!$D$40*Portfolio_Flows!AN248+Inputs!$D$41*Portfolio_Flows!AN257+(Inputs!$D$42+Inputs!$D$43-$D30)*Portfolio_Flows!AN266+$D30*Portfolio_Flows!AN275</f>
        <v>0</v>
      </c>
      <c r="AO30" s="29" t="n">
        <f aca="false">Inputs!$D$39*Portfolio_Flows!AO239+Inputs!$D$40*Portfolio_Flows!AO248+Inputs!$D$41*Portfolio_Flows!AO257+(Inputs!$D$42+Inputs!$D$43-$D30)*Portfolio_Flows!AO266+$D30*Portfolio_Flows!AO275</f>
        <v>0</v>
      </c>
      <c r="AP30" s="29" t="n">
        <f aca="false">Inputs!$D$39*Portfolio_Flows!AP239+Inputs!$D$40*Portfolio_Flows!AP248+Inputs!$D$41*Portfolio_Flows!AP257+(Inputs!$D$42+Inputs!$D$43-$D30)*Portfolio_Flows!AP266+$D30*Portfolio_Flows!AP275</f>
        <v>119056.4025</v>
      </c>
      <c r="AQ30" s="29" t="n">
        <f aca="false">Inputs!$D$39*Portfolio_Flows!AQ239+Inputs!$D$40*Portfolio_Flows!AQ248+Inputs!$D$41*Portfolio_Flows!AQ257+(Inputs!$D$42+Inputs!$D$43-$D30)*Portfolio_Flows!AQ266+$D30*Portfolio_Flows!AQ275</f>
        <v>0</v>
      </c>
      <c r="AR30" s="29" t="n">
        <f aca="false">Inputs!$D$39*Portfolio_Flows!AR239+Inputs!$D$40*Portfolio_Flows!AR248+Inputs!$D$41*Portfolio_Flows!AR257+(Inputs!$D$42+Inputs!$D$43-$D30)*Portfolio_Flows!AR266+$D30*Portfolio_Flows!AR275</f>
        <v>0</v>
      </c>
      <c r="AS30" s="29" t="n">
        <f aca="false">Inputs!$D$39*Portfolio_Flows!AS239+Inputs!$D$40*Portfolio_Flows!AS248+Inputs!$D$41*Portfolio_Flows!AS257+(Inputs!$D$42+Inputs!$D$43-$D30)*Portfolio_Flows!AS266+$D30*Portfolio_Flows!AS275</f>
        <v>13881.29745</v>
      </c>
      <c r="AT30" s="29" t="n">
        <f aca="false">Inputs!$D$39*Portfolio_Flows!AT239+Inputs!$D$40*Portfolio_Flows!AT248+Inputs!$D$41*Portfolio_Flows!AT257+(Inputs!$D$42+Inputs!$D$43-$D30)*Portfolio_Flows!AT266+$D30*Portfolio_Flows!AT275</f>
        <v>0</v>
      </c>
      <c r="AU30" s="29" t="n">
        <f aca="false">Inputs!$D$39*Portfolio_Flows!AU239+Inputs!$D$40*Portfolio_Flows!AU248+Inputs!$D$41*Portfolio_Flows!AU257+(Inputs!$D$42+Inputs!$D$43-$D30)*Portfolio_Flows!AU266+$D30*Portfolio_Flows!AU275</f>
        <v>0</v>
      </c>
      <c r="AV30" s="29" t="n">
        <f aca="false">Inputs!$D$39*Portfolio_Flows!AV239+Inputs!$D$40*Portfolio_Flows!AV248+Inputs!$D$41*Portfolio_Flows!AV257+(Inputs!$D$42+Inputs!$D$43-$D30)*Portfolio_Flows!AV266+$D30*Portfolio_Flows!AV275</f>
        <v>0</v>
      </c>
      <c r="AW30" s="29" t="n">
        <f aca="false">Inputs!$D$39*Portfolio_Flows!AW239+Inputs!$D$40*Portfolio_Flows!AW248+Inputs!$D$41*Portfolio_Flows!AW257+(Inputs!$D$42+Inputs!$D$43-$D30)*Portfolio_Flows!AW266+$D30*Portfolio_Flows!AW275</f>
        <v>0</v>
      </c>
      <c r="AX30" s="29" t="n">
        <f aca="false">Inputs!$D$39*Portfolio_Flows!AX239+Inputs!$D$40*Portfolio_Flows!AX248+Inputs!$D$41*Portfolio_Flows!AX257+(Inputs!$D$42+Inputs!$D$43-$D30)*Portfolio_Flows!AX266+$D30*Portfolio_Flows!AX275</f>
        <v>27791.532</v>
      </c>
      <c r="AY30" s="29" t="n">
        <f aca="false">Inputs!$D$39*Portfolio_Flows!AY239+Inputs!$D$40*Portfolio_Flows!AY248+Inputs!$D$41*Portfolio_Flows!AY257+(Inputs!$D$42+Inputs!$D$43-$D30)*Portfolio_Flows!AY266+$D30*Portfolio_Flows!AY275</f>
        <v>0</v>
      </c>
    </row>
    <row r="31" customFormat="false" ht="15" hidden="false" customHeight="false" outlineLevel="0" collapsed="false">
      <c r="B31" s="9" t="s">
        <v>316</v>
      </c>
      <c r="C31" s="27" t="str">
        <f aca="false">Inputs!$B$60</f>
        <v>Extreme downturn</v>
      </c>
      <c r="D31" s="12" t="n">
        <v>4</v>
      </c>
      <c r="E31" s="40" t="n">
        <f aca="false">IRR($N31:$AY31,0.005)</f>
        <v>0.000440916196226811</v>
      </c>
      <c r="F31" s="41" t="n">
        <f aca="false">(1+E31)^12-1</f>
        <v>0.00530384409931406</v>
      </c>
      <c r="G31" s="30" t="n">
        <f aca="false">-N31</f>
        <v>229300</v>
      </c>
      <c r="H31" s="30" t="n">
        <f aca="false">-SUMIF(O31:AY31,"&lt;0")</f>
        <v>146261.188783333</v>
      </c>
      <c r="I31" s="30" t="n">
        <f aca="false">SUMIF($N31:$AY31,"&gt;0")</f>
        <v>377543.762208333</v>
      </c>
      <c r="J31" s="30" t="n">
        <f aca="false">I31-G31-H31</f>
        <v>1982.57342499998</v>
      </c>
      <c r="N31" s="29" t="n">
        <f aca="false">Inputs!$D$39*Portfolio_Flows!N239+Inputs!$D$40*Portfolio_Flows!N248+Inputs!$D$41*Portfolio_Flows!N257+(Inputs!$D$42+Inputs!$D$43-$D31)*Portfolio_Flows!N266+$D31*Portfolio_Flows!N275</f>
        <v>-229300</v>
      </c>
      <c r="O31" s="29" t="n">
        <f aca="false">Inputs!$D$39*Portfolio_Flows!O239+Inputs!$D$40*Portfolio_Flows!O248+Inputs!$D$41*Portfolio_Flows!O257+(Inputs!$D$42+Inputs!$D$43-$D31)*Portfolio_Flows!O266+$D31*Portfolio_Flows!O275</f>
        <v>0</v>
      </c>
      <c r="P31" s="29" t="n">
        <f aca="false">Inputs!$D$39*Portfolio_Flows!P239+Inputs!$D$40*Portfolio_Flows!P248+Inputs!$D$41*Portfolio_Flows!P257+(Inputs!$D$42+Inputs!$D$43-$D31)*Portfolio_Flows!P266+$D31*Portfolio_Flows!P275</f>
        <v>22302.378</v>
      </c>
      <c r="Q31" s="29" t="n">
        <f aca="false">Inputs!$D$39*Portfolio_Flows!Q239+Inputs!$D$40*Portfolio_Flows!Q248+Inputs!$D$41*Portfolio_Flows!Q257+(Inputs!$D$42+Inputs!$D$43-$D31)*Portfolio_Flows!Q266+$D31*Portfolio_Flows!Q275</f>
        <v>18585.315</v>
      </c>
      <c r="R31" s="29" t="n">
        <f aca="false">Inputs!$D$39*Portfolio_Flows!R239+Inputs!$D$40*Portfolio_Flows!R248+Inputs!$D$41*Portfolio_Flows!R257+(Inputs!$D$42+Inputs!$D$43-$D31)*Portfolio_Flows!R266+$D31*Portfolio_Flows!R275</f>
        <v>16726.7835</v>
      </c>
      <c r="S31" s="29" t="n">
        <f aca="false">Inputs!$D$39*Portfolio_Flows!S239+Inputs!$D$40*Portfolio_Flows!S248+Inputs!$D$41*Portfolio_Flows!S257+(Inputs!$D$42+Inputs!$D$43-$D31)*Portfolio_Flows!S266+$D31*Portfolio_Flows!S275</f>
        <v>13009.7205</v>
      </c>
      <c r="T31" s="29" t="n">
        <f aca="false">Inputs!$D$39*Portfolio_Flows!T239+Inputs!$D$40*Portfolio_Flows!T248+Inputs!$D$41*Portfolio_Flows!T257+(Inputs!$D$42+Inputs!$D$43-$D31)*Portfolio_Flows!T266+$D31*Portfolio_Flows!T275</f>
        <v>13013.7105</v>
      </c>
      <c r="U31" s="29" t="n">
        <f aca="false">Inputs!$D$39*Portfolio_Flows!U239+Inputs!$D$40*Portfolio_Flows!U248+Inputs!$D$41*Portfolio_Flows!U257+(Inputs!$D$42+Inputs!$D$43-$D31)*Portfolio_Flows!U266+$D31*Portfolio_Flows!U275</f>
        <v>13024.0845</v>
      </c>
      <c r="V31" s="29" t="n">
        <f aca="false">Inputs!$D$39*Portfolio_Flows!V239+Inputs!$D$40*Portfolio_Flows!V248+Inputs!$D$41*Portfolio_Flows!V257+(Inputs!$D$42+Inputs!$D$43-$D31)*Portfolio_Flows!V266+$D31*Portfolio_Flows!V275</f>
        <v>8072.809875</v>
      </c>
      <c r="W31" s="29" t="n">
        <f aca="false">Inputs!$D$39*Portfolio_Flows!W239+Inputs!$D$40*Portfolio_Flows!W248+Inputs!$D$41*Portfolio_Flows!W257+(Inputs!$D$42+Inputs!$D$43-$D31)*Portfolio_Flows!W266+$D31*Portfolio_Flows!W275</f>
        <v>8090.81</v>
      </c>
      <c r="X31" s="29" t="n">
        <f aca="false">Inputs!$D$39*Portfolio_Flows!X239+Inputs!$D$40*Portfolio_Flows!X248+Inputs!$D$41*Portfolio_Flows!X257+(Inputs!$D$42+Inputs!$D$43-$D31)*Portfolio_Flows!X266+$D31*Portfolio_Flows!X275</f>
        <v>8114.285725</v>
      </c>
      <c r="Y31" s="29" t="n">
        <f aca="false">Inputs!$D$39*Portfolio_Flows!Y239+Inputs!$D$40*Portfolio_Flows!Y248+Inputs!$D$41*Portfolio_Flows!Y257+(Inputs!$D$42+Inputs!$D$43-$D31)*Portfolio_Flows!Y266+$D31*Portfolio_Flows!Y275</f>
        <v>6891.97574999999</v>
      </c>
      <c r="Z31" s="29" t="n">
        <f aca="false">Inputs!$D$39*Portfolio_Flows!Z239+Inputs!$D$40*Portfolio_Flows!Z248+Inputs!$D$41*Portfolio_Flows!Z257+(Inputs!$D$42+Inputs!$D$43-$D31)*Portfolio_Flows!Z266+$D31*Portfolio_Flows!Z275</f>
        <v>-82562.102575</v>
      </c>
      <c r="AA31" s="29" t="n">
        <f aca="false">Inputs!$D$39*Portfolio_Flows!AA239+Inputs!$D$40*Portfolio_Flows!AA248+Inputs!$D$41*Portfolio_Flows!AA257+(Inputs!$D$42+Inputs!$D$43-$D31)*Portfolio_Flows!AA266+$D31*Portfolio_Flows!AA275</f>
        <v>6944.05909999999</v>
      </c>
      <c r="AB31" s="29" t="n">
        <f aca="false">Inputs!$D$39*Portfolio_Flows!AB239+Inputs!$D$40*Portfolio_Flows!AB248+Inputs!$D$41*Portfolio_Flows!AB257+(Inputs!$D$42+Inputs!$D$43-$D31)*Portfolio_Flows!AB266+$D31*Portfolio_Flows!AB275</f>
        <v>8574.48905833333</v>
      </c>
      <c r="AC31" s="29" t="n">
        <f aca="false">Inputs!$D$39*Portfolio_Flows!AC239+Inputs!$D$40*Portfolio_Flows!AC248+Inputs!$D$41*Portfolio_Flows!AC257+(Inputs!$D$42+Inputs!$D$43-$D31)*Portfolio_Flows!AC266+$D31*Portfolio_Flows!AC275</f>
        <v>8652.22808333333</v>
      </c>
      <c r="AD31" s="29" t="n">
        <f aca="false">Inputs!$D$39*Portfolio_Flows!AD239+Inputs!$D$40*Portfolio_Flows!AD248+Inputs!$D$41*Portfolio_Flows!AD257+(Inputs!$D$42+Inputs!$D$43-$D31)*Portfolio_Flows!AD266+$D31*Portfolio_Flows!AD275</f>
        <v>8729.96710833337</v>
      </c>
      <c r="AE31" s="29" t="n">
        <f aca="false">Inputs!$D$39*Portfolio_Flows!AE239+Inputs!$D$40*Portfolio_Flows!AE248+Inputs!$D$41*Portfolio_Flows!AE257+(Inputs!$D$42+Inputs!$D$43-$D31)*Portfolio_Flows!AE266+$D31*Portfolio_Flows!AE275</f>
        <v>8807.70613333333</v>
      </c>
      <c r="AF31" s="29" t="n">
        <f aca="false">Inputs!$D$39*Portfolio_Flows!AF239+Inputs!$D$40*Portfolio_Flows!AF248+Inputs!$D$41*Portfolio_Flows!AF257+(Inputs!$D$42+Inputs!$D$43-$D31)*Portfolio_Flows!AF266+$D31*Portfolio_Flows!AF275</f>
        <v>8885.44515833333</v>
      </c>
      <c r="AG31" s="29" t="n">
        <f aca="false">Inputs!$D$39*Portfolio_Flows!AG239+Inputs!$D$40*Portfolio_Flows!AG248+Inputs!$D$41*Portfolio_Flows!AG257+(Inputs!$D$42+Inputs!$D$43-$D31)*Portfolio_Flows!AG266+$D31*Portfolio_Flows!AG275</f>
        <v>8963.18418333333</v>
      </c>
      <c r="AH31" s="29" t="n">
        <f aca="false">Inputs!$D$39*Portfolio_Flows!AH239+Inputs!$D$40*Portfolio_Flows!AH248+Inputs!$D$41*Portfolio_Flows!AH257+(Inputs!$D$42+Inputs!$D$43-$D31)*Portfolio_Flows!AH266+$D31*Portfolio_Flows!AH275</f>
        <v>6457.80229166669</v>
      </c>
      <c r="AI31" s="29" t="n">
        <f aca="false">Inputs!$D$39*Portfolio_Flows!AI239+Inputs!$D$40*Portfolio_Flows!AI248+Inputs!$D$41*Portfolio_Flows!AI257+(Inputs!$D$42+Inputs!$D$43-$D31)*Portfolio_Flows!AI266+$D31*Portfolio_Flows!AI275</f>
        <v>6513.33016666665</v>
      </c>
      <c r="AJ31" s="29" t="n">
        <f aca="false">Inputs!$D$39*Portfolio_Flows!AJ239+Inputs!$D$40*Portfolio_Flows!AJ248+Inputs!$D$41*Portfolio_Flows!AJ257+(Inputs!$D$42+Inputs!$D$43-$D31)*Portfolio_Flows!AJ266+$D31*Portfolio_Flows!AJ275</f>
        <v>6568.85804166664</v>
      </c>
      <c r="AK31" s="29" t="n">
        <f aca="false">Inputs!$D$39*Portfolio_Flows!AK239+Inputs!$D$40*Portfolio_Flows!AK248+Inputs!$D$41*Portfolio_Flows!AK257+(Inputs!$D$42+Inputs!$D$43-$D31)*Portfolio_Flows!AK266+$D31*Portfolio_Flows!AK275</f>
        <v>6624.38591666669</v>
      </c>
      <c r="AL31" s="29" t="n">
        <f aca="false">Inputs!$D$39*Portfolio_Flows!AL239+Inputs!$D$40*Portfolio_Flows!AL248+Inputs!$D$41*Portfolio_Flows!AL257+(Inputs!$D$42+Inputs!$D$43-$D31)*Portfolio_Flows!AL266+$D31*Portfolio_Flows!AL275</f>
        <v>-63699.0862083333</v>
      </c>
      <c r="AM31" s="29" t="n">
        <f aca="false">Inputs!$D$39*Portfolio_Flows!AM239+Inputs!$D$40*Portfolio_Flows!AM248+Inputs!$D$41*Portfolio_Flows!AM257+(Inputs!$D$42+Inputs!$D$43-$D31)*Portfolio_Flows!AM266+$D31*Portfolio_Flows!AM275</f>
        <v>6735.44166666664</v>
      </c>
      <c r="AN31" s="29" t="n">
        <f aca="false">Inputs!$D$39*Portfolio_Flows!AN239+Inputs!$D$40*Portfolio_Flows!AN248+Inputs!$D$41*Portfolio_Flows!AN257+(Inputs!$D$42+Inputs!$D$43-$D31)*Portfolio_Flows!AN266+$D31*Portfolio_Flows!AN275</f>
        <v>0</v>
      </c>
      <c r="AO31" s="29" t="n">
        <f aca="false">Inputs!$D$39*Portfolio_Flows!AO239+Inputs!$D$40*Portfolio_Flows!AO248+Inputs!$D$41*Portfolio_Flows!AO257+(Inputs!$D$42+Inputs!$D$43-$D31)*Portfolio_Flows!AO266+$D31*Portfolio_Flows!AO275</f>
        <v>0</v>
      </c>
      <c r="AP31" s="29" t="n">
        <f aca="false">Inputs!$D$39*Portfolio_Flows!AP239+Inputs!$D$40*Portfolio_Flows!AP248+Inputs!$D$41*Portfolio_Flows!AP257+(Inputs!$D$42+Inputs!$D$43-$D31)*Portfolio_Flows!AP266+$D31*Portfolio_Flows!AP275</f>
        <v>116956.4025</v>
      </c>
      <c r="AQ31" s="29" t="n">
        <f aca="false">Inputs!$D$39*Portfolio_Flows!AQ239+Inputs!$D$40*Portfolio_Flows!AQ248+Inputs!$D$41*Portfolio_Flows!AQ257+(Inputs!$D$42+Inputs!$D$43-$D31)*Portfolio_Flows!AQ266+$D31*Portfolio_Flows!AQ275</f>
        <v>0</v>
      </c>
      <c r="AR31" s="29" t="n">
        <f aca="false">Inputs!$D$39*Portfolio_Flows!AR239+Inputs!$D$40*Portfolio_Flows!AR248+Inputs!$D$41*Portfolio_Flows!AR257+(Inputs!$D$42+Inputs!$D$43-$D31)*Portfolio_Flows!AR266+$D31*Portfolio_Flows!AR275</f>
        <v>0</v>
      </c>
      <c r="AS31" s="29" t="n">
        <f aca="false">Inputs!$D$39*Portfolio_Flows!AS239+Inputs!$D$40*Portfolio_Flows!AS248+Inputs!$D$41*Portfolio_Flows!AS257+(Inputs!$D$42+Inputs!$D$43-$D31)*Portfolio_Flows!AS266+$D31*Portfolio_Flows!AS275</f>
        <v>13477.25745</v>
      </c>
      <c r="AT31" s="29" t="n">
        <f aca="false">Inputs!$D$39*Portfolio_Flows!AT239+Inputs!$D$40*Portfolio_Flows!AT248+Inputs!$D$41*Portfolio_Flows!AT257+(Inputs!$D$42+Inputs!$D$43-$D31)*Portfolio_Flows!AT266+$D31*Portfolio_Flows!AT275</f>
        <v>0</v>
      </c>
      <c r="AU31" s="29" t="n">
        <f aca="false">Inputs!$D$39*Portfolio_Flows!AU239+Inputs!$D$40*Portfolio_Flows!AU248+Inputs!$D$41*Portfolio_Flows!AU257+(Inputs!$D$42+Inputs!$D$43-$D31)*Portfolio_Flows!AU266+$D31*Portfolio_Flows!AU275</f>
        <v>0</v>
      </c>
      <c r="AV31" s="29" t="n">
        <f aca="false">Inputs!$D$39*Portfolio_Flows!AV239+Inputs!$D$40*Portfolio_Flows!AV248+Inputs!$D$41*Portfolio_Flows!AV257+(Inputs!$D$42+Inputs!$D$43-$D31)*Portfolio_Flows!AV266+$D31*Portfolio_Flows!AV275</f>
        <v>0</v>
      </c>
      <c r="AW31" s="29" t="n">
        <f aca="false">Inputs!$D$39*Portfolio_Flows!AW239+Inputs!$D$40*Portfolio_Flows!AW248+Inputs!$D$41*Portfolio_Flows!AW257+(Inputs!$D$42+Inputs!$D$43-$D31)*Portfolio_Flows!AW266+$D31*Portfolio_Flows!AW275</f>
        <v>0</v>
      </c>
      <c r="AX31" s="29" t="n">
        <f aca="false">Inputs!$D$39*Portfolio_Flows!AX239+Inputs!$D$40*Portfolio_Flows!AX248+Inputs!$D$41*Portfolio_Flows!AX257+(Inputs!$D$42+Inputs!$D$43-$D31)*Portfolio_Flows!AX266+$D31*Portfolio_Flows!AX275</f>
        <v>26821.332</v>
      </c>
      <c r="AY31" s="29" t="n">
        <f aca="false">Inputs!$D$39*Portfolio_Flows!AY239+Inputs!$D$40*Portfolio_Flows!AY248+Inputs!$D$41*Portfolio_Flows!AY257+(Inputs!$D$42+Inputs!$D$43-$D31)*Portfolio_Flows!AY266+$D31*Portfolio_Flows!AY275</f>
        <v>0</v>
      </c>
    </row>
    <row r="32" customFormat="false" ht="15" hidden="false" customHeight="false" outlineLevel="0" collapsed="false">
      <c r="B32" s="9" t="s">
        <v>317</v>
      </c>
      <c r="C32" s="27" t="str">
        <f aca="false">Inputs!$B$60</f>
        <v>Extreme downturn</v>
      </c>
      <c r="D32" s="12" t="n">
        <v>6</v>
      </c>
      <c r="E32" s="40" t="n">
        <f aca="false">IRR($N32:$AY32,0.005)</f>
        <v>0.000203679659439141</v>
      </c>
      <c r="F32" s="41" t="n">
        <f aca="false">(1+E32)^12-1</f>
        <v>0.00244689580970503</v>
      </c>
      <c r="G32" s="30" t="n">
        <f aca="false">-N32</f>
        <v>229300</v>
      </c>
      <c r="H32" s="30" t="n">
        <f aca="false">-SUMIF(O32:AY32,"&lt;0")</f>
        <v>142361.756783333</v>
      </c>
      <c r="I32" s="30" t="n">
        <f aca="false">SUMIF($N32:$AY32,"&gt;0")</f>
        <v>372570.586208333</v>
      </c>
      <c r="J32" s="30" t="n">
        <f aca="false">I32-G32-H32</f>
        <v>908.829425000004</v>
      </c>
      <c r="N32" s="29" t="n">
        <f aca="false">Inputs!$D$39*Portfolio_Flows!N239+Inputs!$D$40*Portfolio_Flows!N248+Inputs!$D$41*Portfolio_Flows!N257+(Inputs!$D$42+Inputs!$D$43-$D32)*Portfolio_Flows!N266+$D32*Portfolio_Flows!N275</f>
        <v>-229300</v>
      </c>
      <c r="O32" s="29" t="n">
        <f aca="false">Inputs!$D$39*Portfolio_Flows!O239+Inputs!$D$40*Portfolio_Flows!O248+Inputs!$D$41*Portfolio_Flows!O257+(Inputs!$D$42+Inputs!$D$43-$D32)*Portfolio_Flows!O266+$D32*Portfolio_Flows!O275</f>
        <v>0</v>
      </c>
      <c r="P32" s="29" t="n">
        <f aca="false">Inputs!$D$39*Portfolio_Flows!P239+Inputs!$D$40*Portfolio_Flows!P248+Inputs!$D$41*Portfolio_Flows!P257+(Inputs!$D$42+Inputs!$D$43-$D32)*Portfolio_Flows!P266+$D32*Portfolio_Flows!P275</f>
        <v>22181.418</v>
      </c>
      <c r="Q32" s="29" t="n">
        <f aca="false">Inputs!$D$39*Portfolio_Flows!Q239+Inputs!$D$40*Portfolio_Flows!Q248+Inputs!$D$41*Portfolio_Flows!Q257+(Inputs!$D$42+Inputs!$D$43-$D32)*Portfolio_Flows!Q266+$D32*Portfolio_Flows!Q275</f>
        <v>18484.515</v>
      </c>
      <c r="R32" s="29" t="n">
        <f aca="false">Inputs!$D$39*Portfolio_Flows!R239+Inputs!$D$40*Portfolio_Flows!R248+Inputs!$D$41*Portfolio_Flows!R257+(Inputs!$D$42+Inputs!$D$43-$D32)*Portfolio_Flows!R266+$D32*Portfolio_Flows!R275</f>
        <v>16636.0635</v>
      </c>
      <c r="S32" s="29" t="n">
        <f aca="false">Inputs!$D$39*Portfolio_Flows!S239+Inputs!$D$40*Portfolio_Flows!S248+Inputs!$D$41*Portfolio_Flows!S257+(Inputs!$D$42+Inputs!$D$43-$D32)*Portfolio_Flows!S266+$D32*Portfolio_Flows!S275</f>
        <v>12939.1605</v>
      </c>
      <c r="T32" s="29" t="n">
        <f aca="false">Inputs!$D$39*Portfolio_Flows!T239+Inputs!$D$40*Portfolio_Flows!T248+Inputs!$D$41*Portfolio_Flows!T257+(Inputs!$D$42+Inputs!$D$43-$D32)*Portfolio_Flows!T266+$D32*Portfolio_Flows!T275</f>
        <v>12942.8705</v>
      </c>
      <c r="U32" s="29" t="n">
        <f aca="false">Inputs!$D$39*Portfolio_Flows!U239+Inputs!$D$40*Portfolio_Flows!U248+Inputs!$D$41*Portfolio_Flows!U257+(Inputs!$D$42+Inputs!$D$43-$D32)*Portfolio_Flows!U266+$D32*Portfolio_Flows!U275</f>
        <v>12952.5165</v>
      </c>
      <c r="V32" s="29" t="n">
        <f aca="false">Inputs!$D$39*Portfolio_Flows!V239+Inputs!$D$40*Portfolio_Flows!V248+Inputs!$D$41*Portfolio_Flows!V257+(Inputs!$D$42+Inputs!$D$43-$D32)*Portfolio_Flows!V266+$D32*Portfolio_Flows!V275</f>
        <v>8028.05520833333</v>
      </c>
      <c r="W32" s="29" t="n">
        <f aca="false">Inputs!$D$39*Portfolio_Flows!W239+Inputs!$D$40*Portfolio_Flows!W248+Inputs!$D$41*Portfolio_Flows!W257+(Inputs!$D$42+Inputs!$D$43-$D32)*Portfolio_Flows!W266+$D32*Portfolio_Flows!W275</f>
        <v>8045.60466666667</v>
      </c>
      <c r="X32" s="29" t="n">
        <f aca="false">Inputs!$D$39*Portfolio_Flows!X239+Inputs!$D$40*Portfolio_Flows!X248+Inputs!$D$41*Portfolio_Flows!X257+(Inputs!$D$42+Inputs!$D$43-$D32)*Portfolio_Flows!X266+$D32*Portfolio_Flows!X275</f>
        <v>8068.629725</v>
      </c>
      <c r="Y32" s="29" t="n">
        <f aca="false">Inputs!$D$39*Portfolio_Flows!Y239+Inputs!$D$40*Portfolio_Flows!Y248+Inputs!$D$41*Portfolio_Flows!Y257+(Inputs!$D$42+Inputs!$D$43-$D32)*Portfolio_Flows!Y266+$D32*Portfolio_Flows!Y275</f>
        <v>6852.96241666666</v>
      </c>
      <c r="Z32" s="29" t="n">
        <f aca="false">Inputs!$D$39*Portfolio_Flows!Z239+Inputs!$D$40*Portfolio_Flows!Z248+Inputs!$D$41*Portfolio_Flows!Z257+(Inputs!$D$42+Inputs!$D$43-$D32)*Portfolio_Flows!Z266+$D32*Portfolio_Flows!Z275</f>
        <v>-80982.2972416667</v>
      </c>
      <c r="AA32" s="29" t="n">
        <f aca="false">Inputs!$D$39*Portfolio_Flows!AA239+Inputs!$D$40*Portfolio_Flows!AA248+Inputs!$D$41*Portfolio_Flows!AA257+(Inputs!$D$42+Inputs!$D$43-$D32)*Portfolio_Flows!AA266+$D32*Portfolio_Flows!AA275</f>
        <v>6904.28309999999</v>
      </c>
      <c r="AB32" s="29" t="n">
        <f aca="false">Inputs!$D$39*Portfolio_Flows!AB239+Inputs!$D$40*Portfolio_Flows!AB248+Inputs!$D$41*Portfolio_Flows!AB257+(Inputs!$D$42+Inputs!$D$43-$D32)*Portfolio_Flows!AB266+$D32*Portfolio_Flows!AB275</f>
        <v>8499.67305833333</v>
      </c>
      <c r="AC32" s="29" t="n">
        <f aca="false">Inputs!$D$39*Portfolio_Flows!AC239+Inputs!$D$40*Portfolio_Flows!AC248+Inputs!$D$41*Portfolio_Flows!AC257+(Inputs!$D$42+Inputs!$D$43-$D32)*Portfolio_Flows!AC266+$D32*Portfolio_Flows!AC275</f>
        <v>8576.44141666666</v>
      </c>
      <c r="AD32" s="29" t="n">
        <f aca="false">Inputs!$D$39*Portfolio_Flows!AD239+Inputs!$D$40*Portfolio_Flows!AD248+Inputs!$D$41*Portfolio_Flows!AD257+(Inputs!$D$42+Inputs!$D$43-$D32)*Portfolio_Flows!AD266+$D32*Portfolio_Flows!AD275</f>
        <v>8653.20977500004</v>
      </c>
      <c r="AE32" s="29" t="n">
        <f aca="false">Inputs!$D$39*Portfolio_Flows!AE239+Inputs!$D$40*Portfolio_Flows!AE248+Inputs!$D$41*Portfolio_Flows!AE257+(Inputs!$D$42+Inputs!$D$43-$D32)*Portfolio_Flows!AE266+$D32*Portfolio_Flows!AE275</f>
        <v>8729.97813333333</v>
      </c>
      <c r="AF32" s="29" t="n">
        <f aca="false">Inputs!$D$39*Portfolio_Flows!AF239+Inputs!$D$40*Portfolio_Flows!AF248+Inputs!$D$41*Portfolio_Flows!AF257+(Inputs!$D$42+Inputs!$D$43-$D32)*Portfolio_Flows!AF266+$D32*Portfolio_Flows!AF275</f>
        <v>8806.74649166666</v>
      </c>
      <c r="AG32" s="29" t="n">
        <f aca="false">Inputs!$D$39*Portfolio_Flows!AG239+Inputs!$D$40*Portfolio_Flows!AG248+Inputs!$D$41*Portfolio_Flows!AG257+(Inputs!$D$42+Inputs!$D$43-$D32)*Portfolio_Flows!AG266+$D32*Portfolio_Flows!AG275</f>
        <v>8883.51484999999</v>
      </c>
      <c r="AH32" s="29" t="n">
        <f aca="false">Inputs!$D$39*Portfolio_Flows!AH239+Inputs!$D$40*Portfolio_Flows!AH248+Inputs!$D$41*Portfolio_Flows!AH257+(Inputs!$D$42+Inputs!$D$43-$D32)*Portfolio_Flows!AH266+$D32*Portfolio_Flows!AH275</f>
        <v>6400.20229166669</v>
      </c>
      <c r="AI32" s="29" t="n">
        <f aca="false">Inputs!$D$39*Portfolio_Flows!AI239+Inputs!$D$40*Portfolio_Flows!AI248+Inputs!$D$41*Portfolio_Flows!AI257+(Inputs!$D$42+Inputs!$D$43-$D32)*Portfolio_Flows!AI266+$D32*Portfolio_Flows!AI275</f>
        <v>6455.03683333331</v>
      </c>
      <c r="AJ32" s="29" t="n">
        <f aca="false">Inputs!$D$39*Portfolio_Flows!AJ239+Inputs!$D$40*Portfolio_Flows!AJ248+Inputs!$D$41*Portfolio_Flows!AJ257+(Inputs!$D$42+Inputs!$D$43-$D32)*Portfolio_Flows!AJ266+$D32*Portfolio_Flows!AJ275</f>
        <v>6509.87137499998</v>
      </c>
      <c r="AK32" s="29" t="n">
        <f aca="false">Inputs!$D$39*Portfolio_Flows!AK239+Inputs!$D$40*Portfolio_Flows!AK248+Inputs!$D$41*Portfolio_Flows!AK257+(Inputs!$D$42+Inputs!$D$43-$D32)*Portfolio_Flows!AK266+$D32*Portfolio_Flows!AK275</f>
        <v>6564.70591666669</v>
      </c>
      <c r="AL32" s="29" t="n">
        <f aca="false">Inputs!$D$39*Portfolio_Flows!AL239+Inputs!$D$40*Portfolio_Flows!AL248+Inputs!$D$41*Portfolio_Flows!AL257+(Inputs!$D$42+Inputs!$D$43-$D32)*Portfolio_Flows!AL266+$D32*Portfolio_Flows!AL275</f>
        <v>-61379.4595416667</v>
      </c>
      <c r="AM32" s="29" t="n">
        <f aca="false">Inputs!$D$39*Portfolio_Flows!AM239+Inputs!$D$40*Portfolio_Flows!AM248+Inputs!$D$41*Portfolio_Flows!AM257+(Inputs!$D$42+Inputs!$D$43-$D32)*Portfolio_Flows!AM266+$D32*Portfolio_Flows!AM275</f>
        <v>6674.37499999998</v>
      </c>
      <c r="AN32" s="29" t="n">
        <f aca="false">Inputs!$D$39*Portfolio_Flows!AN239+Inputs!$D$40*Portfolio_Flows!AN248+Inputs!$D$41*Portfolio_Flows!AN257+(Inputs!$D$42+Inputs!$D$43-$D32)*Portfolio_Flows!AN266+$D32*Portfolio_Flows!AN275</f>
        <v>0</v>
      </c>
      <c r="AO32" s="29" t="n">
        <f aca="false">Inputs!$D$39*Portfolio_Flows!AO239+Inputs!$D$40*Portfolio_Flows!AO248+Inputs!$D$41*Portfolio_Flows!AO257+(Inputs!$D$42+Inputs!$D$43-$D32)*Portfolio_Flows!AO266+$D32*Portfolio_Flows!AO275</f>
        <v>0</v>
      </c>
      <c r="AP32" s="29" t="n">
        <f aca="false">Inputs!$D$39*Portfolio_Flows!AP239+Inputs!$D$40*Portfolio_Flows!AP248+Inputs!$D$41*Portfolio_Flows!AP257+(Inputs!$D$42+Inputs!$D$43-$D32)*Portfolio_Flows!AP266+$D32*Portfolio_Flows!AP275</f>
        <v>114856.4025</v>
      </c>
      <c r="AQ32" s="29" t="n">
        <f aca="false">Inputs!$D$39*Portfolio_Flows!AQ239+Inputs!$D$40*Portfolio_Flows!AQ248+Inputs!$D$41*Portfolio_Flows!AQ257+(Inputs!$D$42+Inputs!$D$43-$D32)*Portfolio_Flows!AQ266+$D32*Portfolio_Flows!AQ275</f>
        <v>0</v>
      </c>
      <c r="AR32" s="29" t="n">
        <f aca="false">Inputs!$D$39*Portfolio_Flows!AR239+Inputs!$D$40*Portfolio_Flows!AR248+Inputs!$D$41*Portfolio_Flows!AR257+(Inputs!$D$42+Inputs!$D$43-$D32)*Portfolio_Flows!AR266+$D32*Portfolio_Flows!AR275</f>
        <v>0</v>
      </c>
      <c r="AS32" s="29" t="n">
        <f aca="false">Inputs!$D$39*Portfolio_Flows!AS239+Inputs!$D$40*Portfolio_Flows!AS248+Inputs!$D$41*Portfolio_Flows!AS257+(Inputs!$D$42+Inputs!$D$43-$D32)*Portfolio_Flows!AS266+$D32*Portfolio_Flows!AS275</f>
        <v>13073.21745</v>
      </c>
      <c r="AT32" s="29" t="n">
        <f aca="false">Inputs!$D$39*Portfolio_Flows!AT239+Inputs!$D$40*Portfolio_Flows!AT248+Inputs!$D$41*Portfolio_Flows!AT257+(Inputs!$D$42+Inputs!$D$43-$D32)*Portfolio_Flows!AT266+$D32*Portfolio_Flows!AT275</f>
        <v>0</v>
      </c>
      <c r="AU32" s="29" t="n">
        <f aca="false">Inputs!$D$39*Portfolio_Flows!AU239+Inputs!$D$40*Portfolio_Flows!AU248+Inputs!$D$41*Portfolio_Flows!AU257+(Inputs!$D$42+Inputs!$D$43-$D32)*Portfolio_Flows!AU266+$D32*Portfolio_Flows!AU275</f>
        <v>0</v>
      </c>
      <c r="AV32" s="29" t="n">
        <f aca="false">Inputs!$D$39*Portfolio_Flows!AV239+Inputs!$D$40*Portfolio_Flows!AV248+Inputs!$D$41*Portfolio_Flows!AV257+(Inputs!$D$42+Inputs!$D$43-$D32)*Portfolio_Flows!AV266+$D32*Portfolio_Flows!AV275</f>
        <v>0</v>
      </c>
      <c r="AW32" s="29" t="n">
        <f aca="false">Inputs!$D$39*Portfolio_Flows!AW239+Inputs!$D$40*Portfolio_Flows!AW248+Inputs!$D$41*Portfolio_Flows!AW257+(Inputs!$D$42+Inputs!$D$43-$D32)*Portfolio_Flows!AW266+$D32*Portfolio_Flows!AW275</f>
        <v>0</v>
      </c>
      <c r="AX32" s="29" t="n">
        <f aca="false">Inputs!$D$39*Portfolio_Flows!AX239+Inputs!$D$40*Portfolio_Flows!AX248+Inputs!$D$41*Portfolio_Flows!AX257+(Inputs!$D$42+Inputs!$D$43-$D32)*Portfolio_Flows!AX266+$D32*Portfolio_Flows!AX275</f>
        <v>25851.132</v>
      </c>
      <c r="AY32" s="29" t="n">
        <f aca="false">Inputs!$D$39*Portfolio_Flows!AY239+Inputs!$D$40*Portfolio_Flows!AY248+Inputs!$D$41*Portfolio_Flows!AY257+(Inputs!$D$42+Inputs!$D$43-$D32)*Portfolio_Flows!AY266+$D32*Portfolio_Flows!AY275</f>
        <v>0</v>
      </c>
    </row>
    <row r="33" customFormat="false" ht="15" hidden="false" customHeight="false" outlineLevel="0" collapsed="false">
      <c r="B33" s="9" t="s">
        <v>318</v>
      </c>
      <c r="C33" s="27" t="str">
        <f aca="false">Inputs!$B$60</f>
        <v>Extreme downturn</v>
      </c>
      <c r="D33" s="12" t="n">
        <v>8</v>
      </c>
      <c r="E33" s="40" t="n">
        <f aca="false">IRR($N33:$AY33,0.005)</f>
        <v>-3.72482755161886E-005</v>
      </c>
      <c r="F33" s="41" t="n">
        <f aca="false">(1+E33)^12-1</f>
        <v>-0.000446887746917146</v>
      </c>
      <c r="G33" s="30" t="n">
        <f aca="false">-N33</f>
        <v>229300</v>
      </c>
      <c r="H33" s="30" t="n">
        <f aca="false">-SUMIF(O33:AY33,"&lt;0")</f>
        <v>138462.324783333</v>
      </c>
      <c r="I33" s="30" t="n">
        <f aca="false">SUMIF($N33:$AY33,"&gt;0")</f>
        <v>367597.410208333</v>
      </c>
      <c r="J33" s="30" t="n">
        <f aca="false">I33-G33-H33</f>
        <v>-164.914575000032</v>
      </c>
      <c r="N33" s="29" t="n">
        <f aca="false">Inputs!$D$39*Portfolio_Flows!N239+Inputs!$D$40*Portfolio_Flows!N248+Inputs!$D$41*Portfolio_Flows!N257+(Inputs!$D$42+Inputs!$D$43-$D33)*Portfolio_Flows!N266+$D33*Portfolio_Flows!N275</f>
        <v>-229300</v>
      </c>
      <c r="O33" s="29" t="n">
        <f aca="false">Inputs!$D$39*Portfolio_Flows!O239+Inputs!$D$40*Portfolio_Flows!O248+Inputs!$D$41*Portfolio_Flows!O257+(Inputs!$D$42+Inputs!$D$43-$D33)*Portfolio_Flows!O266+$D33*Portfolio_Flows!O275</f>
        <v>0</v>
      </c>
      <c r="P33" s="29" t="n">
        <f aca="false">Inputs!$D$39*Portfolio_Flows!P239+Inputs!$D$40*Portfolio_Flows!P248+Inputs!$D$41*Portfolio_Flows!P257+(Inputs!$D$42+Inputs!$D$43-$D33)*Portfolio_Flows!P266+$D33*Portfolio_Flows!P275</f>
        <v>22060.458</v>
      </c>
      <c r="Q33" s="29" t="n">
        <f aca="false">Inputs!$D$39*Portfolio_Flows!Q239+Inputs!$D$40*Portfolio_Flows!Q248+Inputs!$D$41*Portfolio_Flows!Q257+(Inputs!$D$42+Inputs!$D$43-$D33)*Portfolio_Flows!Q266+$D33*Portfolio_Flows!Q275</f>
        <v>18383.715</v>
      </c>
      <c r="R33" s="29" t="n">
        <f aca="false">Inputs!$D$39*Portfolio_Flows!R239+Inputs!$D$40*Portfolio_Flows!R248+Inputs!$D$41*Portfolio_Flows!R257+(Inputs!$D$42+Inputs!$D$43-$D33)*Portfolio_Flows!R266+$D33*Portfolio_Flows!R275</f>
        <v>16545.3435</v>
      </c>
      <c r="S33" s="29" t="n">
        <f aca="false">Inputs!$D$39*Portfolio_Flows!S239+Inputs!$D$40*Portfolio_Flows!S248+Inputs!$D$41*Portfolio_Flows!S257+(Inputs!$D$42+Inputs!$D$43-$D33)*Portfolio_Flows!S266+$D33*Portfolio_Flows!S275</f>
        <v>12868.6005</v>
      </c>
      <c r="T33" s="29" t="n">
        <f aca="false">Inputs!$D$39*Portfolio_Flows!T239+Inputs!$D$40*Portfolio_Flows!T248+Inputs!$D$41*Portfolio_Flows!T257+(Inputs!$D$42+Inputs!$D$43-$D33)*Portfolio_Flows!T266+$D33*Portfolio_Flows!T275</f>
        <v>12872.0305</v>
      </c>
      <c r="U33" s="29" t="n">
        <f aca="false">Inputs!$D$39*Portfolio_Flows!U239+Inputs!$D$40*Portfolio_Flows!U248+Inputs!$D$41*Portfolio_Flows!U257+(Inputs!$D$42+Inputs!$D$43-$D33)*Portfolio_Flows!U266+$D33*Portfolio_Flows!U275</f>
        <v>12880.9485</v>
      </c>
      <c r="V33" s="29" t="n">
        <f aca="false">Inputs!$D$39*Portfolio_Flows!V239+Inputs!$D$40*Portfolio_Flows!V248+Inputs!$D$41*Portfolio_Flows!V257+(Inputs!$D$42+Inputs!$D$43-$D33)*Portfolio_Flows!V266+$D33*Portfolio_Flows!V275</f>
        <v>7983.30054166667</v>
      </c>
      <c r="W33" s="29" t="n">
        <f aca="false">Inputs!$D$39*Portfolio_Flows!W239+Inputs!$D$40*Portfolio_Flows!W248+Inputs!$D$41*Portfolio_Flows!W257+(Inputs!$D$42+Inputs!$D$43-$D33)*Portfolio_Flows!W266+$D33*Portfolio_Flows!W275</f>
        <v>8000.39933333333</v>
      </c>
      <c r="X33" s="29" t="n">
        <f aca="false">Inputs!$D$39*Portfolio_Flows!X239+Inputs!$D$40*Portfolio_Flows!X248+Inputs!$D$41*Portfolio_Flows!X257+(Inputs!$D$42+Inputs!$D$43-$D33)*Portfolio_Flows!X266+$D33*Portfolio_Flows!X275</f>
        <v>8022.973725</v>
      </c>
      <c r="Y33" s="29" t="n">
        <f aca="false">Inputs!$D$39*Portfolio_Flows!Y239+Inputs!$D$40*Portfolio_Flows!Y248+Inputs!$D$41*Portfolio_Flows!Y257+(Inputs!$D$42+Inputs!$D$43-$D33)*Portfolio_Flows!Y266+$D33*Portfolio_Flows!Y275</f>
        <v>6813.94908333333</v>
      </c>
      <c r="Z33" s="29" t="n">
        <f aca="false">Inputs!$D$39*Portfolio_Flows!Z239+Inputs!$D$40*Portfolio_Flows!Z248+Inputs!$D$41*Portfolio_Flows!Z257+(Inputs!$D$42+Inputs!$D$43-$D33)*Portfolio_Flows!Z266+$D33*Portfolio_Flows!Z275</f>
        <v>-79402.4919083333</v>
      </c>
      <c r="AA33" s="29" t="n">
        <f aca="false">Inputs!$D$39*Portfolio_Flows!AA239+Inputs!$D$40*Portfolio_Flows!AA248+Inputs!$D$41*Portfolio_Flows!AA257+(Inputs!$D$42+Inputs!$D$43-$D33)*Portfolio_Flows!AA266+$D33*Portfolio_Flows!AA275</f>
        <v>6864.50709999999</v>
      </c>
      <c r="AB33" s="29" t="n">
        <f aca="false">Inputs!$D$39*Portfolio_Flows!AB239+Inputs!$D$40*Portfolio_Flows!AB248+Inputs!$D$41*Portfolio_Flows!AB257+(Inputs!$D$42+Inputs!$D$43-$D33)*Portfolio_Flows!AB266+$D33*Portfolio_Flows!AB275</f>
        <v>8424.85705833333</v>
      </c>
      <c r="AC33" s="29" t="n">
        <f aca="false">Inputs!$D$39*Portfolio_Flows!AC239+Inputs!$D$40*Portfolio_Flows!AC248+Inputs!$D$41*Portfolio_Flows!AC257+(Inputs!$D$42+Inputs!$D$43-$D33)*Portfolio_Flows!AC266+$D33*Portfolio_Flows!AC275</f>
        <v>8500.65474999999</v>
      </c>
      <c r="AD33" s="29" t="n">
        <f aca="false">Inputs!$D$39*Portfolio_Flows!AD239+Inputs!$D$40*Portfolio_Flows!AD248+Inputs!$D$41*Portfolio_Flows!AD257+(Inputs!$D$42+Inputs!$D$43-$D33)*Portfolio_Flows!AD266+$D33*Portfolio_Flows!AD275</f>
        <v>8576.4524416667</v>
      </c>
      <c r="AE33" s="29" t="n">
        <f aca="false">Inputs!$D$39*Portfolio_Flows!AE239+Inputs!$D$40*Portfolio_Flows!AE248+Inputs!$D$41*Portfolio_Flows!AE257+(Inputs!$D$42+Inputs!$D$43-$D33)*Portfolio_Flows!AE266+$D33*Portfolio_Flows!AE275</f>
        <v>8652.25013333333</v>
      </c>
      <c r="AF33" s="29" t="n">
        <f aca="false">Inputs!$D$39*Portfolio_Flows!AF239+Inputs!$D$40*Portfolio_Flows!AF248+Inputs!$D$41*Portfolio_Flows!AF257+(Inputs!$D$42+Inputs!$D$43-$D33)*Portfolio_Flows!AF266+$D33*Portfolio_Flows!AF275</f>
        <v>8728.04782499999</v>
      </c>
      <c r="AG33" s="29" t="n">
        <f aca="false">Inputs!$D$39*Portfolio_Flows!AG239+Inputs!$D$40*Portfolio_Flows!AG248+Inputs!$D$41*Portfolio_Flows!AG257+(Inputs!$D$42+Inputs!$D$43-$D33)*Portfolio_Flows!AG266+$D33*Portfolio_Flows!AG275</f>
        <v>8803.84551666666</v>
      </c>
      <c r="AH33" s="29" t="n">
        <f aca="false">Inputs!$D$39*Portfolio_Flows!AH239+Inputs!$D$40*Portfolio_Flows!AH248+Inputs!$D$41*Portfolio_Flows!AH257+(Inputs!$D$42+Inputs!$D$43-$D33)*Portfolio_Flows!AH266+$D33*Portfolio_Flows!AH275</f>
        <v>6342.60229166669</v>
      </c>
      <c r="AI33" s="29" t="n">
        <f aca="false">Inputs!$D$39*Portfolio_Flows!AI239+Inputs!$D$40*Portfolio_Flows!AI248+Inputs!$D$41*Portfolio_Flows!AI257+(Inputs!$D$42+Inputs!$D$43-$D33)*Portfolio_Flows!AI266+$D33*Portfolio_Flows!AI275</f>
        <v>6396.74349999998</v>
      </c>
      <c r="AJ33" s="29" t="n">
        <f aca="false">Inputs!$D$39*Portfolio_Flows!AJ239+Inputs!$D$40*Portfolio_Flows!AJ248+Inputs!$D$41*Portfolio_Flows!AJ257+(Inputs!$D$42+Inputs!$D$43-$D33)*Portfolio_Flows!AJ266+$D33*Portfolio_Flows!AJ275</f>
        <v>6450.88470833331</v>
      </c>
      <c r="AK33" s="29" t="n">
        <f aca="false">Inputs!$D$39*Portfolio_Flows!AK239+Inputs!$D$40*Portfolio_Flows!AK248+Inputs!$D$41*Portfolio_Flows!AK257+(Inputs!$D$42+Inputs!$D$43-$D33)*Portfolio_Flows!AK266+$D33*Portfolio_Flows!AK275</f>
        <v>6505.02591666669</v>
      </c>
      <c r="AL33" s="29" t="n">
        <f aca="false">Inputs!$D$39*Portfolio_Flows!AL239+Inputs!$D$40*Portfolio_Flows!AL248+Inputs!$D$41*Portfolio_Flows!AL257+(Inputs!$D$42+Inputs!$D$43-$D33)*Portfolio_Flows!AL266+$D33*Portfolio_Flows!AL275</f>
        <v>-59059.832875</v>
      </c>
      <c r="AM33" s="29" t="n">
        <f aca="false">Inputs!$D$39*Portfolio_Flows!AM239+Inputs!$D$40*Portfolio_Flows!AM248+Inputs!$D$41*Portfolio_Flows!AM257+(Inputs!$D$42+Inputs!$D$43-$D33)*Portfolio_Flows!AM266+$D33*Portfolio_Flows!AM275</f>
        <v>6613.30833333331</v>
      </c>
      <c r="AN33" s="29" t="n">
        <f aca="false">Inputs!$D$39*Portfolio_Flows!AN239+Inputs!$D$40*Portfolio_Flows!AN248+Inputs!$D$41*Portfolio_Flows!AN257+(Inputs!$D$42+Inputs!$D$43-$D33)*Portfolio_Flows!AN266+$D33*Portfolio_Flows!AN275</f>
        <v>0</v>
      </c>
      <c r="AO33" s="29" t="n">
        <f aca="false">Inputs!$D$39*Portfolio_Flows!AO239+Inputs!$D$40*Portfolio_Flows!AO248+Inputs!$D$41*Portfolio_Flows!AO257+(Inputs!$D$42+Inputs!$D$43-$D33)*Portfolio_Flows!AO266+$D33*Portfolio_Flows!AO275</f>
        <v>0</v>
      </c>
      <c r="AP33" s="29" t="n">
        <f aca="false">Inputs!$D$39*Portfolio_Flows!AP239+Inputs!$D$40*Portfolio_Flows!AP248+Inputs!$D$41*Portfolio_Flows!AP257+(Inputs!$D$42+Inputs!$D$43-$D33)*Portfolio_Flows!AP266+$D33*Portfolio_Flows!AP275</f>
        <v>112756.4025</v>
      </c>
      <c r="AQ33" s="29" t="n">
        <f aca="false">Inputs!$D$39*Portfolio_Flows!AQ239+Inputs!$D$40*Portfolio_Flows!AQ248+Inputs!$D$41*Portfolio_Flows!AQ257+(Inputs!$D$42+Inputs!$D$43-$D33)*Portfolio_Flows!AQ266+$D33*Portfolio_Flows!AQ275</f>
        <v>0</v>
      </c>
      <c r="AR33" s="29" t="n">
        <f aca="false">Inputs!$D$39*Portfolio_Flows!AR239+Inputs!$D$40*Portfolio_Flows!AR248+Inputs!$D$41*Portfolio_Flows!AR257+(Inputs!$D$42+Inputs!$D$43-$D33)*Portfolio_Flows!AR266+$D33*Portfolio_Flows!AR275</f>
        <v>0</v>
      </c>
      <c r="AS33" s="29" t="n">
        <f aca="false">Inputs!$D$39*Portfolio_Flows!AS239+Inputs!$D$40*Portfolio_Flows!AS248+Inputs!$D$41*Portfolio_Flows!AS257+(Inputs!$D$42+Inputs!$D$43-$D33)*Portfolio_Flows!AS266+$D33*Portfolio_Flows!AS275</f>
        <v>12669.17745</v>
      </c>
      <c r="AT33" s="29" t="n">
        <f aca="false">Inputs!$D$39*Portfolio_Flows!AT239+Inputs!$D$40*Portfolio_Flows!AT248+Inputs!$D$41*Portfolio_Flows!AT257+(Inputs!$D$42+Inputs!$D$43-$D33)*Portfolio_Flows!AT266+$D33*Portfolio_Flows!AT275</f>
        <v>0</v>
      </c>
      <c r="AU33" s="29" t="n">
        <f aca="false">Inputs!$D$39*Portfolio_Flows!AU239+Inputs!$D$40*Portfolio_Flows!AU248+Inputs!$D$41*Portfolio_Flows!AU257+(Inputs!$D$42+Inputs!$D$43-$D33)*Portfolio_Flows!AU266+$D33*Portfolio_Flows!AU275</f>
        <v>0</v>
      </c>
      <c r="AV33" s="29" t="n">
        <f aca="false">Inputs!$D$39*Portfolio_Flows!AV239+Inputs!$D$40*Portfolio_Flows!AV248+Inputs!$D$41*Portfolio_Flows!AV257+(Inputs!$D$42+Inputs!$D$43-$D33)*Portfolio_Flows!AV266+$D33*Portfolio_Flows!AV275</f>
        <v>0</v>
      </c>
      <c r="AW33" s="29" t="n">
        <f aca="false">Inputs!$D$39*Portfolio_Flows!AW239+Inputs!$D$40*Portfolio_Flows!AW248+Inputs!$D$41*Portfolio_Flows!AW257+(Inputs!$D$42+Inputs!$D$43-$D33)*Portfolio_Flows!AW266+$D33*Portfolio_Flows!AW275</f>
        <v>0</v>
      </c>
      <c r="AX33" s="29" t="n">
        <f aca="false">Inputs!$D$39*Portfolio_Flows!AX239+Inputs!$D$40*Portfolio_Flows!AX248+Inputs!$D$41*Portfolio_Flows!AX257+(Inputs!$D$42+Inputs!$D$43-$D33)*Portfolio_Flows!AX266+$D33*Portfolio_Flows!AX275</f>
        <v>24880.932</v>
      </c>
      <c r="AY33" s="29" t="n">
        <f aca="false">Inputs!$D$39*Portfolio_Flows!AY239+Inputs!$D$40*Portfolio_Flows!AY248+Inputs!$D$41*Portfolio_Flows!AY257+(Inputs!$D$42+Inputs!$D$43-$D33)*Portfolio_Flows!AY266+$D33*Portfolio_Flows!AY275</f>
        <v>0</v>
      </c>
    </row>
    <row r="34" customFormat="false" ht="15" hidden="false" customHeight="false" outlineLevel="0" collapsed="false">
      <c r="B34" s="9" t="s">
        <v>319</v>
      </c>
      <c r="C34" s="27" t="str">
        <f aca="false">Inputs!$B$61</f>
        <v>Combined: slow, severe</v>
      </c>
      <c r="D34" s="12" t="n">
        <v>5</v>
      </c>
      <c r="E34" s="40" t="n">
        <f aca="false">IRR($N34:$AY34,0.005)</f>
        <v>0.00322099915617165</v>
      </c>
      <c r="F34" s="41" t="n">
        <f aca="false">(1+E34)^12-1</f>
        <v>0.0393441343913792</v>
      </c>
      <c r="G34" s="30" t="n">
        <f aca="false">-N34</f>
        <v>229300</v>
      </c>
      <c r="H34" s="30" t="n">
        <f aca="false">-SUMIF(O34:AY34,"&lt;0")</f>
        <v>138633.519366667</v>
      </c>
      <c r="I34" s="30" t="n">
        <f aca="false">SUMIF($N34:$AY34,"&gt;0")</f>
        <v>383586.8597</v>
      </c>
      <c r="J34" s="30" t="n">
        <f aca="false">I34-G34-H34</f>
        <v>15653.3403333333</v>
      </c>
      <c r="N34" s="29" t="n">
        <f aca="false">Inputs!$D$39*Portfolio_Flows!N284+Inputs!$D$40*Portfolio_Flows!N293+Inputs!$D$41*Portfolio_Flows!N302+(Inputs!$D$42+Inputs!$D$43-$D34)*Portfolio_Flows!N311+$D34*Portfolio_Flows!N320</f>
        <v>-229300</v>
      </c>
      <c r="O34" s="29" t="n">
        <f aca="false">Inputs!$D$39*Portfolio_Flows!O284+Inputs!$D$40*Portfolio_Flows!O293+Inputs!$D$41*Portfolio_Flows!O302+(Inputs!$D$42+Inputs!$D$43-$D34)*Portfolio_Flows!O311+$D34*Portfolio_Flows!O320</f>
        <v>0</v>
      </c>
      <c r="P34" s="29" t="n">
        <f aca="false">Inputs!$D$39*Portfolio_Flows!P284+Inputs!$D$40*Portfolio_Flows!P293+Inputs!$D$41*Portfolio_Flows!P302+(Inputs!$D$42+Inputs!$D$43-$D34)*Portfolio_Flows!P311+$D34*Portfolio_Flows!P320</f>
        <v>11816.154</v>
      </c>
      <c r="Q34" s="29" t="n">
        <f aca="false">Inputs!$D$39*Portfolio_Flows!Q284+Inputs!$D$40*Portfolio_Flows!Q293+Inputs!$D$41*Portfolio_Flows!Q302+(Inputs!$D$42+Inputs!$D$43-$D34)*Portfolio_Flows!Q311+$D34*Portfolio_Flows!Q320</f>
        <v>11816.154</v>
      </c>
      <c r="R34" s="29" t="n">
        <f aca="false">Inputs!$D$39*Portfolio_Flows!R284+Inputs!$D$40*Portfolio_Flows!R293+Inputs!$D$41*Portfolio_Flows!R302+(Inputs!$D$42+Inputs!$D$43-$D34)*Portfolio_Flows!R311+$D34*Portfolio_Flows!R320</f>
        <v>11816.154</v>
      </c>
      <c r="S34" s="29" t="n">
        <f aca="false">Inputs!$D$39*Portfolio_Flows!S284+Inputs!$D$40*Portfolio_Flows!S293+Inputs!$D$41*Portfolio_Flows!S302+(Inputs!$D$42+Inputs!$D$43-$D34)*Portfolio_Flows!S311+$D34*Portfolio_Flows!S320</f>
        <v>11816.154</v>
      </c>
      <c r="T34" s="29" t="n">
        <f aca="false">Inputs!$D$39*Portfolio_Flows!T284+Inputs!$D$40*Portfolio_Flows!T293+Inputs!$D$41*Portfolio_Flows!T302+(Inputs!$D$42+Inputs!$D$43-$D34)*Portfolio_Flows!T311+$D34*Portfolio_Flows!T320</f>
        <v>11819.654</v>
      </c>
      <c r="U34" s="29" t="n">
        <f aca="false">Inputs!$D$39*Portfolio_Flows!U284+Inputs!$D$40*Portfolio_Flows!U293+Inputs!$D$41*Portfolio_Flows!U302+(Inputs!$D$42+Inputs!$D$43-$D34)*Portfolio_Flows!U311+$D34*Portfolio_Flows!U320</f>
        <v>11828.754</v>
      </c>
      <c r="V34" s="29" t="n">
        <f aca="false">Inputs!$D$39*Portfolio_Flows!V284+Inputs!$D$40*Portfolio_Flows!V293+Inputs!$D$41*Portfolio_Flows!V302+(Inputs!$D$42+Inputs!$D$43-$D34)*Portfolio_Flows!V311+$D34*Portfolio_Flows!V320</f>
        <v>9211.65311111111</v>
      </c>
      <c r="W34" s="29" t="n">
        <f aca="false">Inputs!$D$39*Portfolio_Flows!W284+Inputs!$D$40*Portfolio_Flows!W293+Inputs!$D$41*Portfolio_Flows!W302+(Inputs!$D$42+Inputs!$D$43-$D34)*Portfolio_Flows!W311+$D34*Portfolio_Flows!W320</f>
        <v>9232.03088888888</v>
      </c>
      <c r="X34" s="29" t="n">
        <f aca="false">Inputs!$D$39*Portfolio_Flows!X284+Inputs!$D$40*Portfolio_Flows!X293+Inputs!$D$41*Portfolio_Flows!X302+(Inputs!$D$42+Inputs!$D$43-$D34)*Portfolio_Flows!X311+$D34*Portfolio_Flows!X320</f>
        <v>9258.68346666667</v>
      </c>
      <c r="Y34" s="29" t="n">
        <f aca="false">Inputs!$D$39*Portfolio_Flows!Y284+Inputs!$D$40*Portfolio_Flows!Y293+Inputs!$D$41*Portfolio_Flows!Y302+(Inputs!$D$42+Inputs!$D$43-$D34)*Portfolio_Flows!Y311+$D34*Portfolio_Flows!Y320</f>
        <v>7966.03066666667</v>
      </c>
      <c r="Z34" s="29" t="n">
        <f aca="false">Inputs!$D$39*Portfolio_Flows!Z284+Inputs!$D$40*Portfolio_Flows!Z293+Inputs!$D$41*Portfolio_Flows!Z302+(Inputs!$D$42+Inputs!$D$43-$D34)*Portfolio_Flows!Z311+$D34*Portfolio_Flows!Z320</f>
        <v>-98153.9930666667</v>
      </c>
      <c r="AA34" s="29" t="n">
        <f aca="false">Inputs!$D$39*Portfolio_Flows!AA284+Inputs!$D$40*Portfolio_Flows!AA293+Inputs!$D$41*Portfolio_Flows!AA302+(Inputs!$D$42+Inputs!$D$43-$D34)*Portfolio_Flows!AA311+$D34*Portfolio_Flows!AA320</f>
        <v>8026.06320000001</v>
      </c>
      <c r="AB34" s="29" t="n">
        <f aca="false">Inputs!$D$39*Portfolio_Flows!AB284+Inputs!$D$40*Portfolio_Flows!AB293+Inputs!$D$41*Portfolio_Flows!AB302+(Inputs!$D$42+Inputs!$D$43-$D34)*Portfolio_Flows!AB311+$D34*Portfolio_Flows!AB320</f>
        <v>12964.3785555556</v>
      </c>
      <c r="AC34" s="29" t="n">
        <f aca="false">Inputs!$D$39*Portfolio_Flows!AC284+Inputs!$D$40*Portfolio_Flows!AC293+Inputs!$D$41*Portfolio_Flows!AC302+(Inputs!$D$42+Inputs!$D$43-$D34)*Portfolio_Flows!AC311+$D34*Portfolio_Flows!AC320</f>
        <v>13081.7711111111</v>
      </c>
      <c r="AD34" s="29" t="n">
        <f aca="false">Inputs!$D$39*Portfolio_Flows!AD284+Inputs!$D$40*Portfolio_Flows!AD293+Inputs!$D$41*Portfolio_Flows!AD302+(Inputs!$D$42+Inputs!$D$43-$D34)*Portfolio_Flows!AD311+$D34*Portfolio_Flows!AD320</f>
        <v>13199.1636666667</v>
      </c>
      <c r="AE34" s="29" t="n">
        <f aca="false">Inputs!$D$39*Portfolio_Flows!AE284+Inputs!$D$40*Portfolio_Flows!AE293+Inputs!$D$41*Portfolio_Flows!AE302+(Inputs!$D$42+Inputs!$D$43-$D34)*Portfolio_Flows!AE311+$D34*Portfolio_Flows!AE320</f>
        <v>13316.5562222222</v>
      </c>
      <c r="AF34" s="29" t="n">
        <f aca="false">Inputs!$D$39*Portfolio_Flows!AF284+Inputs!$D$40*Portfolio_Flows!AF293+Inputs!$D$41*Portfolio_Flows!AF302+(Inputs!$D$42+Inputs!$D$43-$D34)*Portfolio_Flows!AF311+$D34*Portfolio_Flows!AF320</f>
        <v>13433.9487777778</v>
      </c>
      <c r="AG34" s="29" t="n">
        <f aca="false">Inputs!$D$39*Portfolio_Flows!AG284+Inputs!$D$40*Portfolio_Flows!AG293+Inputs!$D$41*Portfolio_Flows!AG302+(Inputs!$D$42+Inputs!$D$43-$D34)*Portfolio_Flows!AG311+$D34*Portfolio_Flows!AG320</f>
        <v>13551.3413333333</v>
      </c>
      <c r="AH34" s="29" t="n">
        <f aca="false">Inputs!$D$39*Portfolio_Flows!AH284+Inputs!$D$40*Portfolio_Flows!AH293+Inputs!$D$41*Portfolio_Flows!AH302+(Inputs!$D$42+Inputs!$D$43-$D34)*Portfolio_Flows!AH311+$D34*Portfolio_Flows!AH320</f>
        <v>12301.8605</v>
      </c>
      <c r="AI34" s="29" t="n">
        <f aca="false">Inputs!$D$39*Portfolio_Flows!AI284+Inputs!$D$40*Portfolio_Flows!AI293+Inputs!$D$41*Portfolio_Flows!AI302+(Inputs!$D$42+Inputs!$D$43-$D34)*Portfolio_Flows!AI311+$D34*Portfolio_Flows!AI320</f>
        <v>12407.5138</v>
      </c>
      <c r="AJ34" s="29" t="n">
        <f aca="false">Inputs!$D$39*Portfolio_Flows!AJ284+Inputs!$D$40*Portfolio_Flows!AJ293+Inputs!$D$41*Portfolio_Flows!AJ302+(Inputs!$D$42+Inputs!$D$43-$D34)*Portfolio_Flows!AJ311+$D34*Portfolio_Flows!AJ320</f>
        <v>12513.1671</v>
      </c>
      <c r="AK34" s="29" t="n">
        <f aca="false">Inputs!$D$39*Portfolio_Flows!AK284+Inputs!$D$40*Portfolio_Flows!AK293+Inputs!$D$41*Portfolio_Flows!AK302+(Inputs!$D$42+Inputs!$D$43-$D34)*Portfolio_Flows!AK311+$D34*Portfolio_Flows!AK320</f>
        <v>12618.8204</v>
      </c>
      <c r="AL34" s="29" t="n">
        <f aca="false">Inputs!$D$39*Portfolio_Flows!AL284+Inputs!$D$40*Portfolio_Flows!AL293+Inputs!$D$41*Portfolio_Flows!AL302+(Inputs!$D$42+Inputs!$D$43-$D34)*Portfolio_Flows!AL311+$D34*Portfolio_Flows!AL320</f>
        <v>-40479.5263</v>
      </c>
      <c r="AM34" s="29" t="n">
        <f aca="false">Inputs!$D$39*Portfolio_Flows!AM284+Inputs!$D$40*Portfolio_Flows!AM293+Inputs!$D$41*Portfolio_Flows!AM302+(Inputs!$D$42+Inputs!$D$43-$D34)*Portfolio_Flows!AM311+$D34*Portfolio_Flows!AM320</f>
        <v>12830.127</v>
      </c>
      <c r="AN34" s="29" t="n">
        <f aca="false">Inputs!$D$39*Portfolio_Flows!AN284+Inputs!$D$40*Portfolio_Flows!AN293+Inputs!$D$41*Portfolio_Flows!AN302+(Inputs!$D$42+Inputs!$D$43-$D34)*Portfolio_Flows!AN311+$D34*Portfolio_Flows!AN320</f>
        <v>0</v>
      </c>
      <c r="AO34" s="29" t="n">
        <f aca="false">Inputs!$D$39*Portfolio_Flows!AO284+Inputs!$D$40*Portfolio_Flows!AO293+Inputs!$D$41*Portfolio_Flows!AO302+(Inputs!$D$42+Inputs!$D$43-$D34)*Portfolio_Flows!AO311+$D34*Portfolio_Flows!AO320</f>
        <v>0</v>
      </c>
      <c r="AP34" s="29" t="n">
        <f aca="false">Inputs!$D$39*Portfolio_Flows!AP284+Inputs!$D$40*Portfolio_Flows!AP293+Inputs!$D$41*Portfolio_Flows!AP302+(Inputs!$D$42+Inputs!$D$43-$D34)*Portfolio_Flows!AP311+$D34*Portfolio_Flows!AP320</f>
        <v>87698.31</v>
      </c>
      <c r="AQ34" s="29" t="n">
        <f aca="false">Inputs!$D$39*Portfolio_Flows!AQ284+Inputs!$D$40*Portfolio_Flows!AQ293+Inputs!$D$41*Portfolio_Flows!AQ302+(Inputs!$D$42+Inputs!$D$43-$D34)*Portfolio_Flows!AQ311+$D34*Portfolio_Flows!AQ320</f>
        <v>0</v>
      </c>
      <c r="AR34" s="29" t="n">
        <f aca="false">Inputs!$D$39*Portfolio_Flows!AR284+Inputs!$D$40*Portfolio_Flows!AR293+Inputs!$D$41*Portfolio_Flows!AR302+(Inputs!$D$42+Inputs!$D$43-$D34)*Portfolio_Flows!AR311+$D34*Portfolio_Flows!AR320</f>
        <v>0</v>
      </c>
      <c r="AS34" s="29" t="n">
        <f aca="false">Inputs!$D$39*Portfolio_Flows!AS284+Inputs!$D$40*Portfolio_Flows!AS293+Inputs!$D$41*Portfolio_Flows!AS302+(Inputs!$D$42+Inputs!$D$43-$D34)*Portfolio_Flows!AS311+$D34*Portfolio_Flows!AS320</f>
        <v>20631.7479</v>
      </c>
      <c r="AT34" s="29" t="n">
        <f aca="false">Inputs!$D$39*Portfolio_Flows!AT284+Inputs!$D$40*Portfolio_Flows!AT293+Inputs!$D$41*Portfolio_Flows!AT302+(Inputs!$D$42+Inputs!$D$43-$D34)*Portfolio_Flows!AT311+$D34*Portfolio_Flows!AT320</f>
        <v>0</v>
      </c>
      <c r="AU34" s="29" t="n">
        <f aca="false">Inputs!$D$39*Portfolio_Flows!AU284+Inputs!$D$40*Portfolio_Flows!AU293+Inputs!$D$41*Portfolio_Flows!AU302+(Inputs!$D$42+Inputs!$D$43-$D34)*Portfolio_Flows!AU311+$D34*Portfolio_Flows!AU320</f>
        <v>0</v>
      </c>
      <c r="AV34" s="29" t="n">
        <f aca="false">Inputs!$D$39*Portfolio_Flows!AV284+Inputs!$D$40*Portfolio_Flows!AV293+Inputs!$D$41*Portfolio_Flows!AV302+(Inputs!$D$42+Inputs!$D$43-$D34)*Portfolio_Flows!AV311+$D34*Portfolio_Flows!AV320</f>
        <v>0</v>
      </c>
      <c r="AW34" s="29" t="n">
        <f aca="false">Inputs!$D$39*Portfolio_Flows!AW284+Inputs!$D$40*Portfolio_Flows!AW293+Inputs!$D$41*Portfolio_Flows!AW302+(Inputs!$D$42+Inputs!$D$43-$D34)*Portfolio_Flows!AW311+$D34*Portfolio_Flows!AW320</f>
        <v>0</v>
      </c>
      <c r="AX34" s="29" t="n">
        <f aca="false">Inputs!$D$39*Portfolio_Flows!AX284+Inputs!$D$40*Portfolio_Flows!AX293+Inputs!$D$41*Portfolio_Flows!AX302+(Inputs!$D$42+Inputs!$D$43-$D34)*Portfolio_Flows!AX311+$D34*Portfolio_Flows!AX320</f>
        <v>18430.668</v>
      </c>
      <c r="AY34" s="29" t="n">
        <f aca="false">Inputs!$D$39*Portfolio_Flows!AY284+Inputs!$D$40*Portfolio_Flows!AY293+Inputs!$D$41*Portfolio_Flows!AY302+(Inputs!$D$42+Inputs!$D$43-$D34)*Portfolio_Flows!AY311+$D34*Portfolio_Flows!AY320</f>
        <v>0</v>
      </c>
    </row>
    <row r="35" customFormat="false" ht="15" hidden="false" customHeight="false" outlineLevel="0" collapsed="false">
      <c r="B35" s="9" t="s">
        <v>98</v>
      </c>
      <c r="C35" s="27" t="str">
        <f aca="false">Inputs!$B$62</f>
        <v>No payment lag</v>
      </c>
      <c r="D35" s="22" t="n">
        <f aca="false">Inputs!$D$43</f>
        <v>2</v>
      </c>
      <c r="E35" s="40" t="n">
        <f aca="false">IRR($N35:$AY35,0.005)</f>
        <v>0.00674893701435362</v>
      </c>
      <c r="F35" s="41" t="n">
        <f aca="false">(1+E35)^12-1</f>
        <v>0.084062088599755</v>
      </c>
      <c r="G35" s="30" t="n">
        <f aca="false">-N35</f>
        <v>229300</v>
      </c>
      <c r="H35" s="30" t="n">
        <f aca="false">-SUMIF(O35:AY35,"&lt;0")</f>
        <v>72258.8840666667</v>
      </c>
      <c r="I35" s="30" t="n">
        <f aca="false">SUMIF($N35:$AY35,"&gt;0")</f>
        <v>321569.264716667</v>
      </c>
      <c r="J35" s="30" t="n">
        <f aca="false">I35-G35-H35</f>
        <v>20010.38065</v>
      </c>
      <c r="N35" s="29" t="n">
        <f aca="false">Inputs!$D$39*Portfolio_Flows!N329+Inputs!$D$40*Portfolio_Flows!N338+Inputs!$D$41*Portfolio_Flows!N347+(Inputs!$D$42+Inputs!$D$43-$D35)*Portfolio_Flows!N356+$D35*Portfolio_Flows!N365</f>
        <v>-229300</v>
      </c>
      <c r="O35" s="29" t="n">
        <f aca="false">Inputs!$D$39*Portfolio_Flows!O329+Inputs!$D$40*Portfolio_Flows!O338+Inputs!$D$41*Portfolio_Flows!O347+(Inputs!$D$42+Inputs!$D$43-$D35)*Portfolio_Flows!O356+$D35*Portfolio_Flows!O365</f>
        <v>26685.288</v>
      </c>
      <c r="P35" s="29" t="n">
        <f aca="false">Inputs!$D$39*Portfolio_Flows!P329+Inputs!$D$40*Portfolio_Flows!P338+Inputs!$D$41*Portfolio_Flows!P347+(Inputs!$D$42+Inputs!$D$43-$D35)*Portfolio_Flows!P356+$D35*Portfolio_Flows!P365</f>
        <v>22237.74</v>
      </c>
      <c r="Q35" s="29" t="n">
        <f aca="false">Inputs!$D$39*Portfolio_Flows!Q329+Inputs!$D$40*Portfolio_Flows!Q338+Inputs!$D$41*Portfolio_Flows!Q347+(Inputs!$D$42+Inputs!$D$43-$D35)*Portfolio_Flows!Q356+$D35*Portfolio_Flows!Q365</f>
        <v>20013.966</v>
      </c>
      <c r="R35" s="29" t="n">
        <f aca="false">Inputs!$D$39*Portfolio_Flows!R329+Inputs!$D$40*Portfolio_Flows!R338+Inputs!$D$41*Portfolio_Flows!R347+(Inputs!$D$42+Inputs!$D$43-$D35)*Portfolio_Flows!R356+$D35*Portfolio_Flows!R365</f>
        <v>15566.418</v>
      </c>
      <c r="S35" s="29" t="n">
        <f aca="false">Inputs!$D$39*Portfolio_Flows!S329+Inputs!$D$40*Portfolio_Flows!S338+Inputs!$D$41*Portfolio_Flows!S347+(Inputs!$D$42+Inputs!$D$43-$D35)*Portfolio_Flows!S356+$D35*Portfolio_Flows!S365</f>
        <v>15571.598</v>
      </c>
      <c r="T35" s="29" t="n">
        <f aca="false">Inputs!$D$39*Portfolio_Flows!T329+Inputs!$D$40*Portfolio_Flows!T338+Inputs!$D$41*Portfolio_Flows!T347+(Inputs!$D$42+Inputs!$D$43-$D35)*Portfolio_Flows!T356+$D35*Portfolio_Flows!T365</f>
        <v>15585.066</v>
      </c>
      <c r="U35" s="29" t="n">
        <f aca="false">Inputs!$D$39*Portfolio_Flows!U329+Inputs!$D$40*Portfolio_Flows!U338+Inputs!$D$41*Portfolio_Flows!U347+(Inputs!$D$42+Inputs!$D$43-$D35)*Portfolio_Flows!U356+$D35*Portfolio_Flows!U365</f>
        <v>9660.86658333333</v>
      </c>
      <c r="V35" s="29" t="n">
        <f aca="false">Inputs!$D$39*Portfolio_Flows!V329+Inputs!$D$40*Portfolio_Flows!V338+Inputs!$D$41*Portfolio_Flows!V347+(Inputs!$D$42+Inputs!$D$43-$D35)*Portfolio_Flows!V356+$D35*Portfolio_Flows!V365</f>
        <v>9683.09766666667</v>
      </c>
      <c r="W35" s="29" t="n">
        <f aca="false">Inputs!$D$39*Portfolio_Flows!W329+Inputs!$D$40*Portfolio_Flows!W338+Inputs!$D$41*Portfolio_Flows!W347+(Inputs!$D$42+Inputs!$D$43-$D35)*Portfolio_Flows!W356+$D35*Portfolio_Flows!W365</f>
        <v>9711.85735</v>
      </c>
      <c r="X35" s="29" t="n">
        <f aca="false">Inputs!$D$39*Portfolio_Flows!X329+Inputs!$D$40*Portfolio_Flows!X338+Inputs!$D$41*Portfolio_Flows!X347+(Inputs!$D$42+Inputs!$D$43-$D35)*Portfolio_Flows!X356+$D35*Portfolio_Flows!X365</f>
        <v>8249.42616666666</v>
      </c>
      <c r="Y35" s="29" t="n">
        <f aca="false">Inputs!$D$39*Portfolio_Flows!Y329+Inputs!$D$40*Portfolio_Flows!Y338+Inputs!$D$41*Portfolio_Flows!Y347+(Inputs!$D$42+Inputs!$D$43-$D35)*Portfolio_Flows!Y356+$D35*Portfolio_Flows!Y365</f>
        <v>8281.12688333335</v>
      </c>
      <c r="Z35" s="29" t="n">
        <f aca="false">Inputs!$D$39*Portfolio_Flows!Z329+Inputs!$D$40*Portfolio_Flows!Z338+Inputs!$D$41*Portfolio_Flows!Z347+(Inputs!$D$42+Inputs!$D$43-$D35)*Portfolio_Flows!Z356+$D35*Portfolio_Flows!Z365</f>
        <v>-57079.4924</v>
      </c>
      <c r="AA35" s="29" t="n">
        <f aca="false">Inputs!$D$39*Portfolio_Flows!AA329+Inputs!$D$40*Portfolio_Flows!AA338+Inputs!$D$41*Portfolio_Flows!AA347+(Inputs!$D$42+Inputs!$D$43-$D35)*Portfolio_Flows!AA356+$D35*Portfolio_Flows!AA365</f>
        <v>10299.47485</v>
      </c>
      <c r="AB35" s="29" t="n">
        <f aca="false">Inputs!$D$39*Portfolio_Flows!AB329+Inputs!$D$40*Portfolio_Flows!AB338+Inputs!$D$41*Portfolio_Flows!AB347+(Inputs!$D$42+Inputs!$D$43-$D35)*Portfolio_Flows!AB356+$D35*Portfolio_Flows!AB365</f>
        <v>10393.3818333333</v>
      </c>
      <c r="AC35" s="29" t="n">
        <f aca="false">Inputs!$D$39*Portfolio_Flows!AC329+Inputs!$D$40*Portfolio_Flows!AC338+Inputs!$D$41*Portfolio_Flows!AC347+(Inputs!$D$42+Inputs!$D$43-$D35)*Portfolio_Flows!AC356+$D35*Portfolio_Flows!AC365</f>
        <v>10487.2888166667</v>
      </c>
      <c r="AD35" s="29" t="n">
        <f aca="false">Inputs!$D$39*Portfolio_Flows!AD329+Inputs!$D$40*Portfolio_Flows!AD338+Inputs!$D$41*Portfolio_Flows!AD347+(Inputs!$D$42+Inputs!$D$43-$D35)*Portfolio_Flows!AD356+$D35*Portfolio_Flows!AD365</f>
        <v>10581.1958</v>
      </c>
      <c r="AE35" s="29" t="n">
        <f aca="false">Inputs!$D$39*Portfolio_Flows!AE329+Inputs!$D$40*Portfolio_Flows!AE338+Inputs!$D$41*Portfolio_Flows!AE347+(Inputs!$D$42+Inputs!$D$43-$D35)*Portfolio_Flows!AE356+$D35*Portfolio_Flows!AE365</f>
        <v>10675.1027833333</v>
      </c>
      <c r="AF35" s="29" t="n">
        <f aca="false">Inputs!$D$39*Portfolio_Flows!AF329+Inputs!$D$40*Portfolio_Flows!AF338+Inputs!$D$41*Portfolio_Flows!AF347+(Inputs!$D$42+Inputs!$D$43-$D35)*Portfolio_Flows!AF356+$D35*Portfolio_Flows!AF365</f>
        <v>10769.0097666667</v>
      </c>
      <c r="AG35" s="29" t="n">
        <f aca="false">Inputs!$D$39*Portfolio_Flows!AG329+Inputs!$D$40*Portfolio_Flows!AG338+Inputs!$D$41*Portfolio_Flows!AG347+(Inputs!$D$42+Inputs!$D$43-$D35)*Portfolio_Flows!AG356+$D35*Portfolio_Flows!AG365</f>
        <v>7759.22625000002</v>
      </c>
      <c r="AH35" s="29" t="n">
        <f aca="false">Inputs!$D$39*Portfolio_Flows!AH329+Inputs!$D$40*Portfolio_Flows!AH338+Inputs!$D$41*Portfolio_Flows!AH347+(Inputs!$D$42+Inputs!$D$43-$D35)*Portfolio_Flows!AH356+$D35*Portfolio_Flows!AH365</f>
        <v>7826.30266666664</v>
      </c>
      <c r="AI35" s="29" t="n">
        <f aca="false">Inputs!$D$39*Portfolio_Flows!AI329+Inputs!$D$40*Portfolio_Flows!AI338+Inputs!$D$41*Portfolio_Flows!AI347+(Inputs!$D$42+Inputs!$D$43-$D35)*Portfolio_Flows!AI356+$D35*Portfolio_Flows!AI365</f>
        <v>7893.37908333331</v>
      </c>
      <c r="AJ35" s="29" t="n">
        <f aca="false">Inputs!$D$39*Portfolio_Flows!AJ329+Inputs!$D$40*Portfolio_Flows!AJ338+Inputs!$D$41*Portfolio_Flows!AJ347+(Inputs!$D$42+Inputs!$D$43-$D35)*Portfolio_Flows!AJ356+$D35*Portfolio_Flows!AJ365</f>
        <v>7960.45550000003</v>
      </c>
      <c r="AK35" s="29" t="n">
        <f aca="false">Inputs!$D$39*Portfolio_Flows!AK329+Inputs!$D$40*Portfolio_Flows!AK338+Inputs!$D$41*Portfolio_Flows!AK347+(Inputs!$D$42+Inputs!$D$43-$D35)*Portfolio_Flows!AK356+$D35*Portfolio_Flows!AK365</f>
        <v>8027.53191666669</v>
      </c>
      <c r="AL35" s="29" t="n">
        <f aca="false">Inputs!$D$39*Portfolio_Flows!AL329+Inputs!$D$40*Portfolio_Flows!AL338+Inputs!$D$41*Portfolio_Flows!AL347+(Inputs!$D$42+Inputs!$D$43-$D35)*Portfolio_Flows!AL356+$D35*Portfolio_Flows!AL365</f>
        <v>-15179.3916666667</v>
      </c>
      <c r="AM35" s="29" t="n">
        <f aca="false">Inputs!$D$39*Portfolio_Flows!AM329+Inputs!$D$40*Portfolio_Flows!AM338+Inputs!$D$41*Portfolio_Flows!AM347+(Inputs!$D$42+Inputs!$D$43-$D35)*Portfolio_Flows!AM356+$D35*Portfolio_Flows!AM365</f>
        <v>0</v>
      </c>
      <c r="AN35" s="29" t="n">
        <f aca="false">Inputs!$D$39*Portfolio_Flows!AN329+Inputs!$D$40*Portfolio_Flows!AN338+Inputs!$D$41*Portfolio_Flows!AN347+(Inputs!$D$42+Inputs!$D$43-$D35)*Portfolio_Flows!AN356+$D35*Portfolio_Flows!AN365</f>
        <v>0</v>
      </c>
      <c r="AO35" s="29" t="n">
        <f aca="false">Inputs!$D$39*Portfolio_Flows!AO329+Inputs!$D$40*Portfolio_Flows!AO338+Inputs!$D$41*Portfolio_Flows!AO347+(Inputs!$D$42+Inputs!$D$43-$D35)*Portfolio_Flows!AO356+$D35*Portfolio_Flows!AO365</f>
        <v>33082.125</v>
      </c>
      <c r="AP35" s="29" t="n">
        <f aca="false">Inputs!$D$39*Portfolio_Flows!AP329+Inputs!$D$40*Portfolio_Flows!AP338+Inputs!$D$41*Portfolio_Flows!AP347+(Inputs!$D$42+Inputs!$D$43-$D35)*Portfolio_Flows!AP356+$D35*Portfolio_Flows!AP365</f>
        <v>0</v>
      </c>
      <c r="AQ35" s="29" t="n">
        <f aca="false">Inputs!$D$39*Portfolio_Flows!AQ329+Inputs!$D$40*Portfolio_Flows!AQ338+Inputs!$D$41*Portfolio_Flows!AQ347+(Inputs!$D$42+Inputs!$D$43-$D35)*Portfolio_Flows!AQ356+$D35*Portfolio_Flows!AQ365</f>
        <v>0</v>
      </c>
      <c r="AR35" s="29" t="n">
        <f aca="false">Inputs!$D$39*Portfolio_Flows!AR329+Inputs!$D$40*Portfolio_Flows!AR338+Inputs!$D$41*Portfolio_Flows!AR347+(Inputs!$D$42+Inputs!$D$43-$D35)*Portfolio_Flows!AR356+$D35*Portfolio_Flows!AR365</f>
        <v>18973.8678</v>
      </c>
      <c r="AS35" s="29" t="n">
        <f aca="false">Inputs!$D$39*Portfolio_Flows!AS329+Inputs!$D$40*Portfolio_Flows!AS338+Inputs!$D$41*Portfolio_Flows!AS347+(Inputs!$D$42+Inputs!$D$43-$D35)*Portfolio_Flows!AS356+$D35*Portfolio_Flows!AS365</f>
        <v>0</v>
      </c>
      <c r="AT35" s="29" t="n">
        <f aca="false">Inputs!$D$39*Portfolio_Flows!AT329+Inputs!$D$40*Portfolio_Flows!AT338+Inputs!$D$41*Portfolio_Flows!AT347+(Inputs!$D$42+Inputs!$D$43-$D35)*Portfolio_Flows!AT356+$D35*Portfolio_Flows!AT365</f>
        <v>0</v>
      </c>
      <c r="AU35" s="29" t="n">
        <f aca="false">Inputs!$D$39*Portfolio_Flows!AU329+Inputs!$D$40*Portfolio_Flows!AU338+Inputs!$D$41*Portfolio_Flows!AU347+(Inputs!$D$42+Inputs!$D$43-$D35)*Portfolio_Flows!AU356+$D35*Portfolio_Flows!AU365</f>
        <v>0</v>
      </c>
      <c r="AV35" s="29" t="n">
        <f aca="false">Inputs!$D$39*Portfolio_Flows!AV329+Inputs!$D$40*Portfolio_Flows!AV338+Inputs!$D$41*Portfolio_Flows!AV347+(Inputs!$D$42+Inputs!$D$43-$D35)*Portfolio_Flows!AV356+$D35*Portfolio_Flows!AV365</f>
        <v>0</v>
      </c>
      <c r="AW35" s="29" t="n">
        <f aca="false">Inputs!$D$39*Portfolio_Flows!AW329+Inputs!$D$40*Portfolio_Flows!AW338+Inputs!$D$41*Portfolio_Flows!AW347+(Inputs!$D$42+Inputs!$D$43-$D35)*Portfolio_Flows!AW356+$D35*Portfolio_Flows!AW365</f>
        <v>0</v>
      </c>
      <c r="AX35" s="29" t="n">
        <f aca="false">Inputs!$D$39*Portfolio_Flows!AX329+Inputs!$D$40*Portfolio_Flows!AX338+Inputs!$D$41*Portfolio_Flows!AX347+(Inputs!$D$42+Inputs!$D$43-$D35)*Portfolio_Flows!AX356+$D35*Portfolio_Flows!AX365</f>
        <v>5594.472</v>
      </c>
      <c r="AY35" s="29" t="n">
        <f aca="false">Inputs!$D$39*Portfolio_Flows!AY329+Inputs!$D$40*Portfolio_Flows!AY338+Inputs!$D$41*Portfolio_Flows!AY347+(Inputs!$D$42+Inputs!$D$43-$D35)*Portfolio_Flows!AY356+$D35*Portfolio_Flows!AY365</f>
        <v>0</v>
      </c>
    </row>
    <row r="36" customFormat="false" ht="15" hidden="false" customHeight="false" outlineLevel="0" collapsed="false">
      <c r="B36" s="9" t="s">
        <v>99</v>
      </c>
      <c r="C36" s="27" t="str">
        <f aca="false">Inputs!$B$63</f>
        <v>No fees</v>
      </c>
      <c r="D36" s="22" t="n">
        <f aca="false">Inputs!$D$43</f>
        <v>2</v>
      </c>
      <c r="E36" s="40" t="n">
        <f aca="false">IRR($N36:$AY36,0.005)</f>
        <v>0.00627352837853014</v>
      </c>
      <c r="F36" s="41" t="n">
        <f aca="false">(1+E36)^12-1</f>
        <v>0.0779350073071496</v>
      </c>
      <c r="G36" s="30" t="n">
        <f aca="false">-N36</f>
        <v>228700</v>
      </c>
      <c r="H36" s="30" t="n">
        <f aca="false">-SUMIF(O36:AY36,"&lt;0")</f>
        <v>72357.6611999999</v>
      </c>
      <c r="I36" s="30" t="n">
        <f aca="false">SUMIF($N36:$AY36,"&gt;0")</f>
        <v>321668.04185</v>
      </c>
      <c r="J36" s="30" t="n">
        <f aca="false">I36-G36-H36</f>
        <v>20610.38065</v>
      </c>
      <c r="N36" s="29" t="n">
        <f aca="false">Inputs!$D$39*Portfolio_Flows!N374+Inputs!$D$40*Portfolio_Flows!N383+Inputs!$D$41*Portfolio_Flows!N392+(Inputs!$D$42+Inputs!$D$43-$D36)*Portfolio_Flows!N401+$D36*Portfolio_Flows!N410</f>
        <v>-228700</v>
      </c>
      <c r="O36" s="29" t="n">
        <f aca="false">Inputs!$D$39*Portfolio_Flows!O374+Inputs!$D$40*Portfolio_Flows!O383+Inputs!$D$41*Portfolio_Flows!O392+(Inputs!$D$42+Inputs!$D$43-$D36)*Portfolio_Flows!O401+$D36*Portfolio_Flows!O410</f>
        <v>0</v>
      </c>
      <c r="P36" s="29" t="n">
        <f aca="false">Inputs!$D$39*Portfolio_Flows!P374+Inputs!$D$40*Portfolio_Flows!P383+Inputs!$D$41*Portfolio_Flows!P392+(Inputs!$D$42+Inputs!$D$43-$D36)*Portfolio_Flows!P401+$D36*Portfolio_Flows!P410</f>
        <v>26685.288</v>
      </c>
      <c r="Q36" s="29" t="n">
        <f aca="false">Inputs!$D$39*Portfolio_Flows!Q374+Inputs!$D$40*Portfolio_Flows!Q383+Inputs!$D$41*Portfolio_Flows!Q392+(Inputs!$D$42+Inputs!$D$43-$D36)*Portfolio_Flows!Q401+$D36*Portfolio_Flows!Q410</f>
        <v>22237.74</v>
      </c>
      <c r="R36" s="29" t="n">
        <f aca="false">Inputs!$D$39*Portfolio_Flows!R374+Inputs!$D$40*Portfolio_Flows!R383+Inputs!$D$41*Portfolio_Flows!R392+(Inputs!$D$42+Inputs!$D$43-$D36)*Portfolio_Flows!R401+$D36*Portfolio_Flows!R410</f>
        <v>20013.966</v>
      </c>
      <c r="S36" s="29" t="n">
        <f aca="false">Inputs!$D$39*Portfolio_Flows!S374+Inputs!$D$40*Portfolio_Flows!S383+Inputs!$D$41*Portfolio_Flows!S392+(Inputs!$D$42+Inputs!$D$43-$D36)*Portfolio_Flows!S401+$D36*Portfolio_Flows!S410</f>
        <v>15566.418</v>
      </c>
      <c r="T36" s="29" t="n">
        <f aca="false">Inputs!$D$39*Portfolio_Flows!T374+Inputs!$D$40*Portfolio_Flows!T383+Inputs!$D$41*Portfolio_Flows!T392+(Inputs!$D$42+Inputs!$D$43-$D36)*Portfolio_Flows!T401+$D36*Portfolio_Flows!T410</f>
        <v>15571.598</v>
      </c>
      <c r="U36" s="29" t="n">
        <f aca="false">Inputs!$D$39*Portfolio_Flows!U374+Inputs!$D$40*Portfolio_Flows!U383+Inputs!$D$41*Portfolio_Flows!U392+(Inputs!$D$42+Inputs!$D$43-$D36)*Portfolio_Flows!U401+$D36*Portfolio_Flows!U410</f>
        <v>15585.066</v>
      </c>
      <c r="V36" s="29" t="n">
        <f aca="false">Inputs!$D$39*Portfolio_Flows!V374+Inputs!$D$40*Portfolio_Flows!V383+Inputs!$D$41*Portfolio_Flows!V392+(Inputs!$D$42+Inputs!$D$43-$D36)*Portfolio_Flows!V401+$D36*Portfolio_Flows!V410</f>
        <v>9660.86658333333</v>
      </c>
      <c r="W36" s="29" t="n">
        <f aca="false">Inputs!$D$39*Portfolio_Flows!W374+Inputs!$D$40*Portfolio_Flows!W383+Inputs!$D$41*Portfolio_Flows!W392+(Inputs!$D$42+Inputs!$D$43-$D36)*Portfolio_Flows!W401+$D36*Portfolio_Flows!W410</f>
        <v>9683.09766666667</v>
      </c>
      <c r="X36" s="29" t="n">
        <f aca="false">Inputs!$D$39*Portfolio_Flows!X374+Inputs!$D$40*Portfolio_Flows!X383+Inputs!$D$41*Portfolio_Flows!X392+(Inputs!$D$42+Inputs!$D$43-$D36)*Portfolio_Flows!X401+$D36*Portfolio_Flows!X410</f>
        <v>9711.85735</v>
      </c>
      <c r="Y36" s="29" t="n">
        <f aca="false">Inputs!$D$39*Portfolio_Flows!Y374+Inputs!$D$40*Portfolio_Flows!Y383+Inputs!$D$41*Portfolio_Flows!Y392+(Inputs!$D$42+Inputs!$D$43-$D36)*Portfolio_Flows!Y401+$D36*Portfolio_Flows!Y410</f>
        <v>8249.42616666666</v>
      </c>
      <c r="Z36" s="29" t="n">
        <f aca="false">Inputs!$D$39*Portfolio_Flows!Z374+Inputs!$D$40*Portfolio_Flows!Z383+Inputs!$D$41*Portfolio_Flows!Z392+(Inputs!$D$42+Inputs!$D$43-$D36)*Portfolio_Flows!Z401+$D36*Portfolio_Flows!Z410</f>
        <v>-57111.1931166667</v>
      </c>
      <c r="AA36" s="29" t="n">
        <f aca="false">Inputs!$D$39*Portfolio_Flows!AA374+Inputs!$D$40*Portfolio_Flows!AA383+Inputs!$D$41*Portfolio_Flows!AA392+(Inputs!$D$42+Inputs!$D$43-$D36)*Portfolio_Flows!AA401+$D36*Portfolio_Flows!AA410</f>
        <v>8312.82759999999</v>
      </c>
      <c r="AB36" s="29" t="n">
        <f aca="false">Inputs!$D$39*Portfolio_Flows!AB374+Inputs!$D$40*Portfolio_Flows!AB383+Inputs!$D$41*Portfolio_Flows!AB392+(Inputs!$D$42+Inputs!$D$43-$D36)*Portfolio_Flows!AB401+$D36*Portfolio_Flows!AB410</f>
        <v>10299.47485</v>
      </c>
      <c r="AC36" s="29" t="n">
        <f aca="false">Inputs!$D$39*Portfolio_Flows!AC374+Inputs!$D$40*Portfolio_Flows!AC383+Inputs!$D$41*Portfolio_Flows!AC392+(Inputs!$D$42+Inputs!$D$43-$D36)*Portfolio_Flows!AC401+$D36*Portfolio_Flows!AC410</f>
        <v>10393.3818333333</v>
      </c>
      <c r="AD36" s="29" t="n">
        <f aca="false">Inputs!$D$39*Portfolio_Flows!AD374+Inputs!$D$40*Portfolio_Flows!AD383+Inputs!$D$41*Portfolio_Flows!AD392+(Inputs!$D$42+Inputs!$D$43-$D36)*Portfolio_Flows!AD401+$D36*Portfolio_Flows!AD410</f>
        <v>10487.2888166667</v>
      </c>
      <c r="AE36" s="29" t="n">
        <f aca="false">Inputs!$D$39*Portfolio_Flows!AE374+Inputs!$D$40*Portfolio_Flows!AE383+Inputs!$D$41*Portfolio_Flows!AE392+(Inputs!$D$42+Inputs!$D$43-$D36)*Portfolio_Flows!AE401+$D36*Portfolio_Flows!AE410</f>
        <v>10581.1958</v>
      </c>
      <c r="AF36" s="29" t="n">
        <f aca="false">Inputs!$D$39*Portfolio_Flows!AF374+Inputs!$D$40*Portfolio_Flows!AF383+Inputs!$D$41*Portfolio_Flows!AF392+(Inputs!$D$42+Inputs!$D$43-$D36)*Portfolio_Flows!AF401+$D36*Portfolio_Flows!AF410</f>
        <v>10675.1027833333</v>
      </c>
      <c r="AG36" s="29" t="n">
        <f aca="false">Inputs!$D$39*Portfolio_Flows!AG374+Inputs!$D$40*Portfolio_Flows!AG383+Inputs!$D$41*Portfolio_Flows!AG392+(Inputs!$D$42+Inputs!$D$43-$D36)*Portfolio_Flows!AG401+$D36*Portfolio_Flows!AG410</f>
        <v>10769.0097666667</v>
      </c>
      <c r="AH36" s="29" t="n">
        <f aca="false">Inputs!$D$39*Portfolio_Flows!AH374+Inputs!$D$40*Portfolio_Flows!AH383+Inputs!$D$41*Portfolio_Flows!AH392+(Inputs!$D$42+Inputs!$D$43-$D36)*Portfolio_Flows!AH401+$D36*Portfolio_Flows!AH410</f>
        <v>7759.22625000002</v>
      </c>
      <c r="AI36" s="29" t="n">
        <f aca="false">Inputs!$D$39*Portfolio_Flows!AI374+Inputs!$D$40*Portfolio_Flows!AI383+Inputs!$D$41*Portfolio_Flows!AI392+(Inputs!$D$42+Inputs!$D$43-$D36)*Portfolio_Flows!AI401+$D36*Portfolio_Flows!AI410</f>
        <v>7826.30266666664</v>
      </c>
      <c r="AJ36" s="29" t="n">
        <f aca="false">Inputs!$D$39*Portfolio_Flows!AJ374+Inputs!$D$40*Portfolio_Flows!AJ383+Inputs!$D$41*Portfolio_Flows!AJ392+(Inputs!$D$42+Inputs!$D$43-$D36)*Portfolio_Flows!AJ401+$D36*Portfolio_Flows!AJ410</f>
        <v>7893.37908333331</v>
      </c>
      <c r="AK36" s="29" t="n">
        <f aca="false">Inputs!$D$39*Portfolio_Flows!AK374+Inputs!$D$40*Portfolio_Flows!AK383+Inputs!$D$41*Portfolio_Flows!AK392+(Inputs!$D$42+Inputs!$D$43-$D36)*Portfolio_Flows!AK401+$D36*Portfolio_Flows!AK410</f>
        <v>7960.45550000003</v>
      </c>
      <c r="AL36" s="29" t="n">
        <f aca="false">Inputs!$D$39*Portfolio_Flows!AL374+Inputs!$D$40*Portfolio_Flows!AL383+Inputs!$D$41*Portfolio_Flows!AL392+(Inputs!$D$42+Inputs!$D$43-$D36)*Portfolio_Flows!AL401+$D36*Portfolio_Flows!AL410</f>
        <v>-15246.4680833333</v>
      </c>
      <c r="AM36" s="29" t="n">
        <f aca="false">Inputs!$D$39*Portfolio_Flows!AM374+Inputs!$D$40*Portfolio_Flows!AM383+Inputs!$D$41*Portfolio_Flows!AM392+(Inputs!$D$42+Inputs!$D$43-$D36)*Portfolio_Flows!AM401+$D36*Portfolio_Flows!AM410</f>
        <v>8094.60833333331</v>
      </c>
      <c r="AN36" s="29" t="n">
        <f aca="false">Inputs!$D$39*Portfolio_Flows!AN374+Inputs!$D$40*Portfolio_Flows!AN383+Inputs!$D$41*Portfolio_Flows!AN392+(Inputs!$D$42+Inputs!$D$43-$D36)*Portfolio_Flows!AN401+$D36*Portfolio_Flows!AN410</f>
        <v>0</v>
      </c>
      <c r="AO36" s="29" t="n">
        <f aca="false">Inputs!$D$39*Portfolio_Flows!AO374+Inputs!$D$40*Portfolio_Flows!AO383+Inputs!$D$41*Portfolio_Flows!AO392+(Inputs!$D$42+Inputs!$D$43-$D36)*Portfolio_Flows!AO401+$D36*Portfolio_Flows!AO410</f>
        <v>0</v>
      </c>
      <c r="AP36" s="29" t="n">
        <f aca="false">Inputs!$D$39*Portfolio_Flows!AP374+Inputs!$D$40*Portfolio_Flows!AP383+Inputs!$D$41*Portfolio_Flows!AP392+(Inputs!$D$42+Inputs!$D$43-$D36)*Portfolio_Flows!AP401+$D36*Portfolio_Flows!AP410</f>
        <v>33082.125</v>
      </c>
      <c r="AQ36" s="29" t="n">
        <f aca="false">Inputs!$D$39*Portfolio_Flows!AQ374+Inputs!$D$40*Portfolio_Flows!AQ383+Inputs!$D$41*Portfolio_Flows!AQ392+(Inputs!$D$42+Inputs!$D$43-$D36)*Portfolio_Flows!AQ401+$D36*Portfolio_Flows!AQ410</f>
        <v>0</v>
      </c>
      <c r="AR36" s="29" t="n">
        <f aca="false">Inputs!$D$39*Portfolio_Flows!AR374+Inputs!$D$40*Portfolio_Flows!AR383+Inputs!$D$41*Portfolio_Flows!AR392+(Inputs!$D$42+Inputs!$D$43-$D36)*Portfolio_Flows!AR401+$D36*Portfolio_Flows!AR410</f>
        <v>0</v>
      </c>
      <c r="AS36" s="29" t="n">
        <f aca="false">Inputs!$D$39*Portfolio_Flows!AS374+Inputs!$D$40*Portfolio_Flows!AS383+Inputs!$D$41*Portfolio_Flows!AS392+(Inputs!$D$42+Inputs!$D$43-$D36)*Portfolio_Flows!AS401+$D36*Portfolio_Flows!AS410</f>
        <v>18973.8678</v>
      </c>
      <c r="AT36" s="29" t="n">
        <f aca="false">Inputs!$D$39*Portfolio_Flows!AT374+Inputs!$D$40*Portfolio_Flows!AT383+Inputs!$D$41*Portfolio_Flows!AT392+(Inputs!$D$42+Inputs!$D$43-$D36)*Portfolio_Flows!AT401+$D36*Portfolio_Flows!AT410</f>
        <v>0</v>
      </c>
      <c r="AU36" s="29" t="n">
        <f aca="false">Inputs!$D$39*Portfolio_Flows!AU374+Inputs!$D$40*Portfolio_Flows!AU383+Inputs!$D$41*Portfolio_Flows!AU392+(Inputs!$D$42+Inputs!$D$43-$D36)*Portfolio_Flows!AU401+$D36*Portfolio_Flows!AU410</f>
        <v>0</v>
      </c>
      <c r="AV36" s="29" t="n">
        <f aca="false">Inputs!$D$39*Portfolio_Flows!AV374+Inputs!$D$40*Portfolio_Flows!AV383+Inputs!$D$41*Portfolio_Flows!AV392+(Inputs!$D$42+Inputs!$D$43-$D36)*Portfolio_Flows!AV401+$D36*Portfolio_Flows!AV410</f>
        <v>0</v>
      </c>
      <c r="AW36" s="29" t="n">
        <f aca="false">Inputs!$D$39*Portfolio_Flows!AW374+Inputs!$D$40*Portfolio_Flows!AW383+Inputs!$D$41*Portfolio_Flows!AW392+(Inputs!$D$42+Inputs!$D$43-$D36)*Portfolio_Flows!AW401+$D36*Portfolio_Flows!AW410</f>
        <v>0</v>
      </c>
      <c r="AX36" s="29" t="n">
        <f aca="false">Inputs!$D$39*Portfolio_Flows!AX374+Inputs!$D$40*Portfolio_Flows!AX383+Inputs!$D$41*Portfolio_Flows!AX392+(Inputs!$D$42+Inputs!$D$43-$D36)*Portfolio_Flows!AX401+$D36*Portfolio_Flows!AX410</f>
        <v>5594.472</v>
      </c>
      <c r="AY36" s="29" t="n">
        <f aca="false">Inputs!$D$39*Portfolio_Flows!AY374+Inputs!$D$40*Portfolio_Flows!AY383+Inputs!$D$41*Portfolio_Flows!AY392+(Inputs!$D$42+Inputs!$D$43-$D36)*Portfolio_Flows!AY401+$D36*Portfolio_Flows!AY410</f>
        <v>0</v>
      </c>
    </row>
    <row r="38" customFormat="false" ht="15" hidden="false" customHeight="false" outlineLevel="0" collapsed="false">
      <c r="B38" s="6" t="s">
        <v>320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AN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7" min="3" style="0" width="14"/>
    <col collapsed="false" customWidth="true" hidden="false" outlineLevel="0" max="40" min="8" style="0" width="13"/>
  </cols>
  <sheetData>
    <row r="1" customFormat="false" ht="6" hidden="false" customHeight="true" outlineLevel="0" collapsed="false"/>
    <row r="2" customFormat="false" ht="17.35" hidden="false" customHeight="false" outlineLevel="0" collapsed="false">
      <c r="B2" s="5" t="s">
        <v>321</v>
      </c>
    </row>
    <row r="3" customFormat="false" ht="15" hidden="false" customHeight="false" outlineLevel="0" collapsed="false">
      <c r="B3" s="6" t="s">
        <v>322</v>
      </c>
    </row>
    <row r="5" customFormat="false" ht="21.75" hidden="false" customHeight="true" outlineLevel="0" collapsed="false">
      <c r="B5" s="14" t="s">
        <v>323</v>
      </c>
      <c r="C5" s="15" t="s">
        <v>38</v>
      </c>
      <c r="D5" s="15" t="s">
        <v>122</v>
      </c>
      <c r="E5" s="15" t="s">
        <v>67</v>
      </c>
      <c r="F5" s="15" t="s">
        <v>68</v>
      </c>
      <c r="G5" s="15" t="s">
        <v>123</v>
      </c>
    </row>
    <row r="6" customFormat="false" ht="15" hidden="false" customHeight="false" outlineLevel="0" collapsed="false">
      <c r="B6" s="9" t="s">
        <v>70</v>
      </c>
      <c r="C6" s="43" t="str">
        <f aca="false">Inputs!$C$39</f>
        <v>A</v>
      </c>
      <c r="D6" s="22" t="n">
        <f aca="false">Inputs!$D$39</f>
        <v>22</v>
      </c>
      <c r="E6" s="30" t="n">
        <f aca="false">Inputs!$E$39</f>
        <v>4200</v>
      </c>
      <c r="F6" s="26" t="n">
        <f aca="false">Inputs!$F$39</f>
        <v>0.005</v>
      </c>
      <c r="G6" s="30" t="n">
        <f aca="false">D6*E6</f>
        <v>92400</v>
      </c>
    </row>
    <row r="7" customFormat="false" ht="15" hidden="false" customHeight="false" outlineLevel="0" collapsed="false">
      <c r="B7" s="9" t="s">
        <v>71</v>
      </c>
      <c r="C7" s="43" t="str">
        <f aca="false">Inputs!$C$40</f>
        <v>B</v>
      </c>
      <c r="D7" s="22" t="n">
        <f aca="false">Inputs!$D$40</f>
        <v>18</v>
      </c>
      <c r="E7" s="30" t="n">
        <f aca="false">Inputs!$E$40</f>
        <v>3600</v>
      </c>
      <c r="F7" s="26" t="n">
        <f aca="false">Inputs!$F$40</f>
        <v>0.07</v>
      </c>
      <c r="G7" s="30" t="n">
        <f aca="false">D7*E7</f>
        <v>64800</v>
      </c>
    </row>
    <row r="8" customFormat="false" ht="15" hidden="false" customHeight="false" outlineLevel="0" collapsed="false">
      <c r="B8" s="9" t="s">
        <v>72</v>
      </c>
      <c r="C8" s="43" t="str">
        <f aca="false">Inputs!$C$41</f>
        <v>C</v>
      </c>
      <c r="D8" s="22" t="n">
        <f aca="false">Inputs!$D$41</f>
        <v>5</v>
      </c>
      <c r="E8" s="30" t="n">
        <f aca="false">Inputs!$E$41</f>
        <v>9500</v>
      </c>
      <c r="F8" s="26" t="n">
        <f aca="false">Inputs!$F$41</f>
        <v>0.09</v>
      </c>
      <c r="G8" s="30" t="n">
        <f aca="false">D8*E8</f>
        <v>47500</v>
      </c>
    </row>
    <row r="9" customFormat="false" ht="15" hidden="false" customHeight="false" outlineLevel="0" collapsed="false">
      <c r="B9" s="9" t="s">
        <v>73</v>
      </c>
      <c r="C9" s="43" t="str">
        <f aca="false">Inputs!$C$42</f>
        <v>D</v>
      </c>
      <c r="D9" s="22" t="n">
        <f aca="false">Inputs!$D$42</f>
        <v>13</v>
      </c>
      <c r="E9" s="30" t="n">
        <f aca="false">Inputs!$E$42</f>
        <v>1600</v>
      </c>
      <c r="F9" s="26" t="n">
        <f aca="false">Inputs!$F$42</f>
        <v>0.13</v>
      </c>
      <c r="G9" s="30" t="n">
        <f aca="false">D9*E9</f>
        <v>20800</v>
      </c>
    </row>
    <row r="10" customFormat="false" ht="15" hidden="false" customHeight="false" outlineLevel="0" collapsed="false">
      <c r="B10" s="9" t="s">
        <v>324</v>
      </c>
      <c r="C10" s="43" t="str">
        <f aca="false">Inputs!$C$43</f>
        <v>D</v>
      </c>
      <c r="D10" s="22" t="n">
        <f aca="false">Inputs!$D$43</f>
        <v>2</v>
      </c>
      <c r="E10" s="30" t="n">
        <f aca="false">Inputs!$E$43</f>
        <v>1600</v>
      </c>
      <c r="F10" s="26" t="n">
        <f aca="false">Inputs!$F$43</f>
        <v>0.13</v>
      </c>
      <c r="G10" s="30" t="n">
        <f aca="false">D10*E10</f>
        <v>3200</v>
      </c>
    </row>
    <row r="11" customFormat="false" ht="15" hidden="false" customHeight="false" outlineLevel="0" collapsed="false">
      <c r="B11" s="31" t="s">
        <v>124</v>
      </c>
      <c r="D11" s="44" t="n">
        <f aca="false">SUM(D6:D10)</f>
        <v>60</v>
      </c>
      <c r="G11" s="34" t="n">
        <f aca="false">SUM(G6:G10)</f>
        <v>228700</v>
      </c>
    </row>
    <row r="13" customFormat="false" ht="15" hidden="false" customHeight="false" outlineLevel="0" collapsed="false">
      <c r="B13" s="9" t="s">
        <v>325</v>
      </c>
      <c r="C13" s="30" t="n">
        <f aca="false">$D$11*Inputs!$C$9</f>
        <v>600</v>
      </c>
    </row>
    <row r="14" customFormat="false" ht="15" hidden="false" customHeight="false" outlineLevel="0" collapsed="false">
      <c r="B14" s="31" t="s">
        <v>326</v>
      </c>
      <c r="C14" s="34" t="n">
        <f aca="false">$G$11+$C$13</f>
        <v>229300</v>
      </c>
    </row>
    <row r="15" customFormat="false" ht="15" hidden="false" customHeight="false" outlineLevel="0" collapsed="false">
      <c r="B15" s="9" t="s">
        <v>327</v>
      </c>
      <c r="C15" s="30" t="n">
        <f aca="false">Inputs!$C$37-$C$14</f>
        <v>20700</v>
      </c>
    </row>
    <row r="17" customFormat="false" ht="15" hidden="false" customHeight="false" outlineLevel="0" collapsed="false">
      <c r="B17" s="7" t="s">
        <v>328</v>
      </c>
      <c r="C17" s="8"/>
      <c r="D17" s="8"/>
    </row>
    <row r="18" customFormat="false" ht="15" hidden="false" customHeight="false" outlineLevel="0" collapsed="false">
      <c r="B18" s="9" t="s">
        <v>329</v>
      </c>
      <c r="C18" s="30" t="n">
        <f aca="false">Variants!$H$7</f>
        <v>72357.6611999999</v>
      </c>
    </row>
    <row r="19" customFormat="false" ht="15" hidden="false" customHeight="false" outlineLevel="0" collapsed="false">
      <c r="B19" s="9" t="s">
        <v>330</v>
      </c>
      <c r="C19" s="30" t="n">
        <f aca="false">Variants!$I$7</f>
        <v>321668.04185</v>
      </c>
    </row>
    <row r="20" customFormat="false" ht="15" hidden="false" customHeight="false" outlineLevel="0" collapsed="false">
      <c r="B20" s="31" t="s">
        <v>331</v>
      </c>
      <c r="C20" s="34" t="n">
        <f aca="false">Variants!$J$7</f>
        <v>20010.38065</v>
      </c>
    </row>
    <row r="21" customFormat="false" ht="15" hidden="false" customHeight="false" outlineLevel="0" collapsed="false">
      <c r="B21" s="31" t="s">
        <v>332</v>
      </c>
      <c r="C21" s="41" t="n">
        <f aca="false">Variants!$F$7</f>
        <v>0.0754191143018372</v>
      </c>
    </row>
    <row r="23" customFormat="false" ht="15" hidden="false" customHeight="false" outlineLevel="0" collapsed="false">
      <c r="B23" s="7" t="s">
        <v>333</v>
      </c>
      <c r="C23" s="8"/>
      <c r="D23" s="8"/>
    </row>
    <row r="24" customFormat="false" ht="15" hidden="false" customHeight="false" outlineLevel="0" collapsed="false">
      <c r="B24" s="9" t="s">
        <v>334</v>
      </c>
      <c r="C24" s="25" t="n">
        <f aca="false">Portfolio_Flows!$L$11</f>
        <v>0.0766346621551932</v>
      </c>
    </row>
    <row r="25" customFormat="false" ht="15" hidden="false" customHeight="false" outlineLevel="0" collapsed="false">
      <c r="B25" s="9" t="s">
        <v>335</v>
      </c>
      <c r="C25" s="25" t="n">
        <f aca="false">Portfolio_Flows!$L$20</f>
        <v>0.0908977543816594</v>
      </c>
    </row>
    <row r="26" customFormat="false" ht="15" hidden="false" customHeight="false" outlineLevel="0" collapsed="false">
      <c r="B26" s="9" t="s">
        <v>336</v>
      </c>
      <c r="C26" s="25" t="n">
        <f aca="false">Portfolio_Flows!$L$29</f>
        <v>0.102146438751332</v>
      </c>
    </row>
    <row r="27" customFormat="false" ht="15" hidden="false" customHeight="false" outlineLevel="0" collapsed="false">
      <c r="B27" s="9" t="s">
        <v>337</v>
      </c>
      <c r="C27" s="25" t="n">
        <f aca="false">Portfolio_Flows!$L$38</f>
        <v>0.0579958014195281</v>
      </c>
    </row>
    <row r="28" customFormat="false" ht="15" hidden="false" customHeight="false" outlineLevel="0" collapsed="false">
      <c r="B28" s="9" t="s">
        <v>338</v>
      </c>
      <c r="C28" s="25" t="n">
        <f aca="false">Portfolio_Flows!$L$47</f>
        <v>-0.630847894979521</v>
      </c>
    </row>
    <row r="30" customFormat="false" ht="15" hidden="false" customHeight="false" outlineLevel="0" collapsed="false">
      <c r="B30" s="7" t="s">
        <v>339</v>
      </c>
      <c r="C30" s="8"/>
      <c r="D30" s="8"/>
    </row>
    <row r="31" customFormat="false" ht="15" hidden="false" customHeight="false" outlineLevel="0" collapsed="false">
      <c r="B31" s="9" t="s">
        <v>340</v>
      </c>
      <c r="C31" s="26" t="n">
        <f aca="false">Variants!$F$8</f>
        <v>0.0836134594614975</v>
      </c>
    </row>
    <row r="32" customFormat="false" ht="15" hidden="false" customHeight="false" outlineLevel="0" collapsed="false">
      <c r="B32" s="9" t="s">
        <v>341</v>
      </c>
      <c r="C32" s="30" t="n">
        <f aca="false">Variants!$J$8</f>
        <v>22325.46065</v>
      </c>
    </row>
    <row r="33" customFormat="false" ht="15" hidden="false" customHeight="false" outlineLevel="0" collapsed="false">
      <c r="B33" s="9" t="s">
        <v>342</v>
      </c>
      <c r="C33" s="30" t="n">
        <f aca="false">$C$32-$C$20</f>
        <v>2315.08</v>
      </c>
    </row>
    <row r="34" customFormat="false" ht="15" hidden="false" customHeight="false" outlineLevel="0" collapsed="false">
      <c r="B34" s="9" t="s">
        <v>343</v>
      </c>
      <c r="C34" s="26" t="n">
        <f aca="false">Variants!$F$35</f>
        <v>0.084062088599755</v>
      </c>
    </row>
    <row r="35" customFormat="false" ht="15" hidden="false" customHeight="false" outlineLevel="0" collapsed="false">
      <c r="B35" s="9" t="s">
        <v>344</v>
      </c>
      <c r="C35" s="26" t="n">
        <f aca="false">Variants!$F$36</f>
        <v>0.0779350073071496</v>
      </c>
    </row>
    <row r="37" customFormat="false" ht="15" hidden="false" customHeight="false" outlineLevel="0" collapsed="false">
      <c r="B37" s="7" t="s">
        <v>345</v>
      </c>
      <c r="C37" s="8"/>
      <c r="D37" s="8"/>
    </row>
    <row r="38" customFormat="false" ht="15" hidden="false" customHeight="false" outlineLevel="0" collapsed="false">
      <c r="B38" s="7" t="s">
        <v>59</v>
      </c>
      <c r="C38" s="24" t="n">
        <v>0</v>
      </c>
      <c r="D38" s="24" t="n">
        <v>1</v>
      </c>
      <c r="E38" s="24" t="n">
        <v>2</v>
      </c>
      <c r="F38" s="24" t="n">
        <v>3</v>
      </c>
      <c r="G38" s="24" t="n">
        <v>4</v>
      </c>
      <c r="H38" s="24" t="n">
        <v>5</v>
      </c>
      <c r="I38" s="24" t="n">
        <v>6</v>
      </c>
      <c r="J38" s="24" t="n">
        <v>7</v>
      </c>
      <c r="K38" s="24" t="n">
        <v>8</v>
      </c>
      <c r="L38" s="24" t="n">
        <v>9</v>
      </c>
      <c r="M38" s="24" t="n">
        <v>10</v>
      </c>
      <c r="N38" s="24" t="n">
        <v>11</v>
      </c>
      <c r="O38" s="24" t="n">
        <v>12</v>
      </c>
      <c r="P38" s="24" t="n">
        <v>13</v>
      </c>
      <c r="Q38" s="24" t="n">
        <v>14</v>
      </c>
      <c r="R38" s="24" t="n">
        <v>15</v>
      </c>
      <c r="S38" s="24" t="n">
        <v>16</v>
      </c>
      <c r="T38" s="24" t="n">
        <v>17</v>
      </c>
      <c r="U38" s="24" t="n">
        <v>18</v>
      </c>
      <c r="V38" s="24" t="n">
        <v>19</v>
      </c>
      <c r="W38" s="24" t="n">
        <v>20</v>
      </c>
      <c r="X38" s="24" t="n">
        <v>21</v>
      </c>
      <c r="Y38" s="24" t="n">
        <v>22</v>
      </c>
      <c r="Z38" s="24" t="n">
        <v>23</v>
      </c>
      <c r="AA38" s="24" t="n">
        <v>24</v>
      </c>
      <c r="AB38" s="24" t="n">
        <v>25</v>
      </c>
      <c r="AC38" s="24" t="n">
        <v>26</v>
      </c>
      <c r="AD38" s="24" t="n">
        <v>27</v>
      </c>
      <c r="AE38" s="24" t="n">
        <v>28</v>
      </c>
      <c r="AF38" s="24" t="n">
        <v>29</v>
      </c>
      <c r="AG38" s="24" t="n">
        <v>30</v>
      </c>
      <c r="AH38" s="24" t="n">
        <v>31</v>
      </c>
      <c r="AI38" s="24" t="n">
        <v>32</v>
      </c>
      <c r="AJ38" s="24" t="n">
        <v>33</v>
      </c>
      <c r="AK38" s="24" t="n">
        <v>34</v>
      </c>
      <c r="AL38" s="24" t="n">
        <v>35</v>
      </c>
      <c r="AM38" s="24" t="n">
        <v>36</v>
      </c>
      <c r="AN38" s="24" t="n">
        <v>37</v>
      </c>
    </row>
    <row r="39" customFormat="false" ht="15" hidden="false" customHeight="false" outlineLevel="0" collapsed="false">
      <c r="B39" s="9" t="s">
        <v>346</v>
      </c>
      <c r="C39" s="29" t="n">
        <f aca="false">Variants!N7</f>
        <v>-229300</v>
      </c>
      <c r="D39" s="29" t="n">
        <f aca="false">Variants!O7</f>
        <v>0</v>
      </c>
      <c r="E39" s="29" t="n">
        <f aca="false">Variants!P7</f>
        <v>26685.288</v>
      </c>
      <c r="F39" s="29" t="n">
        <f aca="false">Variants!Q7</f>
        <v>22237.74</v>
      </c>
      <c r="G39" s="29" t="n">
        <f aca="false">Variants!R7</f>
        <v>20013.966</v>
      </c>
      <c r="H39" s="29" t="n">
        <f aca="false">Variants!S7</f>
        <v>15566.418</v>
      </c>
      <c r="I39" s="29" t="n">
        <f aca="false">Variants!T7</f>
        <v>15571.598</v>
      </c>
      <c r="J39" s="29" t="n">
        <f aca="false">Variants!U7</f>
        <v>15585.066</v>
      </c>
      <c r="K39" s="29" t="n">
        <f aca="false">Variants!V7</f>
        <v>9660.86658333333</v>
      </c>
      <c r="L39" s="29" t="n">
        <f aca="false">Variants!W7</f>
        <v>9683.09766666667</v>
      </c>
      <c r="M39" s="29" t="n">
        <f aca="false">Variants!X7</f>
        <v>9711.85735</v>
      </c>
      <c r="N39" s="29" t="n">
        <f aca="false">Variants!Y7</f>
        <v>8249.42616666666</v>
      </c>
      <c r="O39" s="29" t="n">
        <f aca="false">Variants!Z7</f>
        <v>-57111.1931166667</v>
      </c>
      <c r="P39" s="29" t="n">
        <f aca="false">Variants!AA7</f>
        <v>8312.82759999999</v>
      </c>
      <c r="Q39" s="29" t="n">
        <f aca="false">Variants!AB7</f>
        <v>10299.47485</v>
      </c>
      <c r="R39" s="29" t="n">
        <f aca="false">Variants!AC7</f>
        <v>10393.3818333333</v>
      </c>
      <c r="S39" s="29" t="n">
        <f aca="false">Variants!AD7</f>
        <v>10487.2888166667</v>
      </c>
      <c r="T39" s="29" t="n">
        <f aca="false">Variants!AE7</f>
        <v>10581.1958</v>
      </c>
      <c r="U39" s="29" t="n">
        <f aca="false">Variants!AF7</f>
        <v>10675.1027833333</v>
      </c>
      <c r="V39" s="29" t="n">
        <f aca="false">Variants!AG7</f>
        <v>10769.0097666667</v>
      </c>
      <c r="W39" s="29" t="n">
        <f aca="false">Variants!AH7</f>
        <v>7759.22625000002</v>
      </c>
      <c r="X39" s="29" t="n">
        <f aca="false">Variants!AI7</f>
        <v>7826.30266666664</v>
      </c>
      <c r="Y39" s="29" t="n">
        <f aca="false">Variants!AJ7</f>
        <v>7893.37908333331</v>
      </c>
      <c r="Z39" s="29" t="n">
        <f aca="false">Variants!AK7</f>
        <v>7960.45550000003</v>
      </c>
      <c r="AA39" s="29" t="n">
        <f aca="false">Variants!AL7</f>
        <v>-15246.4680833333</v>
      </c>
      <c r="AB39" s="29" t="n">
        <f aca="false">Variants!AM7</f>
        <v>8094.60833333331</v>
      </c>
      <c r="AC39" s="29" t="n">
        <f aca="false">Variants!AN7</f>
        <v>0</v>
      </c>
      <c r="AD39" s="29" t="n">
        <f aca="false">Variants!AO7</f>
        <v>0</v>
      </c>
      <c r="AE39" s="29" t="n">
        <f aca="false">Variants!AP7</f>
        <v>33082.125</v>
      </c>
      <c r="AF39" s="29" t="n">
        <f aca="false">Variants!AQ7</f>
        <v>0</v>
      </c>
      <c r="AG39" s="29" t="n">
        <f aca="false">Variants!AR7</f>
        <v>0</v>
      </c>
      <c r="AH39" s="29" t="n">
        <f aca="false">Variants!AS7</f>
        <v>18973.8678</v>
      </c>
      <c r="AI39" s="29" t="n">
        <f aca="false">Variants!AT7</f>
        <v>0</v>
      </c>
      <c r="AJ39" s="29" t="n">
        <f aca="false">Variants!AU7</f>
        <v>0</v>
      </c>
      <c r="AK39" s="29" t="n">
        <f aca="false">Variants!AV7</f>
        <v>0</v>
      </c>
      <c r="AL39" s="29" t="n">
        <f aca="false">Variants!AW7</f>
        <v>0</v>
      </c>
      <c r="AM39" s="29" t="n">
        <f aca="false">Variants!AX7</f>
        <v>5594.472</v>
      </c>
      <c r="AN39" s="29" t="n">
        <f aca="false">Variants!AY7</f>
        <v>0</v>
      </c>
    </row>
    <row r="40" customFormat="false" ht="15" hidden="false" customHeight="false" outlineLevel="0" collapsed="false">
      <c r="B40" s="9" t="s">
        <v>347</v>
      </c>
      <c r="C40" s="29" t="n">
        <f aca="false">C39</f>
        <v>-229300</v>
      </c>
      <c r="D40" s="29" t="n">
        <f aca="false">C40+D39</f>
        <v>-229300</v>
      </c>
      <c r="E40" s="29" t="n">
        <f aca="false">D40+E39</f>
        <v>-202614.712</v>
      </c>
      <c r="F40" s="29" t="n">
        <f aca="false">E40+F39</f>
        <v>-180376.972</v>
      </c>
      <c r="G40" s="29" t="n">
        <f aca="false">F40+G39</f>
        <v>-160363.006</v>
      </c>
      <c r="H40" s="29" t="n">
        <f aca="false">G40+H39</f>
        <v>-144796.588</v>
      </c>
      <c r="I40" s="29" t="n">
        <f aca="false">H40+I39</f>
        <v>-129224.99</v>
      </c>
      <c r="J40" s="29" t="n">
        <f aca="false">I40+J39</f>
        <v>-113639.924</v>
      </c>
      <c r="K40" s="29" t="n">
        <f aca="false">J40+K39</f>
        <v>-103979.057416667</v>
      </c>
      <c r="L40" s="29" t="n">
        <f aca="false">K40+L39</f>
        <v>-94295.95975</v>
      </c>
      <c r="M40" s="29" t="n">
        <f aca="false">L40+M39</f>
        <v>-84584.1024</v>
      </c>
      <c r="N40" s="29" t="n">
        <f aca="false">M40+N39</f>
        <v>-76334.6762333334</v>
      </c>
      <c r="O40" s="29" t="n">
        <f aca="false">N40+O39</f>
        <v>-133445.86935</v>
      </c>
      <c r="P40" s="29" t="n">
        <f aca="false">O40+P39</f>
        <v>-125133.04175</v>
      </c>
      <c r="Q40" s="29" t="n">
        <f aca="false">P40+Q39</f>
        <v>-114833.5669</v>
      </c>
      <c r="R40" s="29" t="n">
        <f aca="false">Q40+R39</f>
        <v>-104440.185066667</v>
      </c>
      <c r="S40" s="29" t="n">
        <f aca="false">R40+S39</f>
        <v>-93952.89625</v>
      </c>
      <c r="T40" s="29" t="n">
        <f aca="false">S40+T39</f>
        <v>-83371.70045</v>
      </c>
      <c r="U40" s="29" t="n">
        <f aca="false">T40+U39</f>
        <v>-72696.5976666667</v>
      </c>
      <c r="V40" s="29" t="n">
        <f aca="false">U40+V39</f>
        <v>-61927.5879</v>
      </c>
      <c r="W40" s="29" t="n">
        <f aca="false">V40+W39</f>
        <v>-54168.36165</v>
      </c>
      <c r="X40" s="29" t="n">
        <f aca="false">W40+X39</f>
        <v>-46342.0589833333</v>
      </c>
      <c r="Y40" s="29" t="n">
        <f aca="false">X40+Y39</f>
        <v>-38448.6799</v>
      </c>
      <c r="Z40" s="29" t="n">
        <f aca="false">Y40+Z39</f>
        <v>-30488.2244</v>
      </c>
      <c r="AA40" s="29" t="n">
        <f aca="false">Z40+AA39</f>
        <v>-45734.6924833333</v>
      </c>
      <c r="AB40" s="29" t="n">
        <f aca="false">AA40+AB39</f>
        <v>-37640.08415</v>
      </c>
      <c r="AC40" s="29" t="n">
        <f aca="false">AB40+AC39</f>
        <v>-37640.08415</v>
      </c>
      <c r="AD40" s="29" t="n">
        <f aca="false">AC40+AD39</f>
        <v>-37640.08415</v>
      </c>
      <c r="AE40" s="29" t="n">
        <f aca="false">AD40+AE39</f>
        <v>-4557.95915000001</v>
      </c>
      <c r="AF40" s="29" t="n">
        <f aca="false">AE40+AF39</f>
        <v>-4557.95915000001</v>
      </c>
      <c r="AG40" s="29" t="n">
        <f aca="false">AF40+AG39</f>
        <v>-4557.95915000001</v>
      </c>
      <c r="AH40" s="29" t="n">
        <f aca="false">AG40+AH39</f>
        <v>14415.90865</v>
      </c>
      <c r="AI40" s="29" t="n">
        <f aca="false">AH40+AI39</f>
        <v>14415.90865</v>
      </c>
      <c r="AJ40" s="29" t="n">
        <f aca="false">AI40+AJ39</f>
        <v>14415.90865</v>
      </c>
      <c r="AK40" s="29" t="n">
        <f aca="false">AJ40+AK39</f>
        <v>14415.90865</v>
      </c>
      <c r="AL40" s="29" t="n">
        <f aca="false">AK40+AL39</f>
        <v>14415.90865</v>
      </c>
      <c r="AM40" s="29" t="n">
        <f aca="false">AL40+AM39</f>
        <v>20010.38065</v>
      </c>
      <c r="AN40" s="29" t="n">
        <f aca="false">AM40+AN39</f>
        <v>20010.38065</v>
      </c>
    </row>
    <row r="41" customFormat="false" ht="15" hidden="false" customHeight="false" outlineLevel="0" collapsed="false">
      <c r="B41" s="9" t="s">
        <v>348</v>
      </c>
      <c r="C41" s="29" t="n">
        <f aca="false">MAX(0,-C40)</f>
        <v>229300</v>
      </c>
      <c r="D41" s="29" t="n">
        <f aca="false">MAX(0,-D40)</f>
        <v>229300</v>
      </c>
      <c r="E41" s="29" t="n">
        <f aca="false">MAX(0,-E40)</f>
        <v>202614.712</v>
      </c>
      <c r="F41" s="29" t="n">
        <f aca="false">MAX(0,-F40)</f>
        <v>180376.972</v>
      </c>
      <c r="G41" s="29" t="n">
        <f aca="false">MAX(0,-G40)</f>
        <v>160363.006</v>
      </c>
      <c r="H41" s="29" t="n">
        <f aca="false">MAX(0,-H40)</f>
        <v>144796.588</v>
      </c>
      <c r="I41" s="29" t="n">
        <f aca="false">MAX(0,-I40)</f>
        <v>129224.99</v>
      </c>
      <c r="J41" s="29" t="n">
        <f aca="false">MAX(0,-J40)</f>
        <v>113639.924</v>
      </c>
      <c r="K41" s="29" t="n">
        <f aca="false">MAX(0,-K40)</f>
        <v>103979.057416667</v>
      </c>
      <c r="L41" s="29" t="n">
        <f aca="false">MAX(0,-L40)</f>
        <v>94295.95975</v>
      </c>
      <c r="M41" s="29" t="n">
        <f aca="false">MAX(0,-M40)</f>
        <v>84584.1024</v>
      </c>
      <c r="N41" s="29" t="n">
        <f aca="false">MAX(0,-N40)</f>
        <v>76334.6762333334</v>
      </c>
      <c r="O41" s="29" t="n">
        <f aca="false">MAX(0,-O40)</f>
        <v>133445.86935</v>
      </c>
      <c r="P41" s="29" t="n">
        <f aca="false">MAX(0,-P40)</f>
        <v>125133.04175</v>
      </c>
      <c r="Q41" s="29" t="n">
        <f aca="false">MAX(0,-Q40)</f>
        <v>114833.5669</v>
      </c>
      <c r="R41" s="29" t="n">
        <f aca="false">MAX(0,-R40)</f>
        <v>104440.185066667</v>
      </c>
      <c r="S41" s="29" t="n">
        <f aca="false">MAX(0,-S40)</f>
        <v>93952.89625</v>
      </c>
      <c r="T41" s="29" t="n">
        <f aca="false">MAX(0,-T40)</f>
        <v>83371.70045</v>
      </c>
      <c r="U41" s="29" t="n">
        <f aca="false">MAX(0,-U40)</f>
        <v>72696.5976666667</v>
      </c>
      <c r="V41" s="29" t="n">
        <f aca="false">MAX(0,-V40)</f>
        <v>61927.5879</v>
      </c>
      <c r="W41" s="29" t="n">
        <f aca="false">MAX(0,-W40)</f>
        <v>54168.36165</v>
      </c>
      <c r="X41" s="29" t="n">
        <f aca="false">MAX(0,-X40)</f>
        <v>46342.0589833333</v>
      </c>
      <c r="Y41" s="29" t="n">
        <f aca="false">MAX(0,-Y40)</f>
        <v>38448.6799</v>
      </c>
      <c r="Z41" s="29" t="n">
        <f aca="false">MAX(0,-Z40)</f>
        <v>30488.2244</v>
      </c>
      <c r="AA41" s="29" t="n">
        <f aca="false">MAX(0,-AA40)</f>
        <v>45734.6924833333</v>
      </c>
      <c r="AB41" s="29" t="n">
        <f aca="false">MAX(0,-AB40)</f>
        <v>37640.08415</v>
      </c>
      <c r="AC41" s="29" t="n">
        <f aca="false">MAX(0,-AC40)</f>
        <v>37640.08415</v>
      </c>
      <c r="AD41" s="29" t="n">
        <f aca="false">MAX(0,-AD40)</f>
        <v>37640.08415</v>
      </c>
      <c r="AE41" s="29" t="n">
        <f aca="false">MAX(0,-AE40)</f>
        <v>4557.95915000001</v>
      </c>
      <c r="AF41" s="29" t="n">
        <f aca="false">MAX(0,-AF40)</f>
        <v>4557.95915000001</v>
      </c>
      <c r="AG41" s="29" t="n">
        <f aca="false">MAX(0,-AG40)</f>
        <v>4557.95915000001</v>
      </c>
      <c r="AH41" s="29" t="n">
        <f aca="false">MAX(0,-AH40)</f>
        <v>0</v>
      </c>
      <c r="AI41" s="29" t="n">
        <f aca="false">MAX(0,-AI40)</f>
        <v>0</v>
      </c>
      <c r="AJ41" s="29" t="n">
        <f aca="false">MAX(0,-AJ40)</f>
        <v>0</v>
      </c>
      <c r="AK41" s="29" t="n">
        <f aca="false">MAX(0,-AK40)</f>
        <v>0</v>
      </c>
      <c r="AL41" s="29" t="n">
        <f aca="false">MAX(0,-AL40)</f>
        <v>0</v>
      </c>
      <c r="AM41" s="29" t="n">
        <f aca="false">MAX(0,-AM40)</f>
        <v>0</v>
      </c>
      <c r="AN41" s="29" t="n">
        <f aca="false">MAX(0,-AN40)</f>
        <v>0</v>
      </c>
    </row>
    <row r="43" customFormat="false" ht="15" hidden="false" customHeight="false" outlineLevel="0" collapsed="false">
      <c r="B43" s="9" t="s">
        <v>349</v>
      </c>
      <c r="C43" s="29" t="n">
        <f aca="false">SUM(C41:AN41)</f>
        <v>2880387.58045</v>
      </c>
    </row>
    <row r="44" customFormat="false" ht="15" hidden="false" customHeight="false" outlineLevel="0" collapsed="false">
      <c r="B44" s="9" t="s">
        <v>350</v>
      </c>
      <c r="C44" s="35" t="n">
        <f aca="false">$C$43/$C$14</f>
        <v>12.5616553879198</v>
      </c>
    </row>
    <row r="45" customFormat="false" ht="15" hidden="false" customHeight="false" outlineLevel="0" collapsed="false">
      <c r="B45" s="9" t="s">
        <v>351</v>
      </c>
      <c r="C45" s="30" t="n">
        <f aca="false">-MIN(C40:AN40)</f>
        <v>229300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8"/>
    <col collapsed="false" customWidth="true" hidden="false" outlineLevel="0" max="4" min="3" style="0" width="16"/>
    <col collapsed="false" customWidth="true" hidden="false" outlineLevel="0" max="5" min="5" style="0" width="50"/>
  </cols>
  <sheetData>
    <row r="1" customFormat="false" ht="6" hidden="false" customHeight="true" outlineLevel="0" collapsed="false"/>
    <row r="2" customFormat="false" ht="17.35" hidden="false" customHeight="false" outlineLevel="0" collapsed="false">
      <c r="B2" s="5" t="s">
        <v>352</v>
      </c>
    </row>
    <row r="3" customFormat="false" ht="15" hidden="false" customHeight="false" outlineLevel="0" collapsed="false">
      <c r="B3" s="6" t="s">
        <v>353</v>
      </c>
    </row>
    <row r="5" customFormat="false" ht="30" hidden="false" customHeight="true" outlineLevel="0" collapsed="false">
      <c r="B5" s="14" t="s">
        <v>354</v>
      </c>
      <c r="C5" s="15" t="s">
        <v>355</v>
      </c>
      <c r="D5" s="15" t="s">
        <v>347</v>
      </c>
      <c r="E5" s="15" t="s">
        <v>356</v>
      </c>
    </row>
    <row r="6" customFormat="false" ht="15" hidden="false" customHeight="false" outlineLevel="0" collapsed="false">
      <c r="B6" s="45" t="n">
        <v>0</v>
      </c>
      <c r="C6" s="30" t="n">
        <f aca="false">SUMPRODUCT((Variants!$N$5:$AY$5=0)*Variants!$N$7:$AY$7)</f>
        <v>-229300</v>
      </c>
      <c r="D6" s="30" t="n">
        <f aca="false">C6</f>
        <v>-229300</v>
      </c>
      <c r="E6" s="9" t="s">
        <v>357</v>
      </c>
    </row>
    <row r="7" customFormat="false" ht="15" hidden="false" customHeight="false" outlineLevel="0" collapsed="false">
      <c r="B7" s="45" t="n">
        <v>1</v>
      </c>
      <c r="C7" s="30" t="n">
        <f aca="false">SUMPRODUCT((Variants!$N$5:$AY$5&gt;=3*B7-2)*(Variants!$N$5:$AY$5&lt;=3*B7)*Variants!$N$7:$AY$7)</f>
        <v>48923.028</v>
      </c>
      <c r="D7" s="30" t="n">
        <f aca="false">D6+C7</f>
        <v>-180376.972</v>
      </c>
      <c r="E7" s="27" t="str">
        <f aca="false">"months "&amp;(3*B7-2)&amp;" to "&amp;(3*B7)</f>
        <v>months 1 to 3</v>
      </c>
    </row>
    <row r="8" customFormat="false" ht="15" hidden="false" customHeight="false" outlineLevel="0" collapsed="false">
      <c r="B8" s="45" t="n">
        <v>2</v>
      </c>
      <c r="C8" s="30" t="n">
        <f aca="false">SUMPRODUCT((Variants!$N$5:$AY$5&gt;=3*B8-2)*(Variants!$N$5:$AY$5&lt;=3*B8)*Variants!$N$7:$AY$7)</f>
        <v>51151.982</v>
      </c>
      <c r="D8" s="30" t="n">
        <f aca="false">D7+C8</f>
        <v>-129224.99</v>
      </c>
      <c r="E8" s="27" t="str">
        <f aca="false">"months "&amp;(3*B8-2)&amp;" to "&amp;(3*B8)</f>
        <v>months 4 to 6</v>
      </c>
    </row>
    <row r="9" customFormat="false" ht="15" hidden="false" customHeight="false" outlineLevel="0" collapsed="false">
      <c r="B9" s="45" t="n">
        <v>3</v>
      </c>
      <c r="C9" s="30" t="n">
        <f aca="false">SUMPRODUCT((Variants!$N$5:$AY$5&gt;=3*B9-2)*(Variants!$N$5:$AY$5&lt;=3*B9)*Variants!$N$7:$AY$7)</f>
        <v>34929.03025</v>
      </c>
      <c r="D9" s="30" t="n">
        <f aca="false">D8+C9</f>
        <v>-94295.95975</v>
      </c>
      <c r="E9" s="27" t="str">
        <f aca="false">"months "&amp;(3*B9-2)&amp;" to "&amp;(3*B9)</f>
        <v>months 7 to 9</v>
      </c>
    </row>
    <row r="10" customFormat="false" ht="15" hidden="false" customHeight="false" outlineLevel="0" collapsed="false">
      <c r="B10" s="45" t="n">
        <v>4</v>
      </c>
      <c r="C10" s="30" t="n">
        <f aca="false">SUMPRODUCT((Variants!$N$5:$AY$5&gt;=3*B10-2)*(Variants!$N$5:$AY$5&lt;=3*B10)*Variants!$N$7:$AY$7)</f>
        <v>-39149.9096</v>
      </c>
      <c r="D10" s="30" t="n">
        <f aca="false">D9+C10</f>
        <v>-133445.86935</v>
      </c>
      <c r="E10" s="27" t="str">
        <f aca="false">"months "&amp;(3*B10-2)&amp;" to "&amp;(3*B10)</f>
        <v>months 10 to 12</v>
      </c>
    </row>
    <row r="11" customFormat="false" ht="15" hidden="false" customHeight="false" outlineLevel="0" collapsed="false">
      <c r="B11" s="45" t="n">
        <v>5</v>
      </c>
      <c r="C11" s="30" t="n">
        <f aca="false">SUMPRODUCT((Variants!$N$5:$AY$5&gt;=3*B11-2)*(Variants!$N$5:$AY$5&lt;=3*B11)*Variants!$N$7:$AY$7)</f>
        <v>29005.6842833333</v>
      </c>
      <c r="D11" s="30" t="n">
        <f aca="false">D10+C11</f>
        <v>-104440.185066667</v>
      </c>
      <c r="E11" s="27" t="str">
        <f aca="false">"months "&amp;(3*B11-2)&amp;" to "&amp;(3*B11)</f>
        <v>months 13 to 15</v>
      </c>
    </row>
    <row r="12" customFormat="false" ht="15" hidden="false" customHeight="false" outlineLevel="0" collapsed="false">
      <c r="B12" s="45" t="n">
        <v>6</v>
      </c>
      <c r="C12" s="30" t="n">
        <f aca="false">SUMPRODUCT((Variants!$N$5:$AY$5&gt;=3*B12-2)*(Variants!$N$5:$AY$5&lt;=3*B12)*Variants!$N$7:$AY$7)</f>
        <v>31743.5874</v>
      </c>
      <c r="D12" s="30" t="n">
        <f aca="false">D11+C12</f>
        <v>-72696.5976666667</v>
      </c>
      <c r="E12" s="27" t="str">
        <f aca="false">"months "&amp;(3*B12-2)&amp;" to "&amp;(3*B12)</f>
        <v>months 16 to 18</v>
      </c>
    </row>
    <row r="13" customFormat="false" ht="15" hidden="false" customHeight="false" outlineLevel="0" collapsed="false">
      <c r="B13" s="45" t="n">
        <v>7</v>
      </c>
      <c r="C13" s="30" t="n">
        <f aca="false">SUMPRODUCT((Variants!$N$5:$AY$5&gt;=3*B13-2)*(Variants!$N$5:$AY$5&lt;=3*B13)*Variants!$N$7:$AY$7)</f>
        <v>26354.5386833333</v>
      </c>
      <c r="D13" s="30" t="n">
        <f aca="false">D12+C13</f>
        <v>-46342.0589833334</v>
      </c>
      <c r="E13" s="27" t="str">
        <f aca="false">"months "&amp;(3*B13-2)&amp;" to "&amp;(3*B13)</f>
        <v>months 19 to 21</v>
      </c>
    </row>
    <row r="14" customFormat="false" ht="15" hidden="false" customHeight="false" outlineLevel="0" collapsed="false">
      <c r="B14" s="45" t="n">
        <v>8</v>
      </c>
      <c r="C14" s="30" t="n">
        <f aca="false">SUMPRODUCT((Variants!$N$5:$AY$5&gt;=3*B14-2)*(Variants!$N$5:$AY$5&lt;=3*B14)*Variants!$N$7:$AY$7)</f>
        <v>607.366500000028</v>
      </c>
      <c r="D14" s="30" t="n">
        <f aca="false">D13+C14</f>
        <v>-45734.6924833333</v>
      </c>
      <c r="E14" s="27" t="str">
        <f aca="false">"months "&amp;(3*B14-2)&amp;" to "&amp;(3*B14)</f>
        <v>months 22 to 24</v>
      </c>
    </row>
    <row r="15" customFormat="false" ht="15" hidden="false" customHeight="false" outlineLevel="0" collapsed="false">
      <c r="B15" s="45" t="n">
        <v>9</v>
      </c>
      <c r="C15" s="30" t="n">
        <f aca="false">SUMPRODUCT((Variants!$N$5:$AY$5&gt;=3*B15-2)*(Variants!$N$5:$AY$5&lt;=3*B15)*Variants!$N$7:$AY$7)</f>
        <v>8094.60833333331</v>
      </c>
      <c r="D15" s="30" t="n">
        <f aca="false">D14+C15</f>
        <v>-37640.08415</v>
      </c>
      <c r="E15" s="27" t="str">
        <f aca="false">"months "&amp;(3*B15-2)&amp;" to "&amp;(3*B15)</f>
        <v>months 25 to 27</v>
      </c>
    </row>
    <row r="16" customFormat="false" ht="15" hidden="false" customHeight="false" outlineLevel="0" collapsed="false">
      <c r="B16" s="45" t="n">
        <v>10</v>
      </c>
      <c r="C16" s="30" t="n">
        <f aca="false">SUMPRODUCT((Variants!$N$5:$AY$5&gt;=3*B16-2)*(Variants!$N$5:$AY$5&lt;=3*B16)*Variants!$N$7:$AY$7)</f>
        <v>33082.125</v>
      </c>
      <c r="D16" s="30" t="n">
        <f aca="false">D15+C16</f>
        <v>-4557.95915000002</v>
      </c>
      <c r="E16" s="27" t="str">
        <f aca="false">"months "&amp;(3*B16-2)&amp;" to "&amp;(3*B16)</f>
        <v>months 28 to 30</v>
      </c>
    </row>
    <row r="17" customFormat="false" ht="15" hidden="false" customHeight="false" outlineLevel="0" collapsed="false">
      <c r="B17" s="45" t="n">
        <v>11</v>
      </c>
      <c r="C17" s="30" t="n">
        <f aca="false">SUMPRODUCT((Variants!$N$5:$AY$5&gt;=3*B17-2)*(Variants!$N$5:$AY$5&lt;=3*B17)*Variants!$N$7:$AY$7)</f>
        <v>18973.8678</v>
      </c>
      <c r="D17" s="30" t="n">
        <f aca="false">D16+C17</f>
        <v>14415.90865</v>
      </c>
      <c r="E17" s="27" t="str">
        <f aca="false">"months "&amp;(3*B17-2)&amp;" to "&amp;(3*B17)</f>
        <v>months 31 to 33</v>
      </c>
    </row>
    <row r="18" customFormat="false" ht="15" hidden="false" customHeight="false" outlineLevel="0" collapsed="false">
      <c r="B18" s="45" t="n">
        <v>12</v>
      </c>
      <c r="C18" s="30" t="n">
        <f aca="false">SUMPRODUCT((Variants!$N$5:$AY$5&gt;=3*B18-2)*(Variants!$N$5:$AY$5&lt;=3*B18)*Variants!$N$7:$AY$7)</f>
        <v>5594.472</v>
      </c>
      <c r="D18" s="30" t="n">
        <f aca="false">D17+C18</f>
        <v>20010.38065</v>
      </c>
      <c r="E18" s="27" t="str">
        <f aca="false">"months "&amp;(3*B18-2)&amp;" to "&amp;(3*B18)</f>
        <v>months 34 to 36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5" min="3" style="0" width="14"/>
  </cols>
  <sheetData>
    <row r="1" customFormat="false" ht="6" hidden="false" customHeight="true" outlineLevel="0" collapsed="false"/>
    <row r="2" customFormat="false" ht="17.35" hidden="false" customHeight="false" outlineLevel="0" collapsed="false">
      <c r="B2" s="5" t="s">
        <v>358</v>
      </c>
    </row>
    <row r="3" customFormat="false" ht="15" hidden="false" customHeight="false" outlineLevel="0" collapsed="false">
      <c r="B3" s="6" t="s">
        <v>359</v>
      </c>
    </row>
    <row r="5" customFormat="false" ht="15" hidden="false" customHeight="false" outlineLevel="0" collapsed="false">
      <c r="B5" s="9" t="s">
        <v>360</v>
      </c>
      <c r="C5" s="30" t="n">
        <f aca="false">Inputs!$E$43+Inputs!$C$9</f>
        <v>1610</v>
      </c>
    </row>
    <row r="6" customFormat="false" ht="15" hidden="false" customHeight="false" outlineLevel="0" collapsed="false">
      <c r="B6" s="9" t="s">
        <v>361</v>
      </c>
      <c r="C6" s="25" t="n">
        <f aca="false">Portfolio_Flows!$L$47</f>
        <v>-0.630847894979521</v>
      </c>
    </row>
    <row r="7" customFormat="false" ht="15" hidden="false" customHeight="false" outlineLevel="0" collapsed="false">
      <c r="B7" s="9" t="s">
        <v>362</v>
      </c>
      <c r="C7" s="30" t="n">
        <f aca="false">Inputs!$C$8*Inputs!$E$23-Inputs!$C$9</f>
        <v>200</v>
      </c>
    </row>
    <row r="8" customFormat="false" ht="15" hidden="false" customHeight="false" outlineLevel="0" collapsed="false">
      <c r="B8" s="9" t="s">
        <v>363</v>
      </c>
      <c r="C8" s="42" t="n">
        <f aca="false">$C$5/$C$7</f>
        <v>8.05</v>
      </c>
    </row>
    <row r="10" customFormat="false" ht="30" hidden="false" customHeight="true" outlineLevel="0" collapsed="false">
      <c r="B10" s="14" t="s">
        <v>364</v>
      </c>
      <c r="C10" s="15" t="s">
        <v>365</v>
      </c>
      <c r="D10" s="15" t="s">
        <v>331</v>
      </c>
    </row>
    <row r="11" customFormat="false" ht="15" hidden="false" customHeight="false" outlineLevel="0" collapsed="false">
      <c r="B11" s="27" t="str">
        <f aca="false">Variants!$D$8&amp;" lemons"</f>
        <v>0 lemons</v>
      </c>
      <c r="C11" s="26" t="n">
        <f aca="false">Variants!$F$8</f>
        <v>0.0836134594614975</v>
      </c>
      <c r="D11" s="30" t="n">
        <f aca="false">Variants!$J$8</f>
        <v>22325.46065</v>
      </c>
    </row>
    <row r="12" customFormat="false" ht="15" hidden="false" customHeight="false" outlineLevel="0" collapsed="false">
      <c r="B12" s="27" t="str">
        <f aca="false">Variants!$D$9&amp;" lemons"</f>
        <v>1 lemons</v>
      </c>
      <c r="C12" s="26" t="n">
        <f aca="false">Variants!$F$9</f>
        <v>0.0795279348673428</v>
      </c>
      <c r="D12" s="30" t="n">
        <f aca="false">Variants!$J$9</f>
        <v>21167.92065</v>
      </c>
    </row>
    <row r="13" customFormat="false" ht="15" hidden="false" customHeight="false" outlineLevel="0" collapsed="false">
      <c r="B13" s="27" t="str">
        <f aca="false">Variants!$D$10&amp;" lemons"</f>
        <v>2 lemons</v>
      </c>
      <c r="C13" s="26" t="n">
        <f aca="false">Variants!$F$10</f>
        <v>0.0754191143018372</v>
      </c>
      <c r="D13" s="30" t="n">
        <f aca="false">Variants!$J$10</f>
        <v>20010.38065</v>
      </c>
    </row>
    <row r="14" customFormat="false" ht="15" hidden="false" customHeight="false" outlineLevel="0" collapsed="false">
      <c r="B14" s="27" t="str">
        <f aca="false">Variants!$D$11&amp;" lemons"</f>
        <v>3 lemons</v>
      </c>
      <c r="C14" s="26" t="n">
        <f aca="false">Variants!$F$11</f>
        <v>0.0712864066542915</v>
      </c>
      <c r="D14" s="30" t="n">
        <f aca="false">Variants!$J$11</f>
        <v>18852.84065</v>
      </c>
    </row>
    <row r="15" customFormat="false" ht="15" hidden="false" customHeight="false" outlineLevel="0" collapsed="false">
      <c r="B15" s="27" t="str">
        <f aca="false">Variants!$D$12&amp;" lemons"</f>
        <v>4 lemons</v>
      </c>
      <c r="C15" s="26" t="n">
        <f aca="false">Variants!$F$12</f>
        <v>0.0671291990858212</v>
      </c>
      <c r="D15" s="30" t="n">
        <f aca="false">Variants!$J$12</f>
        <v>17695.30065</v>
      </c>
    </row>
    <row r="16" customFormat="false" ht="15" hidden="false" customHeight="false" outlineLevel="0" collapsed="false">
      <c r="B16" s="27" t="str">
        <f aca="false">Variants!$D$13&amp;" lemons"</f>
        <v>5 lemons</v>
      </c>
      <c r="C16" s="26" t="n">
        <f aca="false">Variants!$F$13</f>
        <v>0.0629468558919348</v>
      </c>
      <c r="D16" s="30" t="n">
        <f aca="false">Variants!$J$13</f>
        <v>16537.76065</v>
      </c>
    </row>
    <row r="17" customFormat="false" ht="15" hidden="false" customHeight="false" outlineLevel="0" collapsed="false">
      <c r="B17" s="27" t="str">
        <f aca="false">Variants!$D$14&amp;" lemons"</f>
        <v>6 lemons</v>
      </c>
      <c r="C17" s="26" t="n">
        <f aca="false">Variants!$F$14</f>
        <v>0.0587387172878378</v>
      </c>
      <c r="D17" s="30" t="n">
        <f aca="false">Variants!$J$14</f>
        <v>15380.22065</v>
      </c>
    </row>
    <row r="18" customFormat="false" ht="15" hidden="false" customHeight="false" outlineLevel="0" collapsed="false">
      <c r="B18" s="27" t="str">
        <f aca="false">Variants!$D$15&amp;" lemons"</f>
        <v>7 lemons</v>
      </c>
      <c r="C18" s="26" t="n">
        <f aca="false">Variants!$F$15</f>
        <v>0.0545040981100806</v>
      </c>
      <c r="D18" s="30" t="n">
        <f aca="false">Variants!$J$15</f>
        <v>14222.68065</v>
      </c>
    </row>
    <row r="19" customFormat="false" ht="15" hidden="false" customHeight="false" outlineLevel="0" collapsed="false">
      <c r="B19" s="27" t="str">
        <f aca="false">Variants!$D$16&amp;" lemons"</f>
        <v>8 lemons</v>
      </c>
      <c r="C19" s="26" t="n">
        <f aca="false">Variants!$F$16</f>
        <v>0.050242286427288</v>
      </c>
      <c r="D19" s="30" t="n">
        <f aca="false">Variants!$J$16</f>
        <v>13065.14065</v>
      </c>
    </row>
    <row r="20" customFormat="false" ht="15" hidden="false" customHeight="false" outlineLevel="0" collapsed="false">
      <c r="B20" s="27" t="str">
        <f aca="false">Variants!$D$17&amp;" lemons"</f>
        <v>9 lemons</v>
      </c>
      <c r="C20" s="26" t="n">
        <f aca="false">Variants!$F$17</f>
        <v>0.0459525420522138</v>
      </c>
      <c r="D20" s="30" t="n">
        <f aca="false">Variants!$J$17</f>
        <v>11907.60065</v>
      </c>
    </row>
    <row r="21" customFormat="false" ht="15" hidden="false" customHeight="false" outlineLevel="0" collapsed="false">
      <c r="B21" s="27" t="str">
        <f aca="false">Variants!$D$18&amp;" lemons"</f>
        <v>10 lemons</v>
      </c>
      <c r="C21" s="26" t="n">
        <f aca="false">Variants!$F$18</f>
        <v>0.0416340949463161</v>
      </c>
      <c r="D21" s="30" t="n">
        <f aca="false">Variants!$J$18</f>
        <v>10750.06065</v>
      </c>
    </row>
    <row r="22" customFormat="false" ht="15" hidden="false" customHeight="false" outlineLevel="0" collapsed="false">
      <c r="B22" s="27" t="str">
        <f aca="false">Variants!$D$19&amp;" lemons"</f>
        <v>11 lemons</v>
      </c>
      <c r="C22" s="26" t="n">
        <f aca="false">Variants!$F$19</f>
        <v>0.0372861435073333</v>
      </c>
      <c r="D22" s="30" t="n">
        <f aca="false">Variants!$J$19</f>
        <v>9592.52065000001</v>
      </c>
    </row>
    <row r="24" customFormat="false" ht="15" hidden="false" customHeight="false" outlineLevel="0" collapsed="false">
      <c r="B24" s="9" t="s">
        <v>366</v>
      </c>
      <c r="C24" s="13" t="n">
        <v>0.06</v>
      </c>
    </row>
    <row r="25" customFormat="false" ht="15" hidden="false" customHeight="false" outlineLevel="0" collapsed="false">
      <c r="B25" s="9" t="s">
        <v>367</v>
      </c>
      <c r="C25" s="22" t="n">
        <f aca="false">Variants!$D$8+COUNTIF(Lemons!$C$11:$C$22,"&gt;="&amp;Inputs!$C$18)</f>
        <v>11</v>
      </c>
    </row>
    <row r="26" customFormat="false" ht="15" hidden="false" customHeight="false" outlineLevel="0" collapsed="false">
      <c r="B26" s="9" t="s">
        <v>368</v>
      </c>
      <c r="C26" s="22" t="n">
        <f aca="false">Variants!$D$8+COUNTIF(Lemons!$C$11:$C$22,"&gt;="&amp;$C$24)</f>
        <v>6</v>
      </c>
    </row>
    <row r="27" customFormat="false" ht="15" hidden="false" customHeight="false" outlineLevel="0" collapsed="false">
      <c r="B27" s="6" t="s">
        <v>369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6" min="3" style="0" width="14"/>
  </cols>
  <sheetData>
    <row r="1" customFormat="false" ht="6" hidden="false" customHeight="true" outlineLevel="0" collapsed="false"/>
    <row r="2" customFormat="false" ht="17.35" hidden="false" customHeight="false" outlineLevel="0" collapsed="false">
      <c r="B2" s="5" t="s">
        <v>370</v>
      </c>
    </row>
    <row r="3" customFormat="false" ht="15" hidden="false" customHeight="false" outlineLevel="0" collapsed="false">
      <c r="B3" s="6" t="s">
        <v>371</v>
      </c>
    </row>
    <row r="5" customFormat="false" ht="21.75" hidden="false" customHeight="true" outlineLevel="0" collapsed="false">
      <c r="B5" s="14" t="s">
        <v>86</v>
      </c>
      <c r="C5" s="15" t="s">
        <v>365</v>
      </c>
      <c r="D5" s="15" t="s">
        <v>331</v>
      </c>
    </row>
    <row r="6" customFormat="false" ht="15" hidden="false" customHeight="false" outlineLevel="0" collapsed="false">
      <c r="B6" s="9" t="s">
        <v>91</v>
      </c>
      <c r="C6" s="41" t="n">
        <f aca="false">Variants!$F$7</f>
        <v>0.0754191143018372</v>
      </c>
      <c r="D6" s="30" t="n">
        <f aca="false">Variants!$J$7</f>
        <v>20010.38065</v>
      </c>
    </row>
    <row r="7" customFormat="false" ht="15" hidden="false" customHeight="false" outlineLevel="0" collapsed="false">
      <c r="B7" s="9" t="s">
        <v>92</v>
      </c>
      <c r="C7" s="41" t="n">
        <f aca="false">Variants!$F$20</f>
        <v>0.0741822686463625</v>
      </c>
      <c r="D7" s="30" t="n">
        <f aca="false">Variants!$J$20</f>
        <v>24563.87965</v>
      </c>
    </row>
    <row r="8" customFormat="false" ht="15" hidden="false" customHeight="false" outlineLevel="0" collapsed="false">
      <c r="B8" s="9" t="s">
        <v>372</v>
      </c>
      <c r="C8" s="41" t="n">
        <f aca="false">Variants!$F$21</f>
        <v>0.0621183078307246</v>
      </c>
      <c r="D8" s="30" t="n">
        <f aca="false">Variants!$J$21</f>
        <v>16399.382875</v>
      </c>
    </row>
    <row r="9" customFormat="false" ht="15" hidden="false" customHeight="false" outlineLevel="0" collapsed="false">
      <c r="B9" s="9" t="s">
        <v>373</v>
      </c>
      <c r="C9" s="41" t="n">
        <f aca="false">Variants!$F$13</f>
        <v>0.0629468558919348</v>
      </c>
      <c r="D9" s="30" t="n">
        <f aca="false">Variants!$J$13</f>
        <v>16537.76065</v>
      </c>
    </row>
    <row r="10" customFormat="false" ht="15" hidden="false" customHeight="false" outlineLevel="0" collapsed="false">
      <c r="B10" s="9" t="s">
        <v>94</v>
      </c>
      <c r="C10" s="41" t="n">
        <f aca="false">Variants!$F$22</f>
        <v>0.0631479622774989</v>
      </c>
      <c r="D10" s="30" t="n">
        <f aca="false">Variants!$J$22</f>
        <v>19296.7592416666</v>
      </c>
    </row>
    <row r="11" customFormat="false" ht="15" hidden="false" customHeight="false" outlineLevel="0" collapsed="false">
      <c r="B11" s="9" t="s">
        <v>95</v>
      </c>
      <c r="C11" s="41" t="n">
        <f aca="false">Variants!$F$26</f>
        <v>0.0413204332320818</v>
      </c>
      <c r="D11" s="30" t="n">
        <f aca="false">Variants!$J$26</f>
        <v>14174.2148333333</v>
      </c>
    </row>
    <row r="12" customFormat="false" ht="15" hidden="false" customHeight="false" outlineLevel="0" collapsed="false">
      <c r="B12" s="9" t="s">
        <v>96</v>
      </c>
      <c r="C12" s="41" t="n">
        <f aca="false">Variants!$F$30</f>
        <v>0.00812497475482599</v>
      </c>
      <c r="D12" s="30" t="n">
        <f aca="false">Variants!$J$30</f>
        <v>3056.31742499996</v>
      </c>
    </row>
    <row r="13" customFormat="false" ht="15" hidden="false" customHeight="false" outlineLevel="0" collapsed="false">
      <c r="B13" s="9" t="s">
        <v>374</v>
      </c>
      <c r="C13" s="41" t="n">
        <f aca="false">Variants!$F$34</f>
        <v>0.0393441343913792</v>
      </c>
      <c r="D13" s="30" t="n">
        <f aca="false">Variants!$J$34</f>
        <v>15653.3403333333</v>
      </c>
    </row>
    <row r="15" customFormat="false" ht="15" hidden="false" customHeight="false" outlineLevel="0" collapsed="false">
      <c r="B15" s="7" t="s">
        <v>375</v>
      </c>
      <c r="C15" s="8"/>
      <c r="D15" s="8"/>
    </row>
    <row r="16" customFormat="false" ht="21.75" hidden="false" customHeight="true" outlineLevel="0" collapsed="false">
      <c r="B16" s="14" t="s">
        <v>376</v>
      </c>
      <c r="C16" s="15" t="s">
        <v>377</v>
      </c>
      <c r="D16" s="15" t="s">
        <v>378</v>
      </c>
    </row>
    <row r="17" customFormat="false" ht="15" hidden="false" customHeight="false" outlineLevel="0" collapsed="false">
      <c r="B17" s="9" t="s">
        <v>379</v>
      </c>
      <c r="C17" s="25" t="n">
        <f aca="false">Portfolio_Flows!$L$11</f>
        <v>0.0766346621551932</v>
      </c>
      <c r="D17" s="25" t="n">
        <f aca="false">Portfolio_Flows!$L$56</f>
        <v>0.0695259055105764</v>
      </c>
    </row>
    <row r="18" customFormat="false" ht="15" hidden="false" customHeight="false" outlineLevel="0" collapsed="false">
      <c r="B18" s="9" t="s">
        <v>380</v>
      </c>
      <c r="C18" s="25" t="n">
        <f aca="false">Portfolio_Flows!$L$20</f>
        <v>0.0908977543816594</v>
      </c>
      <c r="D18" s="25" t="n">
        <f aca="false">Portfolio_Flows!$L$65</f>
        <v>0.0876443576469312</v>
      </c>
    </row>
    <row r="19" customFormat="false" ht="15" hidden="false" customHeight="false" outlineLevel="0" collapsed="false">
      <c r="B19" s="9" t="s">
        <v>381</v>
      </c>
      <c r="C19" s="25" t="n">
        <f aca="false">Portfolio_Flows!$L$38</f>
        <v>0.0579958014195281</v>
      </c>
      <c r="D19" s="25" t="n">
        <f aca="false">Portfolio_Flows!$L$83</f>
        <v>0.0656368947671109</v>
      </c>
    </row>
    <row r="21" customFormat="false" ht="15" hidden="false" customHeight="false" outlineLevel="0" collapsed="false">
      <c r="B21" s="7" t="s">
        <v>382</v>
      </c>
      <c r="C21" s="8"/>
      <c r="D21" s="8"/>
    </row>
    <row r="22" customFormat="false" ht="15" hidden="false" customHeight="false" outlineLevel="0" collapsed="false">
      <c r="B22" s="9" t="s">
        <v>115</v>
      </c>
      <c r="C22" s="25" t="n">
        <f aca="false">Inputs!$F$23+Inputs!$C$49</f>
        <v>0.935</v>
      </c>
    </row>
    <row r="23" customFormat="false" ht="15" hidden="false" customHeight="false" outlineLevel="0" collapsed="false">
      <c r="B23" s="9" t="s">
        <v>116</v>
      </c>
      <c r="C23" s="25" t="n">
        <f aca="false">Inputs!$F$24+Inputs!$C$49</f>
        <v>0.88</v>
      </c>
    </row>
    <row r="24" customFormat="false" ht="15" hidden="false" customHeight="false" outlineLevel="0" collapsed="false">
      <c r="B24" s="9" t="s">
        <v>117</v>
      </c>
      <c r="C24" s="25" t="n">
        <f aca="false">Inputs!$F$25+Inputs!$C$49</f>
        <v>0.85</v>
      </c>
    </row>
    <row r="25" customFormat="false" ht="15" hidden="false" customHeight="false" outlineLevel="0" collapsed="false">
      <c r="B25" s="9" t="s">
        <v>118</v>
      </c>
      <c r="C25" s="25" t="n">
        <f aca="false">Inputs!$F$26+Inputs!$C$49</f>
        <v>0.75</v>
      </c>
    </row>
    <row r="27" customFormat="false" ht="15" hidden="false" customHeight="false" outlineLevel="0" collapsed="false">
      <c r="B27" s="7" t="s">
        <v>383</v>
      </c>
      <c r="C27" s="8"/>
      <c r="D27" s="8"/>
      <c r="E27" s="8"/>
      <c r="F27" s="8"/>
    </row>
    <row r="28" customFormat="false" ht="21.75" hidden="false" customHeight="true" outlineLevel="0" collapsed="false">
      <c r="B28" s="14" t="s">
        <v>384</v>
      </c>
      <c r="C28" s="15" t="s">
        <v>385</v>
      </c>
      <c r="D28" s="15" t="s">
        <v>386</v>
      </c>
      <c r="E28" s="15" t="s">
        <v>387</v>
      </c>
      <c r="F28" s="15" t="s">
        <v>388</v>
      </c>
    </row>
    <row r="29" customFormat="false" ht="15" hidden="false" customHeight="false" outlineLevel="0" collapsed="false">
      <c r="B29" s="9" t="s">
        <v>81</v>
      </c>
      <c r="C29" s="26" t="n">
        <f aca="false">Variants!$F$10</f>
        <v>0.0754191143018372</v>
      </c>
      <c r="D29" s="26" t="n">
        <f aca="false">Variants!$F$12</f>
        <v>0.0671291990858212</v>
      </c>
      <c r="E29" s="26" t="n">
        <f aca="false">Variants!$F$14</f>
        <v>0.0587387172878378</v>
      </c>
      <c r="F29" s="26" t="n">
        <f aca="false">Variants!$F$16</f>
        <v>0.050242286427288</v>
      </c>
    </row>
    <row r="30" customFormat="false" ht="15" hidden="false" customHeight="false" outlineLevel="0" collapsed="false">
      <c r="B30" s="9" t="s">
        <v>82</v>
      </c>
      <c r="C30" s="26" t="n">
        <f aca="false">Variants!$F$22</f>
        <v>0.0631479622774989</v>
      </c>
      <c r="D30" s="26" t="n">
        <f aca="false">Variants!$F$23</f>
        <v>0.0567537282143991</v>
      </c>
      <c r="E30" s="26" t="n">
        <f aca="false">Variants!$F$24</f>
        <v>0.0502806475724755</v>
      </c>
      <c r="F30" s="26" t="n">
        <f aca="false">Variants!$F$25</f>
        <v>0.0437253274835625</v>
      </c>
    </row>
    <row r="31" customFormat="false" ht="15" hidden="false" customHeight="false" outlineLevel="0" collapsed="false">
      <c r="B31" s="9" t="s">
        <v>83</v>
      </c>
      <c r="C31" s="26" t="n">
        <f aca="false">Variants!$F$26</f>
        <v>0.0413204332320818</v>
      </c>
      <c r="D31" s="26" t="n">
        <f aca="false">Variants!$F$27</f>
        <v>0.0367104773038647</v>
      </c>
      <c r="E31" s="26" t="n">
        <f aca="false">Variants!$F$28</f>
        <v>0.0320425726314957</v>
      </c>
      <c r="F31" s="26" t="n">
        <f aca="false">Variants!$F$29</f>
        <v>0.0273146847421613</v>
      </c>
    </row>
    <row r="32" customFormat="false" ht="15" hidden="false" customHeight="false" outlineLevel="0" collapsed="false">
      <c r="B32" s="9" t="s">
        <v>84</v>
      </c>
      <c r="C32" s="26" t="n">
        <f aca="false">Variants!$F$30</f>
        <v>0.00812497475482599</v>
      </c>
      <c r="D32" s="26" t="n">
        <f aca="false">Variants!$F$31</f>
        <v>0.00530384409931406</v>
      </c>
      <c r="E32" s="26" t="n">
        <f aca="false">Variants!$F$32</f>
        <v>0.00244689580970503</v>
      </c>
      <c r="F32" s="26" t="n">
        <f aca="false">Variants!$F$33</f>
        <v>-0.000446887746917146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1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4" min="4" style="0" width="70"/>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389</v>
      </c>
    </row>
    <row r="3" customFormat="false" ht="15" hidden="false" customHeight="false" outlineLevel="0" collapsed="false">
      <c r="B3" s="6" t="s">
        <v>390</v>
      </c>
    </row>
    <row r="4" customFormat="false" ht="15" hidden="false" customHeight="false" outlineLevel="0" collapsed="false">
      <c r="C4" s="31" t="s">
        <v>391</v>
      </c>
      <c r="E4" s="44" t="n">
        <f aca="false">COUNTA(I9:I193)</f>
        <v>185</v>
      </c>
    </row>
    <row r="5" customFormat="false" ht="15" hidden="false" customHeight="false" outlineLevel="0" collapsed="false">
      <c r="C5" s="31" t="s">
        <v>392</v>
      </c>
      <c r="E5" s="44" t="n">
        <f aca="false">COUNTIF(I9:I193,"PASS")</f>
        <v>185</v>
      </c>
    </row>
    <row r="6" customFormat="false" ht="15" hidden="false" customHeight="false" outlineLevel="0" collapsed="false">
      <c r="C6" s="31" t="s">
        <v>393</v>
      </c>
      <c r="E6" s="44" t="n">
        <f aca="false">COUNTIF(I9:I193,"FAIL")</f>
        <v>0</v>
      </c>
    </row>
    <row r="8" customFormat="false" ht="21.75" hidden="false" customHeight="true" outlineLevel="0" collapsed="false">
      <c r="B8" s="14" t="s">
        <v>394</v>
      </c>
      <c r="C8" s="15" t="s">
        <v>395</v>
      </c>
      <c r="D8" s="15" t="s">
        <v>396</v>
      </c>
      <c r="E8" s="15" t="s">
        <v>397</v>
      </c>
      <c r="F8" s="15" t="s">
        <v>398</v>
      </c>
      <c r="G8" s="15" t="s">
        <v>399</v>
      </c>
      <c r="H8" s="15" t="s">
        <v>400</v>
      </c>
      <c r="I8" s="15" t="s">
        <v>401</v>
      </c>
    </row>
    <row r="9" customFormat="false" ht="15" hidden="false" customHeight="true" outlineLevel="0" collapsed="false">
      <c r="B9" s="46" t="n">
        <v>1</v>
      </c>
      <c r="C9" s="9" t="s">
        <v>402</v>
      </c>
      <c r="D9" s="47" t="s">
        <v>403</v>
      </c>
      <c r="E9" s="48" t="s">
        <v>404</v>
      </c>
      <c r="F9" s="49" t="str">
        <f aca="false">IF(AND(Timing!AA7=1,Timing!AA8=1,SUMPRODUCT((Timing!D7:AA7&lt;Timing!C7:Z7)*1)=0,SUMPRODUCT((Timing!D8:AA8&lt;Timing!C8:Z8)*1)=0),"holds","does not hold")</f>
        <v>holds</v>
      </c>
      <c r="G9" s="9"/>
      <c r="H9" s="9"/>
      <c r="I9" s="50" t="str">
        <f aca="false">IF(AND(Timing!AA7=1,Timing!AA8=1,SUMPRODUCT((Timing!D7:AA7&lt;Timing!C7:Z7)*1)=0,SUMPRODUCT((Timing!D8:AA8&lt;Timing!C8:Z8)*1)=0),"PASS","FAIL")</f>
        <v>PASS</v>
      </c>
    </row>
    <row r="10" customFormat="false" ht="15" hidden="false" customHeight="false" outlineLevel="0" collapsed="false">
      <c r="B10" s="46" t="n">
        <v>2</v>
      </c>
      <c r="C10" s="9" t="s">
        <v>405</v>
      </c>
      <c r="D10" s="9" t="s">
        <v>406</v>
      </c>
      <c r="E10" s="10" t="n">
        <v>0.012</v>
      </c>
      <c r="F10" s="51" t="n">
        <f aca="false">Classes!$D$6</f>
        <v>0.012</v>
      </c>
      <c r="G10" s="52" t="n">
        <f aca="false">IF(ISNUMBER(F10),F10-E10,"n/a")</f>
        <v>0</v>
      </c>
      <c r="H10" s="53" t="n">
        <v>5.0001E-005</v>
      </c>
      <c r="I10" s="50" t="str">
        <f aca="false">IF(ISNUMBER(F10),IF(ABS(F10-E10)&lt;=H10,"PASS","FAIL"),"FAIL")</f>
        <v>PASS</v>
      </c>
    </row>
    <row r="11" customFormat="false" ht="15" hidden="false" customHeight="false" outlineLevel="0" collapsed="false">
      <c r="B11" s="46" t="n">
        <v>3</v>
      </c>
      <c r="C11" s="9" t="s">
        <v>405</v>
      </c>
      <c r="D11" s="9" t="s">
        <v>407</v>
      </c>
      <c r="E11" s="10" t="n">
        <v>0.0029</v>
      </c>
      <c r="F11" s="51" t="n">
        <f aca="false">Classes!$E$6</f>
        <v>0.00285</v>
      </c>
      <c r="G11" s="52" t="n">
        <f aca="false">IF(ISNUMBER(F11),F11-E11,"n/a")</f>
        <v>-4.99999999999975E-005</v>
      </c>
      <c r="H11" s="53" t="n">
        <v>5.0001E-005</v>
      </c>
      <c r="I11" s="50" t="str">
        <f aca="false">IF(ISNUMBER(F11),IF(ABS(F11-E11)&lt;=H11,"PASS","FAIL"),"FAIL")</f>
        <v>PASS</v>
      </c>
    </row>
    <row r="12" customFormat="false" ht="15" hidden="false" customHeight="false" outlineLevel="0" collapsed="false">
      <c r="B12" s="46" t="n">
        <v>4</v>
      </c>
      <c r="C12" s="9" t="s">
        <v>405</v>
      </c>
      <c r="D12" s="9" t="s">
        <v>408</v>
      </c>
      <c r="E12" s="10" t="n">
        <v>0.0002</v>
      </c>
      <c r="F12" s="51" t="n">
        <f aca="false">Classes!$F$6</f>
        <v>0.00015</v>
      </c>
      <c r="G12" s="52" t="n">
        <f aca="false">IF(ISNUMBER(F12),F12-E12,"n/a")</f>
        <v>-4.99999999999996E-005</v>
      </c>
      <c r="H12" s="53" t="n">
        <v>5.0001E-005</v>
      </c>
      <c r="I12" s="50" t="str">
        <f aca="false">IF(ISNUMBER(F12),IF(ABS(F12-E12)&lt;=H12,"PASS","FAIL"),"FAIL")</f>
        <v>PASS</v>
      </c>
    </row>
    <row r="13" customFormat="false" ht="15" hidden="false" customHeight="false" outlineLevel="0" collapsed="false">
      <c r="B13" s="46" t="n">
        <v>5</v>
      </c>
      <c r="C13" s="9" t="s">
        <v>405</v>
      </c>
      <c r="D13" s="9" t="s">
        <v>409</v>
      </c>
      <c r="E13" s="10" t="n">
        <v>0.042</v>
      </c>
      <c r="F13" s="51" t="n">
        <f aca="false">Classes!$D$7</f>
        <v>0.042</v>
      </c>
      <c r="G13" s="52" t="n">
        <f aca="false">IF(ISNUMBER(F13),F13-E13,"n/a")</f>
        <v>0</v>
      </c>
      <c r="H13" s="53" t="n">
        <v>5.0001E-005</v>
      </c>
      <c r="I13" s="50" t="str">
        <f aca="false">IF(ISNUMBER(F13),IF(ABS(F13-E13)&lt;=H13,"PASS","FAIL"),"FAIL")</f>
        <v>PASS</v>
      </c>
    </row>
    <row r="14" customFormat="false" ht="15" hidden="false" customHeight="false" outlineLevel="0" collapsed="false">
      <c r="B14" s="46" t="n">
        <v>6</v>
      </c>
      <c r="C14" s="9" t="s">
        <v>405</v>
      </c>
      <c r="D14" s="9" t="s">
        <v>410</v>
      </c>
      <c r="E14" s="10" t="n">
        <v>0.0238</v>
      </c>
      <c r="F14" s="51" t="n">
        <f aca="false">Classes!$E$7</f>
        <v>0.0238</v>
      </c>
      <c r="G14" s="52" t="n">
        <f aca="false">IF(ISNUMBER(F14),F14-E14,"n/a")</f>
        <v>0</v>
      </c>
      <c r="H14" s="53" t="n">
        <v>5.0001E-005</v>
      </c>
      <c r="I14" s="50" t="str">
        <f aca="false">IF(ISNUMBER(F14),IF(ABS(F14-E14)&lt;=H14,"PASS","FAIL"),"FAIL")</f>
        <v>PASS</v>
      </c>
    </row>
    <row r="15" customFormat="false" ht="15" hidden="false" customHeight="false" outlineLevel="0" collapsed="false">
      <c r="B15" s="46" t="n">
        <v>7</v>
      </c>
      <c r="C15" s="9" t="s">
        <v>405</v>
      </c>
      <c r="D15" s="9" t="s">
        <v>411</v>
      </c>
      <c r="E15" s="10" t="n">
        <v>0.0042</v>
      </c>
      <c r="F15" s="51" t="n">
        <f aca="false">Classes!$F$7</f>
        <v>0.0042</v>
      </c>
      <c r="G15" s="52" t="n">
        <f aca="false">IF(ISNUMBER(F15),F15-E15,"n/a")</f>
        <v>0</v>
      </c>
      <c r="H15" s="53" t="n">
        <v>5.0001E-005</v>
      </c>
      <c r="I15" s="50" t="str">
        <f aca="false">IF(ISNUMBER(F15),IF(ABS(F15-E15)&lt;=H15,"PASS","FAIL"),"FAIL")</f>
        <v>PASS</v>
      </c>
    </row>
    <row r="16" customFormat="false" ht="15" hidden="false" customHeight="false" outlineLevel="0" collapsed="false">
      <c r="B16" s="46" t="n">
        <v>8</v>
      </c>
      <c r="C16" s="9" t="s">
        <v>405</v>
      </c>
      <c r="D16" s="9" t="s">
        <v>412</v>
      </c>
      <c r="E16" s="10" t="n">
        <v>0.06</v>
      </c>
      <c r="F16" s="51" t="n">
        <f aca="false">Classes!$D$8</f>
        <v>0.06</v>
      </c>
      <c r="G16" s="52" t="n">
        <f aca="false">IF(ISNUMBER(F16),F16-E16,"n/a")</f>
        <v>0</v>
      </c>
      <c r="H16" s="53" t="n">
        <v>5.0001E-005</v>
      </c>
      <c r="I16" s="50" t="str">
        <f aca="false">IF(ISNUMBER(F16),IF(ABS(F16-E16)&lt;=H16,"PASS","FAIL"),"FAIL")</f>
        <v>PASS</v>
      </c>
    </row>
    <row r="17" customFormat="false" ht="15" hidden="false" customHeight="false" outlineLevel="0" collapsed="false">
      <c r="B17" s="46" t="n">
        <v>9</v>
      </c>
      <c r="C17" s="9" t="s">
        <v>405</v>
      </c>
      <c r="D17" s="9" t="s">
        <v>413</v>
      </c>
      <c r="E17" s="10" t="n">
        <v>0.032</v>
      </c>
      <c r="F17" s="51" t="n">
        <f aca="false">Classes!$E$8</f>
        <v>0.032</v>
      </c>
      <c r="G17" s="52" t="n">
        <f aca="false">IF(ISNUMBER(F17),F17-E17,"n/a")</f>
        <v>0</v>
      </c>
      <c r="H17" s="53" t="n">
        <v>5.0001E-005</v>
      </c>
      <c r="I17" s="50" t="str">
        <f aca="false">IF(ISNUMBER(F17),IF(ABS(F17-E17)&lt;=H17,"PASS","FAIL"),"FAIL")</f>
        <v>PASS</v>
      </c>
    </row>
    <row r="18" customFormat="false" ht="15" hidden="false" customHeight="false" outlineLevel="0" collapsed="false">
      <c r="B18" s="46" t="n">
        <v>10</v>
      </c>
      <c r="C18" s="9" t="s">
        <v>405</v>
      </c>
      <c r="D18" s="9" t="s">
        <v>414</v>
      </c>
      <c r="E18" s="10" t="n">
        <v>0.008</v>
      </c>
      <c r="F18" s="51" t="n">
        <f aca="false">Classes!$F$8</f>
        <v>0.008</v>
      </c>
      <c r="G18" s="52" t="n">
        <f aca="false">IF(ISNUMBER(F18),F18-E18,"n/a")</f>
        <v>0</v>
      </c>
      <c r="H18" s="53" t="n">
        <v>5.0001E-005</v>
      </c>
      <c r="I18" s="50" t="str">
        <f aca="false">IF(ISNUMBER(F18),IF(ABS(F18-E18)&lt;=H18,"PASS","FAIL"),"FAIL")</f>
        <v>PASS</v>
      </c>
    </row>
    <row r="19" customFormat="false" ht="15" hidden="false" customHeight="false" outlineLevel="0" collapsed="false">
      <c r="B19" s="46" t="n">
        <v>11</v>
      </c>
      <c r="C19" s="9" t="s">
        <v>405</v>
      </c>
      <c r="D19" s="9" t="s">
        <v>415</v>
      </c>
      <c r="E19" s="10" t="n">
        <v>0.08</v>
      </c>
      <c r="F19" s="51" t="n">
        <f aca="false">Classes!$D$9</f>
        <v>0.08</v>
      </c>
      <c r="G19" s="52" t="n">
        <f aca="false">IF(ISNUMBER(F19),F19-E19,"n/a")</f>
        <v>0</v>
      </c>
      <c r="H19" s="53" t="n">
        <v>5.0001E-005</v>
      </c>
      <c r="I19" s="50" t="str">
        <f aca="false">IF(ISNUMBER(F19),IF(ABS(F19-E19)&lt;=H19,"PASS","FAIL"),"FAIL")</f>
        <v>PASS</v>
      </c>
    </row>
    <row r="20" customFormat="false" ht="15" hidden="false" customHeight="false" outlineLevel="0" collapsed="false">
      <c r="B20" s="46" t="n">
        <v>12</v>
      </c>
      <c r="C20" s="9" t="s">
        <v>405</v>
      </c>
      <c r="D20" s="9" t="s">
        <v>416</v>
      </c>
      <c r="E20" s="10" t="n">
        <v>0.06</v>
      </c>
      <c r="F20" s="51" t="n">
        <f aca="false">Classes!$E$9</f>
        <v>0.06</v>
      </c>
      <c r="G20" s="52" t="n">
        <f aca="false">IF(ISNUMBER(F20),F20-E20,"n/a")</f>
        <v>0</v>
      </c>
      <c r="H20" s="53" t="n">
        <v>5.0001E-005</v>
      </c>
      <c r="I20" s="50" t="str">
        <f aca="false">IF(ISNUMBER(F20),IF(ABS(F20-E20)&lt;=H20,"PASS","FAIL"),"FAIL")</f>
        <v>PASS</v>
      </c>
    </row>
    <row r="21" customFormat="false" ht="15" hidden="false" customHeight="false" outlineLevel="0" collapsed="false">
      <c r="B21" s="46" t="n">
        <v>13</v>
      </c>
      <c r="C21" s="9" t="s">
        <v>405</v>
      </c>
      <c r="D21" s="9" t="s">
        <v>417</v>
      </c>
      <c r="E21" s="10" t="n">
        <v>0.06</v>
      </c>
      <c r="F21" s="51" t="n">
        <f aca="false">Classes!$F$9</f>
        <v>0.06</v>
      </c>
      <c r="G21" s="52" t="n">
        <f aca="false">IF(ISNUMBER(F21),F21-E21,"n/a")</f>
        <v>0</v>
      </c>
      <c r="H21" s="53" t="n">
        <v>5.0001E-005</v>
      </c>
      <c r="I21" s="50" t="str">
        <f aca="false">IF(ISNUMBER(F21),IF(ABS(F21-E21)&lt;=H21,"PASS","FAIL"),"FAIL")</f>
        <v>PASS</v>
      </c>
    </row>
    <row r="22" customFormat="false" ht="15" hidden="false" customHeight="false" outlineLevel="0" collapsed="false">
      <c r="B22" s="46" t="n">
        <v>14</v>
      </c>
      <c r="C22" s="9" t="s">
        <v>405</v>
      </c>
      <c r="D22" s="9" t="s">
        <v>418</v>
      </c>
      <c r="E22" s="13" t="n">
        <v>0.65</v>
      </c>
      <c r="F22" s="40" t="n">
        <f aca="false">Classes!$G$10</f>
        <v>0.65</v>
      </c>
      <c r="G22" s="52" t="n">
        <f aca="false">IF(ISNUMBER(F22),F22-E22,"n/a")</f>
        <v>0</v>
      </c>
      <c r="H22" s="53" t="n">
        <v>0.000500001</v>
      </c>
      <c r="I22" s="50" t="str">
        <f aca="false">IF(ISNUMBER(F22),IF(ABS(F22-E22)&lt;=H22,"PASS","FAIL"),"FAIL")</f>
        <v>PASS</v>
      </c>
    </row>
    <row r="23" customFormat="false" ht="15" hidden="false" customHeight="true" outlineLevel="0" collapsed="false">
      <c r="B23" s="46" t="n">
        <v>15</v>
      </c>
      <c r="C23" s="9" t="s">
        <v>405</v>
      </c>
      <c r="D23" s="47" t="s">
        <v>419</v>
      </c>
      <c r="E23" s="48" t="s">
        <v>404</v>
      </c>
      <c r="F23" s="49" t="str">
        <f aca="false">IF(COUNTIF(Classes!H6:H10,"yes")=5,"holds","does not hold")</f>
        <v>holds</v>
      </c>
      <c r="G23" s="9"/>
      <c r="H23" s="9"/>
      <c r="I23" s="50" t="str">
        <f aca="false">IF(COUNTIF(Classes!H6:H10,"yes")=5,"PASS","FAIL")</f>
        <v>PASS</v>
      </c>
    </row>
    <row r="24" customFormat="false" ht="15" hidden="false" customHeight="false" outlineLevel="0" collapsed="false">
      <c r="B24" s="46" t="n">
        <v>16</v>
      </c>
      <c r="C24" s="9" t="s">
        <v>405</v>
      </c>
      <c r="D24" s="9" t="s">
        <v>420</v>
      </c>
      <c r="E24" s="20" t="n">
        <v>702</v>
      </c>
      <c r="F24" s="42" t="n">
        <f aca="false">Classes!$D$14</f>
        <v>702</v>
      </c>
      <c r="G24" s="52" t="n">
        <f aca="false">IF(ISNUMBER(F24),F24-E24,"n/a")</f>
        <v>0</v>
      </c>
      <c r="H24" s="53" t="n">
        <v>0.500000001</v>
      </c>
      <c r="I24" s="50" t="str">
        <f aca="false">IF(ISNUMBER(F24),IF(ABS(F24-E24)&lt;=H24,"PASS","FAIL"),"FAIL")</f>
        <v>PASS</v>
      </c>
    </row>
    <row r="25" customFormat="false" ht="15" hidden="false" customHeight="false" outlineLevel="0" collapsed="false">
      <c r="B25" s="46" t="n">
        <v>17</v>
      </c>
      <c r="C25" s="9" t="s">
        <v>405</v>
      </c>
      <c r="D25" s="9" t="s">
        <v>421</v>
      </c>
      <c r="E25" s="20" t="n">
        <v>2948400</v>
      </c>
      <c r="F25" s="42" t="n">
        <f aca="false">Classes!$E$14</f>
        <v>2948400</v>
      </c>
      <c r="G25" s="52" t="n">
        <f aca="false">IF(ISNUMBER(F25),F25-E25,"n/a")</f>
        <v>0</v>
      </c>
      <c r="H25" s="53" t="n">
        <v>0.500000001</v>
      </c>
      <c r="I25" s="50" t="str">
        <f aca="false">IF(ISNUMBER(F25),IF(ABS(F25-E25)&lt;=H25,"PASS","FAIL"),"FAIL")</f>
        <v>PASS</v>
      </c>
    </row>
    <row r="26" customFormat="false" ht="15" hidden="false" customHeight="false" outlineLevel="0" collapsed="false">
      <c r="B26" s="46" t="n">
        <v>18</v>
      </c>
      <c r="C26" s="9" t="s">
        <v>405</v>
      </c>
      <c r="D26" s="9" t="s">
        <v>422</v>
      </c>
      <c r="E26" s="20" t="n">
        <v>500</v>
      </c>
      <c r="F26" s="42" t="n">
        <f aca="false">Classes!$D$15</f>
        <v>500</v>
      </c>
      <c r="G26" s="52" t="n">
        <f aca="false">IF(ISNUMBER(F26),F26-E26,"n/a")</f>
        <v>0</v>
      </c>
      <c r="H26" s="53" t="n">
        <v>0.500000001</v>
      </c>
      <c r="I26" s="50" t="str">
        <f aca="false">IF(ISNUMBER(F26),IF(ABS(F26-E26)&lt;=H26,"PASS","FAIL"),"FAIL")</f>
        <v>PASS</v>
      </c>
    </row>
    <row r="27" customFormat="false" ht="15" hidden="false" customHeight="false" outlineLevel="0" collapsed="false">
      <c r="B27" s="46" t="n">
        <v>19</v>
      </c>
      <c r="C27" s="9" t="s">
        <v>405</v>
      </c>
      <c r="D27" s="9" t="s">
        <v>423</v>
      </c>
      <c r="E27" s="20" t="n">
        <v>1800000</v>
      </c>
      <c r="F27" s="42" t="n">
        <f aca="false">Classes!$E$15</f>
        <v>1800000</v>
      </c>
      <c r="G27" s="52" t="n">
        <f aca="false">IF(ISNUMBER(F27),F27-E27,"n/a")</f>
        <v>0</v>
      </c>
      <c r="H27" s="53" t="n">
        <v>0.500000001</v>
      </c>
      <c r="I27" s="50" t="str">
        <f aca="false">IF(ISNUMBER(F27),IF(ABS(F27-E27)&lt;=H27,"PASS","FAIL"),"FAIL")</f>
        <v>PASS</v>
      </c>
    </row>
    <row r="28" customFormat="false" ht="15" hidden="false" customHeight="false" outlineLevel="0" collapsed="false">
      <c r="B28" s="46" t="n">
        <v>20</v>
      </c>
      <c r="C28" s="9" t="s">
        <v>405</v>
      </c>
      <c r="D28" s="9" t="s">
        <v>424</v>
      </c>
      <c r="E28" s="20" t="n">
        <v>111</v>
      </c>
      <c r="F28" s="42" t="n">
        <f aca="false">Classes!$D$16</f>
        <v>111</v>
      </c>
      <c r="G28" s="52" t="n">
        <f aca="false">IF(ISNUMBER(F28),F28-E28,"n/a")</f>
        <v>0</v>
      </c>
      <c r="H28" s="53" t="n">
        <v>0.500000001</v>
      </c>
      <c r="I28" s="50" t="str">
        <f aca="false">IF(ISNUMBER(F28),IF(ABS(F28-E28)&lt;=H28,"PASS","FAIL"),"FAIL")</f>
        <v>PASS</v>
      </c>
    </row>
    <row r="29" customFormat="false" ht="15" hidden="false" customHeight="false" outlineLevel="0" collapsed="false">
      <c r="B29" s="46" t="n">
        <v>21</v>
      </c>
      <c r="C29" s="9" t="s">
        <v>405</v>
      </c>
      <c r="D29" s="9" t="s">
        <v>425</v>
      </c>
      <c r="E29" s="20" t="n">
        <v>1054500</v>
      </c>
      <c r="F29" s="42" t="n">
        <f aca="false">Classes!$E$16</f>
        <v>1054500</v>
      </c>
      <c r="G29" s="52" t="n">
        <f aca="false">IF(ISNUMBER(F29),F29-E29,"n/a")</f>
        <v>0</v>
      </c>
      <c r="H29" s="53" t="n">
        <v>0.500000001</v>
      </c>
      <c r="I29" s="50" t="str">
        <f aca="false">IF(ISNUMBER(F29),IF(ABS(F29-E29)&lt;=H29,"PASS","FAIL"),"FAIL")</f>
        <v>PASS</v>
      </c>
    </row>
    <row r="30" customFormat="false" ht="15" hidden="false" customHeight="false" outlineLevel="0" collapsed="false">
      <c r="B30" s="46" t="n">
        <v>22</v>
      </c>
      <c r="C30" s="9" t="s">
        <v>405</v>
      </c>
      <c r="D30" s="9" t="s">
        <v>426</v>
      </c>
      <c r="E30" s="20" t="n">
        <v>259</v>
      </c>
      <c r="F30" s="42" t="n">
        <f aca="false">Classes!$D$17</f>
        <v>259</v>
      </c>
      <c r="G30" s="52" t="n">
        <f aca="false">IF(ISNUMBER(F30),F30-E30,"n/a")</f>
        <v>0</v>
      </c>
      <c r="H30" s="53" t="n">
        <v>0.500000001</v>
      </c>
      <c r="I30" s="50" t="str">
        <f aca="false">IF(ISNUMBER(F30),IF(ABS(F30-E30)&lt;=H30,"PASS","FAIL"),"FAIL")</f>
        <v>PASS</v>
      </c>
    </row>
    <row r="31" customFormat="false" ht="15" hidden="false" customHeight="false" outlineLevel="0" collapsed="false">
      <c r="B31" s="46" t="n">
        <v>23</v>
      </c>
      <c r="C31" s="9" t="s">
        <v>405</v>
      </c>
      <c r="D31" s="9" t="s">
        <v>427</v>
      </c>
      <c r="E31" s="20" t="n">
        <v>414400</v>
      </c>
      <c r="F31" s="42" t="n">
        <f aca="false">Classes!$E$17</f>
        <v>414400</v>
      </c>
      <c r="G31" s="52" t="n">
        <f aca="false">IF(ISNUMBER(F31),F31-E31,"n/a")</f>
        <v>0</v>
      </c>
      <c r="H31" s="53" t="n">
        <v>0.500000001</v>
      </c>
      <c r="I31" s="50" t="str">
        <f aca="false">IF(ISNUMBER(F31),IF(ABS(F31-E31)&lt;=H31,"PASS","FAIL"),"FAIL")</f>
        <v>PASS</v>
      </c>
    </row>
    <row r="32" customFormat="false" ht="15" hidden="false" customHeight="false" outlineLevel="0" collapsed="false">
      <c r="B32" s="46" t="n">
        <v>24</v>
      </c>
      <c r="C32" s="9" t="s">
        <v>405</v>
      </c>
      <c r="D32" s="9" t="s">
        <v>428</v>
      </c>
      <c r="E32" s="20" t="n">
        <v>278</v>
      </c>
      <c r="F32" s="42" t="n">
        <f aca="false">Classes!$D$18</f>
        <v>278</v>
      </c>
      <c r="G32" s="52" t="n">
        <f aca="false">IF(ISNUMBER(F32),F32-E32,"n/a")</f>
        <v>0</v>
      </c>
      <c r="H32" s="53" t="n">
        <v>0.500000001</v>
      </c>
      <c r="I32" s="50" t="str">
        <f aca="false">IF(ISNUMBER(F32),IF(ABS(F32-E32)&lt;=H32,"PASS","FAIL"),"FAIL")</f>
        <v>PASS</v>
      </c>
    </row>
    <row r="33" customFormat="false" ht="15" hidden="false" customHeight="false" outlineLevel="0" collapsed="false">
      <c r="B33" s="46" t="n">
        <v>25</v>
      </c>
      <c r="C33" s="9" t="s">
        <v>405</v>
      </c>
      <c r="D33" s="9" t="s">
        <v>429</v>
      </c>
      <c r="E33" s="20" t="n">
        <v>194600</v>
      </c>
      <c r="F33" s="42" t="n">
        <f aca="false">Classes!$E$18</f>
        <v>194600</v>
      </c>
      <c r="G33" s="52" t="n">
        <f aca="false">IF(ISNUMBER(F33),F33-E33,"n/a")</f>
        <v>0</v>
      </c>
      <c r="H33" s="53" t="n">
        <v>0.500000001</v>
      </c>
      <c r="I33" s="50" t="str">
        <f aca="false">IF(ISNUMBER(F33),IF(ABS(F33-E33)&lt;=H33,"PASS","FAIL"),"FAIL")</f>
        <v>PASS</v>
      </c>
    </row>
    <row r="34" customFormat="false" ht="15" hidden="false" customHeight="false" outlineLevel="0" collapsed="false">
      <c r="B34" s="46" t="n">
        <v>26</v>
      </c>
      <c r="C34" s="9" t="s">
        <v>405</v>
      </c>
      <c r="D34" s="9" t="s">
        <v>430</v>
      </c>
      <c r="E34" s="20" t="n">
        <v>6411900</v>
      </c>
      <c r="F34" s="42" t="n">
        <f aca="false">Classes!$E$19</f>
        <v>6411900</v>
      </c>
      <c r="G34" s="52" t="n">
        <f aca="false">IF(ISNUMBER(F34),F34-E34,"n/a")</f>
        <v>0</v>
      </c>
      <c r="H34" s="53" t="n">
        <v>0.500000001</v>
      </c>
      <c r="I34" s="50" t="str">
        <f aca="false">IF(ISNUMBER(F34),IF(ABS(F34-E34)&lt;=H34,"PASS","FAIL"),"FAIL")</f>
        <v>PASS</v>
      </c>
    </row>
    <row r="35" customFormat="false" ht="15" hidden="false" customHeight="true" outlineLevel="0" collapsed="false">
      <c r="B35" s="46" t="n">
        <v>27</v>
      </c>
      <c r="C35" s="9" t="s">
        <v>405</v>
      </c>
      <c r="D35" s="47" t="s">
        <v>431</v>
      </c>
      <c r="E35" s="48" t="s">
        <v>404</v>
      </c>
      <c r="F35" s="49" t="str">
        <f aca="false">IF(Classes!$D$19=Inputs!$C$36,"holds","does not hold")</f>
        <v>holds</v>
      </c>
      <c r="G35" s="9"/>
      <c r="H35" s="9"/>
      <c r="I35" s="50" t="str">
        <f aca="false">IF(Classes!$D$19=Inputs!$C$36,"PASS","FAIL")</f>
        <v>PASS</v>
      </c>
    </row>
    <row r="36" customFormat="false" ht="15" hidden="false" customHeight="false" outlineLevel="0" collapsed="false">
      <c r="B36" s="46" t="n">
        <v>28</v>
      </c>
      <c r="C36" s="9" t="s">
        <v>405</v>
      </c>
      <c r="D36" s="9" t="s">
        <v>432</v>
      </c>
      <c r="E36" s="20" t="n">
        <v>278</v>
      </c>
      <c r="F36" s="42" t="n">
        <f aca="false">Classes!$D$25</f>
        <v>278</v>
      </c>
      <c r="G36" s="52" t="n">
        <f aca="false">IF(ISNUMBER(F36),F36-E36,"n/a")</f>
        <v>0</v>
      </c>
      <c r="H36" s="53" t="n">
        <v>0.500000001</v>
      </c>
      <c r="I36" s="50" t="str">
        <f aca="false">IF(ISNUMBER(F36),IF(ABS(F36-E36)&lt;=H36,"PASS","FAIL"),"FAIL")</f>
        <v>PASS</v>
      </c>
    </row>
    <row r="37" customFormat="false" ht="15" hidden="false" customHeight="false" outlineLevel="0" collapsed="false">
      <c r="B37" s="46" t="n">
        <v>29</v>
      </c>
      <c r="C37" s="9" t="s">
        <v>405</v>
      </c>
      <c r="D37" s="9" t="s">
        <v>433</v>
      </c>
      <c r="E37" s="20" t="n">
        <v>182</v>
      </c>
      <c r="F37" s="42" t="n">
        <f aca="false">Classes!$D$26</f>
        <v>182</v>
      </c>
      <c r="G37" s="52" t="n">
        <f aca="false">IF(ISNUMBER(F37),F37-E37,"n/a")</f>
        <v>0</v>
      </c>
      <c r="H37" s="53" t="n">
        <v>0.500000001</v>
      </c>
      <c r="I37" s="50" t="str">
        <f aca="false">IF(ISNUMBER(F37),IF(ABS(F37-E37)&lt;=H37,"PASS","FAIL"),"FAIL")</f>
        <v>PASS</v>
      </c>
    </row>
    <row r="38" customFormat="false" ht="30" hidden="false" customHeight="true" outlineLevel="0" collapsed="false">
      <c r="B38" s="46" t="n">
        <v>30</v>
      </c>
      <c r="C38" s="9" t="s">
        <v>405</v>
      </c>
      <c r="D38" s="47" t="s">
        <v>434</v>
      </c>
      <c r="E38" s="48" t="s">
        <v>404</v>
      </c>
      <c r="F38" s="49" t="str">
        <f aca="false">IF(Classes!$D$25=Classes!$D$18,"holds","does not hold")</f>
        <v>holds</v>
      </c>
      <c r="G38" s="9"/>
      <c r="H38" s="9"/>
      <c r="I38" s="50" t="str">
        <f aca="false">IF(Classes!$D$25=Classes!$D$18,"PASS","FAIL")</f>
        <v>PASS</v>
      </c>
    </row>
    <row r="39" customFormat="false" ht="15" hidden="false" customHeight="false" outlineLevel="0" collapsed="false">
      <c r="B39" s="46" t="n">
        <v>31</v>
      </c>
      <c r="C39" s="9" t="s">
        <v>405</v>
      </c>
      <c r="D39" s="9" t="s">
        <v>435</v>
      </c>
      <c r="E39" s="54" t="n">
        <v>62.5</v>
      </c>
      <c r="F39" s="55" t="n">
        <f aca="false">Classes!$C$34</f>
        <v>62.5</v>
      </c>
      <c r="G39" s="52" t="n">
        <f aca="false">IF(ISNUMBER(F39),F39-E39,"n/a")</f>
        <v>0</v>
      </c>
      <c r="H39" s="53" t="n">
        <v>0.050000001</v>
      </c>
      <c r="I39" s="50" t="str">
        <f aca="false">IF(ISNUMBER(F39),IF(ABS(F39-E39)&lt;=H39,"PASS","FAIL"),"FAIL")</f>
        <v>PASS</v>
      </c>
    </row>
    <row r="40" customFormat="false" ht="15" hidden="false" customHeight="false" outlineLevel="0" collapsed="false">
      <c r="B40" s="46" t="n">
        <v>32</v>
      </c>
      <c r="C40" s="9" t="s">
        <v>405</v>
      </c>
      <c r="D40" s="9" t="s">
        <v>436</v>
      </c>
      <c r="E40" s="20" t="n">
        <v>600</v>
      </c>
      <c r="F40" s="42" t="n">
        <f aca="false">Classes!$C$35</f>
        <v>600</v>
      </c>
      <c r="G40" s="52" t="n">
        <f aca="false">IF(ISNUMBER(F40),F40-E40,"n/a")</f>
        <v>0</v>
      </c>
      <c r="H40" s="53" t="n">
        <v>0.500000001</v>
      </c>
      <c r="I40" s="50" t="str">
        <f aca="false">IF(ISNUMBER(F40),IF(ABS(F40-E40)&lt;=H40,"PASS","FAIL"),"FAIL")</f>
        <v>PASS</v>
      </c>
    </row>
    <row r="41" customFormat="false" ht="15" hidden="false" customHeight="false" outlineLevel="0" collapsed="false">
      <c r="B41" s="46" t="n">
        <v>33</v>
      </c>
      <c r="C41" s="9" t="s">
        <v>437</v>
      </c>
      <c r="D41" s="9" t="s">
        <v>438</v>
      </c>
      <c r="E41" s="13" t="n">
        <v>0.077</v>
      </c>
      <c r="F41" s="40" t="n">
        <f aca="false">Class_Flows!$L$11</f>
        <v>0.0766346621551932</v>
      </c>
      <c r="G41" s="52" t="n">
        <f aca="false">IF(ISNUMBER(F41),F41-E41,"n/a")</f>
        <v>-0.000365337844806787</v>
      </c>
      <c r="H41" s="53" t="n">
        <v>0.000500001</v>
      </c>
      <c r="I41" s="50" t="str">
        <f aca="false">IF(ISNUMBER(F41),IF(ABS(F41-E41)&lt;=H41,"PASS","FAIL"),"FAIL")</f>
        <v>PASS</v>
      </c>
    </row>
    <row r="42" customFormat="false" ht="15" hidden="false" customHeight="false" outlineLevel="0" collapsed="false">
      <c r="B42" s="46" t="n">
        <v>34</v>
      </c>
      <c r="C42" s="9" t="s">
        <v>437</v>
      </c>
      <c r="D42" s="9" t="s">
        <v>439</v>
      </c>
      <c r="E42" s="13" t="n">
        <v>0.077</v>
      </c>
      <c r="F42" s="40" t="n">
        <f aca="false">Class_Flows!$L$20</f>
        <v>0.0766346621551932</v>
      </c>
      <c r="G42" s="52" t="n">
        <f aca="false">IF(ISNUMBER(F42),F42-E42,"n/a")</f>
        <v>-0.000365337844806787</v>
      </c>
      <c r="H42" s="53" t="n">
        <v>0.000500001</v>
      </c>
      <c r="I42" s="50" t="str">
        <f aca="false">IF(ISNUMBER(F42),IF(ABS(F42-E42)&lt;=H42,"PASS","FAIL"),"FAIL")</f>
        <v>PASS</v>
      </c>
    </row>
    <row r="43" customFormat="false" ht="15" hidden="false" customHeight="false" outlineLevel="0" collapsed="false">
      <c r="B43" s="46" t="n">
        <v>35</v>
      </c>
      <c r="C43" s="9" t="s">
        <v>437</v>
      </c>
      <c r="D43" s="9" t="s">
        <v>440</v>
      </c>
      <c r="E43" s="13" t="n">
        <v>0.077</v>
      </c>
      <c r="F43" s="40" t="n">
        <f aca="false">Class_Flows!$L$29</f>
        <v>0.0773120107020129</v>
      </c>
      <c r="G43" s="52" t="n">
        <f aca="false">IF(ISNUMBER(F43),F43-E43,"n/a")</f>
        <v>0.00031201070201288</v>
      </c>
      <c r="H43" s="53" t="n">
        <v>0.000500001</v>
      </c>
      <c r="I43" s="50" t="str">
        <f aca="false">IF(ISNUMBER(F43),IF(ABS(F43-E43)&lt;=H43,"PASS","FAIL"),"FAIL")</f>
        <v>PASS</v>
      </c>
    </row>
    <row r="44" customFormat="false" ht="15" hidden="false" customHeight="false" outlineLevel="0" collapsed="false">
      <c r="B44" s="46" t="n">
        <v>36</v>
      </c>
      <c r="C44" s="9" t="s">
        <v>437</v>
      </c>
      <c r="D44" s="9" t="s">
        <v>441</v>
      </c>
      <c r="E44" s="13" t="n">
        <v>0.084</v>
      </c>
      <c r="F44" s="40" t="n">
        <f aca="false">Class_Flows!$L$38</f>
        <v>0.0835091613280998</v>
      </c>
      <c r="G44" s="52" t="n">
        <f aca="false">IF(ISNUMBER(F44),F44-E44,"n/a")</f>
        <v>-0.000490838671900182</v>
      </c>
      <c r="H44" s="53" t="n">
        <v>0.000500001</v>
      </c>
      <c r="I44" s="50" t="str">
        <f aca="false">IF(ISNUMBER(F44),IF(ABS(F44-E44)&lt;=H44,"PASS","FAIL"),"FAIL")</f>
        <v>PASS</v>
      </c>
    </row>
    <row r="45" customFormat="false" ht="15" hidden="false" customHeight="false" outlineLevel="0" collapsed="false">
      <c r="B45" s="46" t="n">
        <v>37</v>
      </c>
      <c r="C45" s="9" t="s">
        <v>437</v>
      </c>
      <c r="D45" s="9" t="s">
        <v>442</v>
      </c>
      <c r="E45" s="13" t="n">
        <v>0.093</v>
      </c>
      <c r="F45" s="40" t="n">
        <f aca="false">Class_Flows!$L$47</f>
        <v>0.0930576884806846</v>
      </c>
      <c r="G45" s="52" t="n">
        <f aca="false">IF(ISNUMBER(F45),F45-E45,"n/a")</f>
        <v>5.76884806846173E-005</v>
      </c>
      <c r="H45" s="53" t="n">
        <v>0.000500001</v>
      </c>
      <c r="I45" s="50" t="str">
        <f aca="false">IF(ISNUMBER(F45),IF(ABS(F45-E45)&lt;=H45,"PASS","FAIL"),"FAIL")</f>
        <v>PASS</v>
      </c>
    </row>
    <row r="46" customFormat="false" ht="15" hidden="false" customHeight="false" outlineLevel="0" collapsed="false">
      <c r="B46" s="46" t="n">
        <v>38</v>
      </c>
      <c r="C46" s="9" t="s">
        <v>437</v>
      </c>
      <c r="D46" s="9" t="s">
        <v>443</v>
      </c>
      <c r="E46" s="13" t="n">
        <v>0.104</v>
      </c>
      <c r="F46" s="40" t="n">
        <f aca="false">Class_Flows!$L$56</f>
        <v>0.104193960193682</v>
      </c>
      <c r="G46" s="52" t="n">
        <f aca="false">IF(ISNUMBER(F46),F46-E46,"n/a")</f>
        <v>0.000193960193681661</v>
      </c>
      <c r="H46" s="53" t="n">
        <v>0.000500001</v>
      </c>
      <c r="I46" s="50" t="str">
        <f aca="false">IF(ISNUMBER(F46),IF(ABS(F46-E46)&lt;=H46,"PASS","FAIL"),"FAIL")</f>
        <v>PASS</v>
      </c>
    </row>
    <row r="47" customFormat="false" ht="15" hidden="false" customHeight="false" outlineLevel="0" collapsed="false">
      <c r="B47" s="46" t="n">
        <v>39</v>
      </c>
      <c r="C47" s="9" t="s">
        <v>437</v>
      </c>
      <c r="D47" s="9" t="s">
        <v>444</v>
      </c>
      <c r="E47" s="13" t="n">
        <v>0.129</v>
      </c>
      <c r="F47" s="40" t="n">
        <f aca="false">Class_Flows!$L$65</f>
        <v>0.128983604740644</v>
      </c>
      <c r="G47" s="52" t="n">
        <f aca="false">IF(ISNUMBER(F47),F47-E47,"n/a")</f>
        <v>-1.6395259355706E-005</v>
      </c>
      <c r="H47" s="53" t="n">
        <v>0.000500001</v>
      </c>
      <c r="I47" s="50" t="str">
        <f aca="false">IF(ISNUMBER(F47),IF(ABS(F47-E47)&lt;=H47,"PASS","FAIL"),"FAIL")</f>
        <v>PASS</v>
      </c>
    </row>
    <row r="48" customFormat="false" ht="15" hidden="false" customHeight="false" outlineLevel="0" collapsed="false">
      <c r="B48" s="46" t="n">
        <v>40</v>
      </c>
      <c r="C48" s="9" t="s">
        <v>437</v>
      </c>
      <c r="D48" s="9" t="s">
        <v>445</v>
      </c>
      <c r="E48" s="13" t="n">
        <v>0.162</v>
      </c>
      <c r="F48" s="40" t="n">
        <f aca="false">Class_Flows!$L$74</f>
        <v>0.162313157202603</v>
      </c>
      <c r="G48" s="52" t="n">
        <f aca="false">IF(ISNUMBER(F48),F48-E48,"n/a")</f>
        <v>0.000313157202603304</v>
      </c>
      <c r="H48" s="53" t="n">
        <v>0.000500001</v>
      </c>
      <c r="I48" s="50" t="str">
        <f aca="false">IF(ISNUMBER(F48),IF(ABS(F48-E48)&lt;=H48,"PASS","FAIL"),"FAIL")</f>
        <v>PASS</v>
      </c>
    </row>
    <row r="49" customFormat="false" ht="15" hidden="false" customHeight="false" outlineLevel="0" collapsed="false">
      <c r="B49" s="46" t="n">
        <v>41</v>
      </c>
      <c r="C49" s="9" t="s">
        <v>437</v>
      </c>
      <c r="D49" s="9" t="s">
        <v>446</v>
      </c>
      <c r="E49" s="13" t="n">
        <v>0.073</v>
      </c>
      <c r="F49" s="40" t="n">
        <f aca="false">Class_Flows!$L$83</f>
        <v>0.0733491784311997</v>
      </c>
      <c r="G49" s="52" t="n">
        <f aca="false">IF(ISNUMBER(F49),F49-E49,"n/a")</f>
        <v>0.000349178431199707</v>
      </c>
      <c r="H49" s="53" t="n">
        <v>0.000500001</v>
      </c>
      <c r="I49" s="50" t="str">
        <f aca="false">IF(ISNUMBER(F49),IF(ABS(F49-E49)&lt;=H49,"PASS","FAIL"),"FAIL")</f>
        <v>PASS</v>
      </c>
    </row>
    <row r="50" customFormat="false" ht="15" hidden="false" customHeight="false" outlineLevel="0" collapsed="false">
      <c r="B50" s="46" t="n">
        <v>42</v>
      </c>
      <c r="C50" s="9" t="s">
        <v>437</v>
      </c>
      <c r="D50" s="9" t="s">
        <v>447</v>
      </c>
      <c r="E50" s="13" t="n">
        <v>0.073</v>
      </c>
      <c r="F50" s="40" t="n">
        <f aca="false">Class_Flows!$L$92</f>
        <v>0.0733491784311997</v>
      </c>
      <c r="G50" s="52" t="n">
        <f aca="false">IF(ISNUMBER(F50),F50-E50,"n/a")</f>
        <v>0.000349178431199707</v>
      </c>
      <c r="H50" s="53" t="n">
        <v>0.000500001</v>
      </c>
      <c r="I50" s="50" t="str">
        <f aca="false">IF(ISNUMBER(F50),IF(ABS(F50-E50)&lt;=H50,"PASS","FAIL"),"FAIL")</f>
        <v>PASS</v>
      </c>
    </row>
    <row r="51" customFormat="false" ht="15" hidden="false" customHeight="false" outlineLevel="0" collapsed="false">
      <c r="B51" s="46" t="n">
        <v>43</v>
      </c>
      <c r="C51" s="9" t="s">
        <v>437</v>
      </c>
      <c r="D51" s="9" t="s">
        <v>448</v>
      </c>
      <c r="E51" s="13" t="n">
        <v>0.075</v>
      </c>
      <c r="F51" s="40" t="n">
        <f aca="false">Class_Flows!$L$101</f>
        <v>0.0747275355424011</v>
      </c>
      <c r="G51" s="52" t="n">
        <f aca="false">IF(ISNUMBER(F51),F51-E51,"n/a")</f>
        <v>-0.000272464457598917</v>
      </c>
      <c r="H51" s="53" t="n">
        <v>0.000500001</v>
      </c>
      <c r="I51" s="50" t="str">
        <f aca="false">IF(ISNUMBER(F51),IF(ABS(F51-E51)&lt;=H51,"PASS","FAIL"),"FAIL")</f>
        <v>PASS</v>
      </c>
    </row>
    <row r="52" customFormat="false" ht="15" hidden="false" customHeight="false" outlineLevel="0" collapsed="false">
      <c r="B52" s="46" t="n">
        <v>44</v>
      </c>
      <c r="C52" s="9" t="s">
        <v>437</v>
      </c>
      <c r="D52" s="9" t="s">
        <v>449</v>
      </c>
      <c r="E52" s="13" t="n">
        <v>0.082</v>
      </c>
      <c r="F52" s="40" t="n">
        <f aca="false">Class_Flows!$L$110</f>
        <v>0.0815089212918587</v>
      </c>
      <c r="G52" s="52" t="n">
        <f aca="false">IF(ISNUMBER(F52),F52-E52,"n/a")</f>
        <v>-0.000491078708141274</v>
      </c>
      <c r="H52" s="53" t="n">
        <v>0.000500001</v>
      </c>
      <c r="I52" s="50" t="str">
        <f aca="false">IF(ISNUMBER(F52),IF(ABS(F52-E52)&lt;=H52,"PASS","FAIL"),"FAIL")</f>
        <v>PASS</v>
      </c>
    </row>
    <row r="53" customFormat="false" ht="15" hidden="false" customHeight="false" outlineLevel="0" collapsed="false">
      <c r="B53" s="46" t="n">
        <v>45</v>
      </c>
      <c r="C53" s="9" t="s">
        <v>437</v>
      </c>
      <c r="D53" s="9" t="s">
        <v>380</v>
      </c>
      <c r="E53" s="13" t="n">
        <v>0.091</v>
      </c>
      <c r="F53" s="40" t="n">
        <f aca="false">Class_Flows!$L$119</f>
        <v>0.0908977543816594</v>
      </c>
      <c r="G53" s="52" t="n">
        <f aca="false">IF(ISNUMBER(F53),F53-E53,"n/a")</f>
        <v>-0.00010224561834063</v>
      </c>
      <c r="H53" s="53" t="n">
        <v>0.000500001</v>
      </c>
      <c r="I53" s="50" t="str">
        <f aca="false">IF(ISNUMBER(F53),IF(ABS(F53-E53)&lt;=H53,"PASS","FAIL"),"FAIL")</f>
        <v>PASS</v>
      </c>
    </row>
    <row r="54" customFormat="false" ht="15" hidden="false" customHeight="false" outlineLevel="0" collapsed="false">
      <c r="B54" s="46" t="n">
        <v>46</v>
      </c>
      <c r="C54" s="9" t="s">
        <v>437</v>
      </c>
      <c r="D54" s="9" t="s">
        <v>450</v>
      </c>
      <c r="E54" s="13" t="n">
        <v>0.102</v>
      </c>
      <c r="F54" s="40" t="n">
        <f aca="false">Class_Flows!$L$128</f>
        <v>0.101520505285589</v>
      </c>
      <c r="G54" s="52" t="n">
        <f aca="false">IF(ISNUMBER(F54),F54-E54,"n/a")</f>
        <v>-0.000479494714410791</v>
      </c>
      <c r="H54" s="53" t="n">
        <v>0.000500001</v>
      </c>
      <c r="I54" s="50" t="str">
        <f aca="false">IF(ISNUMBER(F54),IF(ABS(F54-E54)&lt;=H54,"PASS","FAIL"),"FAIL")</f>
        <v>PASS</v>
      </c>
    </row>
    <row r="55" customFormat="false" ht="15" hidden="false" customHeight="false" outlineLevel="0" collapsed="false">
      <c r="B55" s="46" t="n">
        <v>47</v>
      </c>
      <c r="C55" s="9" t="s">
        <v>437</v>
      </c>
      <c r="D55" s="9" t="s">
        <v>451</v>
      </c>
      <c r="E55" s="13" t="n">
        <v>0.125</v>
      </c>
      <c r="F55" s="40" t="n">
        <f aca="false">Class_Flows!$L$137</f>
        <v>0.124723071671024</v>
      </c>
      <c r="G55" s="52" t="n">
        <f aca="false">IF(ISNUMBER(F55),F55-E55,"n/a")</f>
        <v>-0.0002769283289763</v>
      </c>
      <c r="H55" s="53" t="n">
        <v>0.000500001</v>
      </c>
      <c r="I55" s="50" t="str">
        <f aca="false">IF(ISNUMBER(F55),IF(ABS(F55-E55)&lt;=H55,"PASS","FAIL"),"FAIL")</f>
        <v>PASS</v>
      </c>
    </row>
    <row r="56" customFormat="false" ht="15" hidden="false" customHeight="false" outlineLevel="0" collapsed="false">
      <c r="B56" s="46" t="n">
        <v>48</v>
      </c>
      <c r="C56" s="9" t="s">
        <v>437</v>
      </c>
      <c r="D56" s="9" t="s">
        <v>452</v>
      </c>
      <c r="E56" s="13" t="n">
        <v>0.156</v>
      </c>
      <c r="F56" s="40" t="n">
        <f aca="false">Class_Flows!$L$146</f>
        <v>0.155548710255304</v>
      </c>
      <c r="G56" s="52" t="n">
        <f aca="false">IF(ISNUMBER(F56),F56-E56,"n/a")</f>
        <v>-0.000451289744695632</v>
      </c>
      <c r="H56" s="53" t="n">
        <v>0.000500001</v>
      </c>
      <c r="I56" s="50" t="str">
        <f aca="false">IF(ISNUMBER(F56),IF(ABS(F56-E56)&lt;=H56,"PASS","FAIL"),"FAIL")</f>
        <v>PASS</v>
      </c>
    </row>
    <row r="57" customFormat="false" ht="15" hidden="false" customHeight="false" outlineLevel="0" collapsed="false">
      <c r="B57" s="46" t="n">
        <v>49</v>
      </c>
      <c r="C57" s="9" t="s">
        <v>437</v>
      </c>
      <c r="D57" s="9" t="s">
        <v>453</v>
      </c>
      <c r="E57" s="13" t="n">
        <v>0.074</v>
      </c>
      <c r="F57" s="40" t="n">
        <f aca="false">Class_Flows!$L$155</f>
        <v>0.0736184473167751</v>
      </c>
      <c r="G57" s="52" t="n">
        <f aca="false">IF(ISNUMBER(F57),F57-E57,"n/a")</f>
        <v>-0.000381552683224873</v>
      </c>
      <c r="H57" s="53" t="n">
        <v>0.000500001</v>
      </c>
      <c r="I57" s="50" t="str">
        <f aca="false">IF(ISNUMBER(F57),IF(ABS(F57-E57)&lt;=H57,"PASS","FAIL"),"FAIL")</f>
        <v>PASS</v>
      </c>
    </row>
    <row r="58" customFormat="false" ht="15" hidden="false" customHeight="false" outlineLevel="0" collapsed="false">
      <c r="B58" s="46" t="n">
        <v>50</v>
      </c>
      <c r="C58" s="9" t="s">
        <v>437</v>
      </c>
      <c r="D58" s="9" t="s">
        <v>454</v>
      </c>
      <c r="E58" s="13" t="n">
        <v>0.074</v>
      </c>
      <c r="F58" s="40" t="n">
        <f aca="false">Class_Flows!$L$164</f>
        <v>0.0736184473167751</v>
      </c>
      <c r="G58" s="52" t="n">
        <f aca="false">IF(ISNUMBER(F58),F58-E58,"n/a")</f>
        <v>-0.000381552683224873</v>
      </c>
      <c r="H58" s="53" t="n">
        <v>0.000500001</v>
      </c>
      <c r="I58" s="50" t="str">
        <f aca="false">IF(ISNUMBER(F58),IF(ABS(F58-E58)&lt;=H58,"PASS","FAIL"),"FAIL")</f>
        <v>PASS</v>
      </c>
    </row>
    <row r="59" customFormat="false" ht="15" hidden="false" customHeight="false" outlineLevel="0" collapsed="false">
      <c r="B59" s="46" t="n">
        <v>51</v>
      </c>
      <c r="C59" s="9" t="s">
        <v>437</v>
      </c>
      <c r="D59" s="9" t="s">
        <v>455</v>
      </c>
      <c r="E59" s="13" t="n">
        <v>0.075</v>
      </c>
      <c r="F59" s="40" t="n">
        <f aca="false">Class_Flows!$L$173</f>
        <v>0.0752678830281852</v>
      </c>
      <c r="G59" s="52" t="n">
        <f aca="false">IF(ISNUMBER(F59),F59-E59,"n/a")</f>
        <v>0.000267883028185215</v>
      </c>
      <c r="H59" s="53" t="n">
        <v>0.000500001</v>
      </c>
      <c r="I59" s="50" t="str">
        <f aca="false">IF(ISNUMBER(F59),IF(ABS(F59-E59)&lt;=H59,"PASS","FAIL"),"FAIL")</f>
        <v>PASS</v>
      </c>
    </row>
    <row r="60" customFormat="false" ht="15" hidden="false" customHeight="false" outlineLevel="0" collapsed="false">
      <c r="B60" s="46" t="n">
        <v>52</v>
      </c>
      <c r="C60" s="9" t="s">
        <v>437</v>
      </c>
      <c r="D60" s="9" t="s">
        <v>456</v>
      </c>
      <c r="E60" s="13" t="n">
        <v>0.082</v>
      </c>
      <c r="F60" s="40" t="n">
        <f aca="false">Class_Flows!$L$182</f>
        <v>0.0823084418136835</v>
      </c>
      <c r="G60" s="52" t="n">
        <f aca="false">IF(ISNUMBER(F60),F60-E60,"n/a")</f>
        <v>0.000308441813683474</v>
      </c>
      <c r="H60" s="53" t="n">
        <v>0.000500001</v>
      </c>
      <c r="I60" s="50" t="str">
        <f aca="false">IF(ISNUMBER(F60),IF(ABS(F60-E60)&lt;=H60,"PASS","FAIL"),"FAIL")</f>
        <v>PASS</v>
      </c>
    </row>
    <row r="61" customFormat="false" ht="15" hidden="false" customHeight="false" outlineLevel="0" collapsed="false">
      <c r="B61" s="46" t="n">
        <v>53</v>
      </c>
      <c r="C61" s="9" t="s">
        <v>437</v>
      </c>
      <c r="D61" s="9" t="s">
        <v>457</v>
      </c>
      <c r="E61" s="13" t="n">
        <v>0.092</v>
      </c>
      <c r="F61" s="40" t="n">
        <f aca="false">Class_Flows!$L$191</f>
        <v>0.0916774485547376</v>
      </c>
      <c r="G61" s="52" t="n">
        <f aca="false">IF(ISNUMBER(F61),F61-E61,"n/a")</f>
        <v>-0.000322551445262415</v>
      </c>
      <c r="H61" s="53" t="n">
        <v>0.000500001</v>
      </c>
      <c r="I61" s="50" t="str">
        <f aca="false">IF(ISNUMBER(F61),IF(ABS(F61-E61)&lt;=H61,"PASS","FAIL"),"FAIL")</f>
        <v>PASS</v>
      </c>
    </row>
    <row r="62" customFormat="false" ht="15" hidden="false" customHeight="false" outlineLevel="0" collapsed="false">
      <c r="B62" s="46" t="n">
        <v>54</v>
      </c>
      <c r="C62" s="9" t="s">
        <v>437</v>
      </c>
      <c r="D62" s="9" t="s">
        <v>458</v>
      </c>
      <c r="E62" s="13" t="n">
        <v>0.102</v>
      </c>
      <c r="F62" s="40" t="n">
        <f aca="false">Class_Flows!$L$200</f>
        <v>0.102146438751332</v>
      </c>
      <c r="G62" s="52" t="n">
        <f aca="false">IF(ISNUMBER(F62),F62-E62,"n/a")</f>
        <v>0.000146438751332231</v>
      </c>
      <c r="H62" s="53" t="n">
        <v>0.000500001</v>
      </c>
      <c r="I62" s="50" t="str">
        <f aca="false">IF(ISNUMBER(F62),IF(ABS(F62-E62)&lt;=H62,"PASS","FAIL"),"FAIL")</f>
        <v>PASS</v>
      </c>
    </row>
    <row r="63" customFormat="false" ht="15" hidden="false" customHeight="false" outlineLevel="0" collapsed="false">
      <c r="B63" s="46" t="n">
        <v>55</v>
      </c>
      <c r="C63" s="9" t="s">
        <v>437</v>
      </c>
      <c r="D63" s="9" t="s">
        <v>459</v>
      </c>
      <c r="E63" s="13" t="n">
        <v>0.125</v>
      </c>
      <c r="F63" s="40" t="n">
        <f aca="false">Class_Flows!$L$209</f>
        <v>0.124824085894216</v>
      </c>
      <c r="G63" s="52" t="n">
        <f aca="false">IF(ISNUMBER(F63),F63-E63,"n/a")</f>
        <v>-0.000175914105783992</v>
      </c>
      <c r="H63" s="53" t="n">
        <v>0.000500001</v>
      </c>
      <c r="I63" s="50" t="str">
        <f aca="false">IF(ISNUMBER(F63),IF(ABS(F63-E63)&lt;=H63,"PASS","FAIL"),"FAIL")</f>
        <v>PASS</v>
      </c>
    </row>
    <row r="64" customFormat="false" ht="15" hidden="false" customHeight="false" outlineLevel="0" collapsed="false">
      <c r="B64" s="46" t="n">
        <v>56</v>
      </c>
      <c r="C64" s="9" t="s">
        <v>437</v>
      </c>
      <c r="D64" s="9" t="s">
        <v>460</v>
      </c>
      <c r="E64" s="13" t="n">
        <v>0.155</v>
      </c>
      <c r="F64" s="40" t="n">
        <f aca="false">Class_Flows!$L$218</f>
        <v>0.154780381811056</v>
      </c>
      <c r="G64" s="52" t="n">
        <f aca="false">IF(ISNUMBER(F64),F64-E64,"n/a")</f>
        <v>-0.00021961818894442</v>
      </c>
      <c r="H64" s="53" t="n">
        <v>0.000500001</v>
      </c>
      <c r="I64" s="50" t="str">
        <f aca="false">IF(ISNUMBER(F64),IF(ABS(F64-E64)&lt;=H64,"PASS","FAIL"),"FAIL")</f>
        <v>PASS</v>
      </c>
    </row>
    <row r="65" customFormat="false" ht="15" hidden="false" customHeight="false" outlineLevel="0" collapsed="false">
      <c r="B65" s="46" t="n">
        <v>57</v>
      </c>
      <c r="C65" s="9" t="s">
        <v>437</v>
      </c>
      <c r="D65" s="9" t="s">
        <v>461</v>
      </c>
      <c r="E65" s="13" t="n">
        <v>0.015</v>
      </c>
      <c r="F65" s="40" t="n">
        <f aca="false">Class_Flows!$L$227</f>
        <v>0.0154911770119233</v>
      </c>
      <c r="G65" s="52" t="n">
        <f aca="false">IF(ISNUMBER(F65),F65-E65,"n/a")</f>
        <v>0.000491177011923263</v>
      </c>
      <c r="H65" s="53" t="n">
        <v>0.000500001</v>
      </c>
      <c r="I65" s="50" t="str">
        <f aca="false">IF(ISNUMBER(F65),IF(ABS(F65-E65)&lt;=H65,"PASS","FAIL"),"FAIL")</f>
        <v>PASS</v>
      </c>
    </row>
    <row r="66" customFormat="false" ht="15" hidden="false" customHeight="false" outlineLevel="0" collapsed="false">
      <c r="B66" s="46" t="n">
        <v>58</v>
      </c>
      <c r="C66" s="9" t="s">
        <v>437</v>
      </c>
      <c r="D66" s="9" t="s">
        <v>462</v>
      </c>
      <c r="E66" s="13" t="n">
        <v>0.015</v>
      </c>
      <c r="F66" s="40" t="n">
        <f aca="false">Class_Flows!$L$236</f>
        <v>0.0154911770119233</v>
      </c>
      <c r="G66" s="52" t="n">
        <f aca="false">IF(ISNUMBER(F66),F66-E66,"n/a")</f>
        <v>0.000491177011923263</v>
      </c>
      <c r="H66" s="53" t="n">
        <v>0.000500001</v>
      </c>
      <c r="I66" s="50" t="str">
        <f aca="false">IF(ISNUMBER(F66),IF(ABS(F66-E66)&lt;=H66,"PASS","FAIL"),"FAIL")</f>
        <v>PASS</v>
      </c>
    </row>
    <row r="67" customFormat="false" ht="15" hidden="false" customHeight="false" outlineLevel="0" collapsed="false">
      <c r="B67" s="46" t="n">
        <v>59</v>
      </c>
      <c r="C67" s="9" t="s">
        <v>437</v>
      </c>
      <c r="D67" s="9" t="s">
        <v>463</v>
      </c>
      <c r="E67" s="13" t="n">
        <v>0.017</v>
      </c>
      <c r="F67" s="40" t="n">
        <f aca="false">Class_Flows!$L$245</f>
        <v>0.0173269216969898</v>
      </c>
      <c r="G67" s="52" t="n">
        <f aca="false">IF(ISNUMBER(F67),F67-E67,"n/a")</f>
        <v>0.000326921696989793</v>
      </c>
      <c r="H67" s="53" t="n">
        <v>0.000500001</v>
      </c>
      <c r="I67" s="50" t="str">
        <f aca="false">IF(ISNUMBER(F67),IF(ABS(F67-E67)&lt;=H67,"PASS","FAIL"),"FAIL")</f>
        <v>PASS</v>
      </c>
    </row>
    <row r="68" customFormat="false" ht="15" hidden="false" customHeight="false" outlineLevel="0" collapsed="false">
      <c r="B68" s="46" t="n">
        <v>60</v>
      </c>
      <c r="C68" s="9" t="s">
        <v>437</v>
      </c>
      <c r="D68" s="9" t="s">
        <v>464</v>
      </c>
      <c r="E68" s="13" t="n">
        <v>0.024</v>
      </c>
      <c r="F68" s="40" t="n">
        <f aca="false">Class_Flows!$L$254</f>
        <v>0.0236152410661403</v>
      </c>
      <c r="G68" s="52" t="n">
        <f aca="false">IF(ISNUMBER(F68),F68-E68,"n/a")</f>
        <v>-0.000384758933859676</v>
      </c>
      <c r="H68" s="53" t="n">
        <v>0.000500001</v>
      </c>
      <c r="I68" s="50" t="str">
        <f aca="false">IF(ISNUMBER(F68),IF(ABS(F68-E68)&lt;=H68,"PASS","FAIL"),"FAIL")</f>
        <v>PASS</v>
      </c>
    </row>
    <row r="69" customFormat="false" ht="15" hidden="false" customHeight="false" outlineLevel="0" collapsed="false">
      <c r="B69" s="46" t="n">
        <v>61</v>
      </c>
      <c r="C69" s="9" t="s">
        <v>437</v>
      </c>
      <c r="D69" s="9" t="s">
        <v>465</v>
      </c>
      <c r="E69" s="13" t="n">
        <v>0.031</v>
      </c>
      <c r="F69" s="40" t="n">
        <f aca="false">Class_Flows!$L$263</f>
        <v>0.0313994306939855</v>
      </c>
      <c r="G69" s="52" t="n">
        <f aca="false">IF(ISNUMBER(F69),F69-E69,"n/a")</f>
        <v>0.000399430693985542</v>
      </c>
      <c r="H69" s="53" t="n">
        <v>0.000500001</v>
      </c>
      <c r="I69" s="50" t="str">
        <f aca="false">IF(ISNUMBER(F69),IF(ABS(F69-E69)&lt;=H69,"PASS","FAIL"),"FAIL")</f>
        <v>PASS</v>
      </c>
    </row>
    <row r="70" customFormat="false" ht="15" hidden="false" customHeight="false" outlineLevel="0" collapsed="false">
      <c r="B70" s="46" t="n">
        <v>62</v>
      </c>
      <c r="C70" s="9" t="s">
        <v>437</v>
      </c>
      <c r="D70" s="9" t="s">
        <v>466</v>
      </c>
      <c r="E70" s="13" t="n">
        <v>0.04</v>
      </c>
      <c r="F70" s="40" t="n">
        <f aca="false">Class_Flows!$L$272</f>
        <v>0.0398883247624016</v>
      </c>
      <c r="G70" s="52" t="n">
        <f aca="false">IF(ISNUMBER(F70),F70-E70,"n/a")</f>
        <v>-0.00011167523759844</v>
      </c>
      <c r="H70" s="53" t="n">
        <v>0.000500001</v>
      </c>
      <c r="I70" s="50" t="str">
        <f aca="false">IF(ISNUMBER(F70),IF(ABS(F70-E70)&lt;=H70,"PASS","FAIL"),"FAIL")</f>
        <v>PASS</v>
      </c>
    </row>
    <row r="71" customFormat="false" ht="15" hidden="false" customHeight="false" outlineLevel="0" collapsed="false">
      <c r="B71" s="46" t="n">
        <v>63</v>
      </c>
      <c r="C71" s="9" t="s">
        <v>437</v>
      </c>
      <c r="D71" s="9" t="s">
        <v>381</v>
      </c>
      <c r="E71" s="13" t="n">
        <v>0.058</v>
      </c>
      <c r="F71" s="40" t="n">
        <f aca="false">Class_Flows!$L$281</f>
        <v>0.0579958014195281</v>
      </c>
      <c r="G71" s="52" t="n">
        <f aca="false">IF(ISNUMBER(F71),F71-E71,"n/a")</f>
        <v>-4.19858047191052E-006</v>
      </c>
      <c r="H71" s="53" t="n">
        <v>0.000500001</v>
      </c>
      <c r="I71" s="50" t="str">
        <f aca="false">IF(ISNUMBER(F71),IF(ABS(F71-E71)&lt;=H71,"PASS","FAIL"),"FAIL")</f>
        <v>PASS</v>
      </c>
    </row>
    <row r="72" customFormat="false" ht="15" hidden="false" customHeight="false" outlineLevel="0" collapsed="false">
      <c r="B72" s="46" t="n">
        <v>64</v>
      </c>
      <c r="C72" s="9" t="s">
        <v>437</v>
      </c>
      <c r="D72" s="9" t="s">
        <v>467</v>
      </c>
      <c r="E72" s="13" t="n">
        <v>0.082</v>
      </c>
      <c r="F72" s="40" t="n">
        <f aca="false">Class_Flows!$L$290</f>
        <v>0.0817179827652024</v>
      </c>
      <c r="G72" s="52" t="n">
        <f aca="false">IF(ISNUMBER(F72),F72-E72,"n/a")</f>
        <v>-0.000282017234797621</v>
      </c>
      <c r="H72" s="53" t="n">
        <v>0.000500001</v>
      </c>
      <c r="I72" s="50" t="str">
        <f aca="false">IF(ISNUMBER(F72),IF(ABS(F72-E72)&lt;=H72,"PASS","FAIL"),"FAIL")</f>
        <v>PASS</v>
      </c>
    </row>
    <row r="73" customFormat="false" ht="15" hidden="false" customHeight="false" outlineLevel="0" collapsed="false">
      <c r="B73" s="46" t="n">
        <v>65</v>
      </c>
      <c r="C73" s="9" t="s">
        <v>437</v>
      </c>
      <c r="D73" s="9" t="s">
        <v>468</v>
      </c>
      <c r="E73" s="13" t="n">
        <v>-0.62</v>
      </c>
      <c r="F73" s="40" t="n">
        <f aca="false">Class_Flows!$L$299</f>
        <v>-0.619580627111928</v>
      </c>
      <c r="G73" s="52" t="n">
        <f aca="false">IF(ISNUMBER(F73),F73-E73,"n/a")</f>
        <v>0.000419372888071812</v>
      </c>
      <c r="H73" s="53" t="n">
        <v>0.000500001</v>
      </c>
      <c r="I73" s="50" t="str">
        <f aca="false">IF(ISNUMBER(F73),IF(ABS(F73-E73)&lt;=H73,"PASS","FAIL"),"FAIL")</f>
        <v>PASS</v>
      </c>
    </row>
    <row r="74" customFormat="false" ht="15" hidden="false" customHeight="false" outlineLevel="0" collapsed="false">
      <c r="B74" s="46" t="n">
        <v>66</v>
      </c>
      <c r="C74" s="9" t="s">
        <v>437</v>
      </c>
      <c r="D74" s="9" t="s">
        <v>469</v>
      </c>
      <c r="E74" s="13" t="n">
        <v>-0.659</v>
      </c>
      <c r="F74" s="40" t="n">
        <f aca="false">Class_Flows!$L$308</f>
        <v>-0.658797330852547</v>
      </c>
      <c r="G74" s="52" t="n">
        <f aca="false">IF(ISNUMBER(F74),F74-E74,"n/a")</f>
        <v>0.000202669147452816</v>
      </c>
      <c r="H74" s="53" t="n">
        <v>0.000500001</v>
      </c>
      <c r="I74" s="50" t="str">
        <f aca="false">IF(ISNUMBER(F74),IF(ABS(F74-E74)&lt;=H74,"PASS","FAIL"),"FAIL")</f>
        <v>PASS</v>
      </c>
    </row>
    <row r="75" customFormat="false" ht="30" hidden="false" customHeight="true" outlineLevel="0" collapsed="false">
      <c r="B75" s="46" t="n">
        <v>67</v>
      </c>
      <c r="C75" s="9" t="s">
        <v>437</v>
      </c>
      <c r="D75" s="47" t="s">
        <v>470</v>
      </c>
      <c r="E75" s="48" t="s">
        <v>404</v>
      </c>
      <c r="F75" s="49" t="str">
        <f aca="false">IF(Class_Flows!$L$11&gt;Class_Flows!$L$281,"holds","does not hold")</f>
        <v>holds</v>
      </c>
      <c r="G75" s="9"/>
      <c r="H75" s="9"/>
      <c r="I75" s="50" t="str">
        <f aca="false">IF(Class_Flows!$L$11&gt;Class_Flows!$L$281,"PASS","FAIL")</f>
        <v>PASS</v>
      </c>
    </row>
    <row r="76" customFormat="false" ht="30" hidden="false" customHeight="true" outlineLevel="0" collapsed="false">
      <c r="B76" s="46" t="n">
        <v>68</v>
      </c>
      <c r="C76" s="9" t="s">
        <v>471</v>
      </c>
      <c r="D76" s="47" t="s">
        <v>472</v>
      </c>
      <c r="E76" s="48" t="s">
        <v>404</v>
      </c>
      <c r="F76" s="49" t="str">
        <f aca="false">IF(AND(Bid_Floor!$L$11&gt;=Inputs!$C$19,Bid_Floor!$L$20&lt;Inputs!$C$19),"holds","does not hold")</f>
        <v>holds</v>
      </c>
      <c r="G76" s="9"/>
      <c r="H76" s="9"/>
      <c r="I76" s="50" t="str">
        <f aca="false">IF(AND(Bid_Floor!$L$11&gt;=Inputs!$C$19,Bid_Floor!$L$20&lt;Inputs!$C$19),"PASS","FAIL")</f>
        <v>PASS</v>
      </c>
    </row>
    <row r="77" customFormat="false" ht="30" hidden="false" customHeight="true" outlineLevel="0" collapsed="false">
      <c r="B77" s="46" t="n">
        <v>69</v>
      </c>
      <c r="C77" s="9" t="s">
        <v>471</v>
      </c>
      <c r="D77" s="47" t="s">
        <v>473</v>
      </c>
      <c r="E77" s="48" t="s">
        <v>404</v>
      </c>
      <c r="F77" s="49" t="str">
        <f aca="false">IF(AND(Bid_Floor!$L$29&gt;=Inputs!$C$19,Bid_Floor!$L$38&lt;Inputs!$C$19),"holds","does not hold")</f>
        <v>holds</v>
      </c>
      <c r="G77" s="9"/>
      <c r="H77" s="9"/>
      <c r="I77" s="50" t="str">
        <f aca="false">IF(AND(Bid_Floor!$L$29&gt;=Inputs!$C$19,Bid_Floor!$L$38&lt;Inputs!$C$19),"PASS","FAIL")</f>
        <v>PASS</v>
      </c>
    </row>
    <row r="78" customFormat="false" ht="30" hidden="false" customHeight="true" outlineLevel="0" collapsed="false">
      <c r="B78" s="46" t="n">
        <v>70</v>
      </c>
      <c r="C78" s="9" t="s">
        <v>471</v>
      </c>
      <c r="D78" s="47" t="s">
        <v>474</v>
      </c>
      <c r="E78" s="48" t="s">
        <v>404</v>
      </c>
      <c r="F78" s="49" t="str">
        <f aca="false">IF(AND(Bid_Floor!$L$47&gt;=Inputs!$C$19,Bid_Floor!$L$56&lt;Inputs!$C$19),"holds","does not hold")</f>
        <v>holds</v>
      </c>
      <c r="G78" s="9"/>
      <c r="H78" s="9"/>
      <c r="I78" s="50" t="str">
        <f aca="false">IF(AND(Bid_Floor!$L$47&gt;=Inputs!$C$19,Bid_Floor!$L$56&lt;Inputs!$C$19),"PASS","FAIL")</f>
        <v>PASS</v>
      </c>
    </row>
    <row r="79" customFormat="false" ht="30" hidden="false" customHeight="true" outlineLevel="0" collapsed="false">
      <c r="B79" s="46" t="n">
        <v>71</v>
      </c>
      <c r="C79" s="9" t="s">
        <v>471</v>
      </c>
      <c r="D79" s="47" t="s">
        <v>475</v>
      </c>
      <c r="E79" s="48" t="s">
        <v>404</v>
      </c>
      <c r="F79" s="49" t="str">
        <f aca="false">IF(AND(Bid_Floor!$L$65&gt;=Inputs!$C$19,Bid_Floor!$L$74&lt;Inputs!$C$19),"holds","does not hold")</f>
        <v>holds</v>
      </c>
      <c r="G79" s="9"/>
      <c r="H79" s="9"/>
      <c r="I79" s="50" t="str">
        <f aca="false">IF(AND(Bid_Floor!$L$65&gt;=Inputs!$C$19,Bid_Floor!$L$74&lt;Inputs!$C$19),"PASS","FAIL")</f>
        <v>PASS</v>
      </c>
    </row>
    <row r="80" customFormat="false" ht="30" hidden="false" customHeight="true" outlineLevel="0" collapsed="false">
      <c r="B80" s="46" t="n">
        <v>72</v>
      </c>
      <c r="C80" s="9" t="s">
        <v>471</v>
      </c>
      <c r="D80" s="47" t="s">
        <v>476</v>
      </c>
      <c r="E80" s="48" t="s">
        <v>404</v>
      </c>
      <c r="F80" s="49" t="str">
        <f aca="false">IF(AND(Bid_Floor!$L$83&gt;=Inputs!$C$18,Bid_Floor!$L$92&lt;Inputs!$C$18),"holds","does not hold")</f>
        <v>holds</v>
      </c>
      <c r="G80" s="9"/>
      <c r="H80" s="9"/>
      <c r="I80" s="50" t="str">
        <f aca="false">IF(AND(Bid_Floor!$L$83&gt;=Inputs!$C$18,Bid_Floor!$L$92&lt;Inputs!$C$18),"PASS","FAIL")</f>
        <v>PASS</v>
      </c>
    </row>
    <row r="81" customFormat="false" ht="30" hidden="false" customHeight="true" outlineLevel="0" collapsed="false">
      <c r="B81" s="46" t="n">
        <v>73</v>
      </c>
      <c r="C81" s="9" t="s">
        <v>471</v>
      </c>
      <c r="D81" s="47" t="s">
        <v>477</v>
      </c>
      <c r="E81" s="48" t="s">
        <v>404</v>
      </c>
      <c r="F81" s="49" t="str">
        <f aca="false">IF(AND(Bid_Floor!$L$101&gt;=Inputs!$C$18,Bid_Floor!$L$110&lt;Inputs!$C$18),"holds","does not hold")</f>
        <v>holds</v>
      </c>
      <c r="G81" s="9"/>
      <c r="H81" s="9"/>
      <c r="I81" s="50" t="str">
        <f aca="false">IF(AND(Bid_Floor!$L$101&gt;=Inputs!$C$18,Bid_Floor!$L$110&lt;Inputs!$C$18),"PASS","FAIL")</f>
        <v>PASS</v>
      </c>
    </row>
    <row r="82" customFormat="false" ht="30" hidden="false" customHeight="true" outlineLevel="0" collapsed="false">
      <c r="B82" s="46" t="n">
        <v>74</v>
      </c>
      <c r="C82" s="9" t="s">
        <v>471</v>
      </c>
      <c r="D82" s="47" t="s">
        <v>478</v>
      </c>
      <c r="E82" s="48" t="s">
        <v>404</v>
      </c>
      <c r="F82" s="49" t="str">
        <f aca="false">IF(AND(Bid_Floor!$L$119&gt;=Inputs!$C$18,Bid_Floor!$L$128&lt;Inputs!$C$18),"holds","does not hold")</f>
        <v>holds</v>
      </c>
      <c r="G82" s="9"/>
      <c r="H82" s="9"/>
      <c r="I82" s="50" t="str">
        <f aca="false">IF(AND(Bid_Floor!$L$119&gt;=Inputs!$C$18,Bid_Floor!$L$128&lt;Inputs!$C$18),"PASS","FAIL")</f>
        <v>PASS</v>
      </c>
    </row>
    <row r="83" customFormat="false" ht="30" hidden="false" customHeight="true" outlineLevel="0" collapsed="false">
      <c r="B83" s="46" t="n">
        <v>75</v>
      </c>
      <c r="C83" s="9" t="s">
        <v>471</v>
      </c>
      <c r="D83" s="47" t="s">
        <v>479</v>
      </c>
      <c r="E83" s="48" t="s">
        <v>404</v>
      </c>
      <c r="F83" s="49" t="str">
        <f aca="false">IF(AND(Bid_Floor!$L$137&gt;=Inputs!$C$18,Bid_Floor!$L$146&lt;Inputs!$C$18),"holds","does not hold")</f>
        <v>holds</v>
      </c>
      <c r="G83" s="9"/>
      <c r="H83" s="9"/>
      <c r="I83" s="50" t="str">
        <f aca="false">IF(AND(Bid_Floor!$L$137&gt;=Inputs!$C$18,Bid_Floor!$L$146&lt;Inputs!$C$18),"PASS","FAIL")</f>
        <v>PASS</v>
      </c>
    </row>
    <row r="84" customFormat="false" ht="15" hidden="false" customHeight="false" outlineLevel="0" collapsed="false">
      <c r="B84" s="46" t="n">
        <v>76</v>
      </c>
      <c r="C84" s="9" t="s">
        <v>480</v>
      </c>
      <c r="D84" s="9" t="s">
        <v>481</v>
      </c>
      <c r="E84" s="20" t="n">
        <v>92400</v>
      </c>
      <c r="F84" s="42" t="n">
        <f aca="false">Portfolio!$G$6</f>
        <v>92400</v>
      </c>
      <c r="G84" s="52" t="n">
        <f aca="false">IF(ISNUMBER(F84),F84-E84,"n/a")</f>
        <v>0</v>
      </c>
      <c r="H84" s="53" t="n">
        <v>0.500000001</v>
      </c>
      <c r="I84" s="50" t="str">
        <f aca="false">IF(ISNUMBER(F84),IF(ABS(F84-E84)&lt;=H84,"PASS","FAIL"),"FAIL")</f>
        <v>PASS</v>
      </c>
    </row>
    <row r="85" customFormat="false" ht="15" hidden="false" customHeight="false" outlineLevel="0" collapsed="false">
      <c r="B85" s="46" t="n">
        <v>77</v>
      </c>
      <c r="C85" s="9" t="s">
        <v>480</v>
      </c>
      <c r="D85" s="9" t="s">
        <v>482</v>
      </c>
      <c r="E85" s="20" t="n">
        <v>64800</v>
      </c>
      <c r="F85" s="42" t="n">
        <f aca="false">Portfolio!$G$7</f>
        <v>64800</v>
      </c>
      <c r="G85" s="52" t="n">
        <f aca="false">IF(ISNUMBER(F85),F85-E85,"n/a")</f>
        <v>0</v>
      </c>
      <c r="H85" s="53" t="n">
        <v>0.500000001</v>
      </c>
      <c r="I85" s="50" t="str">
        <f aca="false">IF(ISNUMBER(F85),IF(ABS(F85-E85)&lt;=H85,"PASS","FAIL"),"FAIL")</f>
        <v>PASS</v>
      </c>
    </row>
    <row r="86" customFormat="false" ht="15" hidden="false" customHeight="false" outlineLevel="0" collapsed="false">
      <c r="B86" s="46" t="n">
        <v>78</v>
      </c>
      <c r="C86" s="9" t="s">
        <v>480</v>
      </c>
      <c r="D86" s="9" t="s">
        <v>483</v>
      </c>
      <c r="E86" s="20" t="n">
        <v>47500</v>
      </c>
      <c r="F86" s="42" t="n">
        <f aca="false">Portfolio!$G$8</f>
        <v>47500</v>
      </c>
      <c r="G86" s="52" t="n">
        <f aca="false">IF(ISNUMBER(F86),F86-E86,"n/a")</f>
        <v>0</v>
      </c>
      <c r="H86" s="53" t="n">
        <v>0.500000001</v>
      </c>
      <c r="I86" s="50" t="str">
        <f aca="false">IF(ISNUMBER(F86),IF(ABS(F86-E86)&lt;=H86,"PASS","FAIL"),"FAIL")</f>
        <v>PASS</v>
      </c>
    </row>
    <row r="87" customFormat="false" ht="15" hidden="false" customHeight="false" outlineLevel="0" collapsed="false">
      <c r="B87" s="46" t="n">
        <v>79</v>
      </c>
      <c r="C87" s="9" t="s">
        <v>480</v>
      </c>
      <c r="D87" s="9" t="s">
        <v>484</v>
      </c>
      <c r="E87" s="20" t="n">
        <v>20800</v>
      </c>
      <c r="F87" s="42" t="n">
        <f aca="false">Portfolio!$G$9</f>
        <v>20800</v>
      </c>
      <c r="G87" s="52" t="n">
        <f aca="false">IF(ISNUMBER(F87),F87-E87,"n/a")</f>
        <v>0</v>
      </c>
      <c r="H87" s="53" t="n">
        <v>0.500000001</v>
      </c>
      <c r="I87" s="50" t="str">
        <f aca="false">IF(ISNUMBER(F87),IF(ABS(F87-E87)&lt;=H87,"PASS","FAIL"),"FAIL")</f>
        <v>PASS</v>
      </c>
    </row>
    <row r="88" customFormat="false" ht="15" hidden="false" customHeight="false" outlineLevel="0" collapsed="false">
      <c r="B88" s="46" t="n">
        <v>80</v>
      </c>
      <c r="C88" s="9" t="s">
        <v>480</v>
      </c>
      <c r="D88" s="9" t="s">
        <v>485</v>
      </c>
      <c r="E88" s="20" t="n">
        <v>3200</v>
      </c>
      <c r="F88" s="42" t="n">
        <f aca="false">Portfolio!$G$10</f>
        <v>3200</v>
      </c>
      <c r="G88" s="52" t="n">
        <f aca="false">IF(ISNUMBER(F88),F88-E88,"n/a")</f>
        <v>0</v>
      </c>
      <c r="H88" s="53" t="n">
        <v>0.500000001</v>
      </c>
      <c r="I88" s="50" t="str">
        <f aca="false">IF(ISNUMBER(F88),IF(ABS(F88-E88)&lt;=H88,"PASS","FAIL"),"FAIL")</f>
        <v>PASS</v>
      </c>
    </row>
    <row r="89" customFormat="false" ht="15" hidden="false" customHeight="false" outlineLevel="0" collapsed="false">
      <c r="B89" s="46" t="n">
        <v>81</v>
      </c>
      <c r="C89" s="9" t="s">
        <v>480</v>
      </c>
      <c r="D89" s="9" t="s">
        <v>123</v>
      </c>
      <c r="E89" s="20" t="n">
        <v>228700</v>
      </c>
      <c r="F89" s="42" t="n">
        <f aca="false">Portfolio!$G$11</f>
        <v>228700</v>
      </c>
      <c r="G89" s="52" t="n">
        <f aca="false">IF(ISNUMBER(F89),F89-E89,"n/a")</f>
        <v>0</v>
      </c>
      <c r="H89" s="53" t="n">
        <v>0.500000001</v>
      </c>
      <c r="I89" s="50" t="str">
        <f aca="false">IF(ISNUMBER(F89),IF(ABS(F89-E89)&lt;=H89,"PASS","FAIL"),"FAIL")</f>
        <v>PASS</v>
      </c>
    </row>
    <row r="90" customFormat="false" ht="15" hidden="false" customHeight="false" outlineLevel="0" collapsed="false">
      <c r="B90" s="46" t="n">
        <v>82</v>
      </c>
      <c r="C90" s="9" t="s">
        <v>480</v>
      </c>
      <c r="D90" s="9" t="s">
        <v>325</v>
      </c>
      <c r="E90" s="20" t="n">
        <v>600</v>
      </c>
      <c r="F90" s="42" t="n">
        <f aca="false">Portfolio!$C$13</f>
        <v>600</v>
      </c>
      <c r="G90" s="52" t="n">
        <f aca="false">IF(ISNUMBER(F90),F90-E90,"n/a")</f>
        <v>0</v>
      </c>
      <c r="H90" s="53" t="n">
        <v>0.500000001</v>
      </c>
      <c r="I90" s="50" t="str">
        <f aca="false">IF(ISNUMBER(F90),IF(ABS(F90-E90)&lt;=H90,"PASS","FAIL"),"FAIL")</f>
        <v>PASS</v>
      </c>
    </row>
    <row r="91" customFormat="false" ht="15" hidden="false" customHeight="false" outlineLevel="0" collapsed="false">
      <c r="B91" s="46" t="n">
        <v>83</v>
      </c>
      <c r="C91" s="9" t="s">
        <v>480</v>
      </c>
      <c r="D91" s="9" t="s">
        <v>290</v>
      </c>
      <c r="E91" s="20" t="n">
        <v>229300</v>
      </c>
      <c r="F91" s="42" t="n">
        <f aca="false">Portfolio!$C$14</f>
        <v>229300</v>
      </c>
      <c r="G91" s="52" t="n">
        <f aca="false">IF(ISNUMBER(F91),F91-E91,"n/a")</f>
        <v>0</v>
      </c>
      <c r="H91" s="53" t="n">
        <v>0.500000001</v>
      </c>
      <c r="I91" s="50" t="str">
        <f aca="false">IF(ISNUMBER(F91),IF(ABS(F91-E91)&lt;=H91,"PASS","FAIL"),"FAIL")</f>
        <v>PASS</v>
      </c>
    </row>
    <row r="92" customFormat="false" ht="15" hidden="false" customHeight="false" outlineLevel="0" collapsed="false">
      <c r="B92" s="46" t="n">
        <v>84</v>
      </c>
      <c r="C92" s="9" t="s">
        <v>480</v>
      </c>
      <c r="D92" s="9" t="s">
        <v>486</v>
      </c>
      <c r="E92" s="20" t="n">
        <v>20700</v>
      </c>
      <c r="F92" s="42" t="n">
        <f aca="false">Portfolio!$C$15</f>
        <v>20700</v>
      </c>
      <c r="G92" s="52" t="n">
        <f aca="false">IF(ISNUMBER(F92),F92-E92,"n/a")</f>
        <v>0</v>
      </c>
      <c r="H92" s="53" t="n">
        <v>0.500000001</v>
      </c>
      <c r="I92" s="50" t="str">
        <f aca="false">IF(ISNUMBER(F92),IF(ABS(F92-E92)&lt;=H92,"PASS","FAIL"),"FAIL")</f>
        <v>PASS</v>
      </c>
    </row>
    <row r="93" customFormat="false" ht="15" hidden="false" customHeight="true" outlineLevel="0" collapsed="false">
      <c r="B93" s="46" t="n">
        <v>85</v>
      </c>
      <c r="C93" s="9" t="s">
        <v>480</v>
      </c>
      <c r="D93" s="47" t="s">
        <v>487</v>
      </c>
      <c r="E93" s="48" t="s">
        <v>404</v>
      </c>
      <c r="F93" s="49" t="str">
        <f aca="false">IF(Portfolio!$D$11=60,"holds","does not hold")</f>
        <v>holds</v>
      </c>
      <c r="G93" s="9"/>
      <c r="H93" s="9"/>
      <c r="I93" s="50" t="str">
        <f aca="false">IF(Portfolio!$D$11=60,"PASS","FAIL")</f>
        <v>PASS</v>
      </c>
    </row>
    <row r="94" customFormat="false" ht="15" hidden="false" customHeight="true" outlineLevel="0" collapsed="false">
      <c r="B94" s="46" t="n">
        <v>86</v>
      </c>
      <c r="C94" s="9" t="s">
        <v>480</v>
      </c>
      <c r="D94" s="47" t="s">
        <v>488</v>
      </c>
      <c r="E94" s="48" t="s">
        <v>404</v>
      </c>
      <c r="F94" s="49" t="str">
        <f aca="false">IF(Portfolio!$C$14&lt;=Inputs!$C$37,"holds","does not hold")</f>
        <v>holds</v>
      </c>
      <c r="G94" s="9"/>
      <c r="H94" s="9"/>
      <c r="I94" s="50" t="str">
        <f aca="false">IF(Portfolio!$C$14&lt;=Inputs!$C$37,"PASS","FAIL")</f>
        <v>PASS</v>
      </c>
    </row>
    <row r="95" customFormat="false" ht="15" hidden="false" customHeight="true" outlineLevel="0" collapsed="false">
      <c r="B95" s="46" t="n">
        <v>87</v>
      </c>
      <c r="C95" s="9" t="s">
        <v>480</v>
      </c>
      <c r="D95" s="47" t="s">
        <v>489</v>
      </c>
      <c r="E95" s="48" t="s">
        <v>404</v>
      </c>
      <c r="F95" s="49" t="str">
        <f aca="false">IF(ABS(Portfolio!$C$14-Variants!$G$7)&lt;0.000001,"holds","does not hold")</f>
        <v>holds</v>
      </c>
      <c r="G95" s="9"/>
      <c r="H95" s="9"/>
      <c r="I95" s="50" t="str">
        <f aca="false">IF(ABS(Portfolio!$C$14-Variants!$G$7)&lt;0.000001,"PASS","FAIL")</f>
        <v>PASS</v>
      </c>
    </row>
    <row r="96" customFormat="false" ht="15" hidden="false" customHeight="false" outlineLevel="0" collapsed="false">
      <c r="B96" s="46" t="n">
        <v>88</v>
      </c>
      <c r="C96" s="9" t="s">
        <v>480</v>
      </c>
      <c r="D96" s="9" t="s">
        <v>490</v>
      </c>
      <c r="E96" s="20" t="n">
        <v>72358</v>
      </c>
      <c r="F96" s="42" t="n">
        <f aca="false">Portfolio!$C$18</f>
        <v>72357.6611999999</v>
      </c>
      <c r="G96" s="52" t="n">
        <f aca="false">IF(ISNUMBER(F96),F96-E96,"n/a")</f>
        <v>-0.338800000055926</v>
      </c>
      <c r="H96" s="53" t="n">
        <v>0.500000001</v>
      </c>
      <c r="I96" s="50" t="str">
        <f aca="false">IF(ISNUMBER(F96),IF(ABS(F96-E96)&lt;=H96,"PASS","FAIL"),"FAIL")</f>
        <v>PASS</v>
      </c>
    </row>
    <row r="97" customFormat="false" ht="15" hidden="false" customHeight="false" outlineLevel="0" collapsed="false">
      <c r="B97" s="46" t="n">
        <v>89</v>
      </c>
      <c r="C97" s="9" t="s">
        <v>480</v>
      </c>
      <c r="D97" s="9" t="s">
        <v>330</v>
      </c>
      <c r="E97" s="20" t="n">
        <v>321668</v>
      </c>
      <c r="F97" s="42" t="n">
        <f aca="false">Portfolio!$C$19</f>
        <v>321668.04185</v>
      </c>
      <c r="G97" s="52" t="n">
        <f aca="false">IF(ISNUMBER(F97),F97-E97,"n/a")</f>
        <v>0.0418499999213964</v>
      </c>
      <c r="H97" s="53" t="n">
        <v>0.500000001</v>
      </c>
      <c r="I97" s="50" t="str">
        <f aca="false">IF(ISNUMBER(F97),IF(ABS(F97-E97)&lt;=H97,"PASS","FAIL"),"FAIL")</f>
        <v>PASS</v>
      </c>
    </row>
    <row r="98" customFormat="false" ht="15" hidden="false" customHeight="false" outlineLevel="0" collapsed="false">
      <c r="B98" s="46" t="n">
        <v>90</v>
      </c>
      <c r="C98" s="9" t="s">
        <v>480</v>
      </c>
      <c r="D98" s="9" t="s">
        <v>331</v>
      </c>
      <c r="E98" s="20" t="n">
        <v>20010</v>
      </c>
      <c r="F98" s="42" t="n">
        <f aca="false">Portfolio!$C$20</f>
        <v>20010.38065</v>
      </c>
      <c r="G98" s="52" t="n">
        <f aca="false">IF(ISNUMBER(F98),F98-E98,"n/a")</f>
        <v>0.380649999977322</v>
      </c>
      <c r="H98" s="53" t="n">
        <v>0.500000001</v>
      </c>
      <c r="I98" s="50" t="str">
        <f aca="false">IF(ISNUMBER(F98),IF(ABS(F98-E98)&lt;=H98,"PASS","FAIL"),"FAIL")</f>
        <v>PASS</v>
      </c>
    </row>
    <row r="99" customFormat="false" ht="15" hidden="false" customHeight="false" outlineLevel="0" collapsed="false">
      <c r="B99" s="46" t="n">
        <v>91</v>
      </c>
      <c r="C99" s="9" t="s">
        <v>480</v>
      </c>
      <c r="D99" s="9" t="s">
        <v>365</v>
      </c>
      <c r="E99" s="10" t="n">
        <v>0.0754</v>
      </c>
      <c r="F99" s="51" t="n">
        <f aca="false">Portfolio!$C$21</f>
        <v>0.0754191143018372</v>
      </c>
      <c r="G99" s="52" t="n">
        <f aca="false">IF(ISNUMBER(F99),F99-E99,"n/a")</f>
        <v>1.91143018372364E-005</v>
      </c>
      <c r="H99" s="53" t="n">
        <v>5.0001E-005</v>
      </c>
      <c r="I99" s="50" t="str">
        <f aca="false">IF(ISNUMBER(F99),IF(ABS(F99-E99)&lt;=H99,"PASS","FAIL"),"FAIL")</f>
        <v>PASS</v>
      </c>
    </row>
    <row r="100" customFormat="false" ht="15" hidden="false" customHeight="true" outlineLevel="0" collapsed="false">
      <c r="B100" s="46" t="n">
        <v>92</v>
      </c>
      <c r="C100" s="9" t="s">
        <v>480</v>
      </c>
      <c r="D100" s="47" t="s">
        <v>491</v>
      </c>
      <c r="E100" s="48" t="s">
        <v>404</v>
      </c>
      <c r="F100" s="49" t="str">
        <f aca="false">IF(AND(Portfolio!$C$21&lt;Inputs!$C$19,Portfolio!$C$21&gt;Inputs!$C$18),"holds","does not hold")</f>
        <v>holds</v>
      </c>
      <c r="G100" s="9"/>
      <c r="H100" s="9"/>
      <c r="I100" s="50" t="str">
        <f aca="false">IF(AND(Portfolio!$C$21&lt;Inputs!$C$19,Portfolio!$C$21&gt;Inputs!$C$18),"PASS","FAIL")</f>
        <v>PASS</v>
      </c>
    </row>
    <row r="101" customFormat="false" ht="15" hidden="false" customHeight="false" outlineLevel="0" collapsed="false">
      <c r="B101" s="46" t="n">
        <v>93</v>
      </c>
      <c r="C101" s="9" t="s">
        <v>480</v>
      </c>
      <c r="D101" s="9" t="s">
        <v>492</v>
      </c>
      <c r="E101" s="13" t="n">
        <v>0.077</v>
      </c>
      <c r="F101" s="40" t="n">
        <f aca="false">Portfolio!$C$24</f>
        <v>0.0766346621551932</v>
      </c>
      <c r="G101" s="52" t="n">
        <f aca="false">IF(ISNUMBER(F101),F101-E101,"n/a")</f>
        <v>-0.000365337844806787</v>
      </c>
      <c r="H101" s="53" t="n">
        <v>0.000500001</v>
      </c>
      <c r="I101" s="50" t="str">
        <f aca="false">IF(ISNUMBER(F101),IF(ABS(F101-E101)&lt;=H101,"PASS","FAIL"),"FAIL")</f>
        <v>PASS</v>
      </c>
    </row>
    <row r="102" customFormat="false" ht="15" hidden="false" customHeight="false" outlineLevel="0" collapsed="false">
      <c r="B102" s="46" t="n">
        <v>94</v>
      </c>
      <c r="C102" s="9" t="s">
        <v>480</v>
      </c>
      <c r="D102" s="9" t="s">
        <v>493</v>
      </c>
      <c r="E102" s="13" t="n">
        <v>0.091</v>
      </c>
      <c r="F102" s="40" t="n">
        <f aca="false">Portfolio!$C$25</f>
        <v>0.0908977543816594</v>
      </c>
      <c r="G102" s="52" t="n">
        <f aca="false">IF(ISNUMBER(F102),F102-E102,"n/a")</f>
        <v>-0.00010224561834063</v>
      </c>
      <c r="H102" s="53" t="n">
        <v>0.000500001</v>
      </c>
      <c r="I102" s="50" t="str">
        <f aca="false">IF(ISNUMBER(F102),IF(ABS(F102-E102)&lt;=H102,"PASS","FAIL"),"FAIL")</f>
        <v>PASS</v>
      </c>
    </row>
    <row r="103" customFormat="false" ht="15" hidden="false" customHeight="false" outlineLevel="0" collapsed="false">
      <c r="B103" s="46" t="n">
        <v>95</v>
      </c>
      <c r="C103" s="9" t="s">
        <v>480</v>
      </c>
      <c r="D103" s="9" t="s">
        <v>494</v>
      </c>
      <c r="E103" s="13" t="n">
        <v>0.102</v>
      </c>
      <c r="F103" s="40" t="n">
        <f aca="false">Portfolio!$C$26</f>
        <v>0.102146438751332</v>
      </c>
      <c r="G103" s="52" t="n">
        <f aca="false">IF(ISNUMBER(F103),F103-E103,"n/a")</f>
        <v>0.000146438751332231</v>
      </c>
      <c r="H103" s="53" t="n">
        <v>0.000500001</v>
      </c>
      <c r="I103" s="50" t="str">
        <f aca="false">IF(ISNUMBER(F103),IF(ABS(F103-E103)&lt;=H103,"PASS","FAIL"),"FAIL")</f>
        <v>PASS</v>
      </c>
    </row>
    <row r="104" customFormat="false" ht="15" hidden="false" customHeight="false" outlineLevel="0" collapsed="false">
      <c r="B104" s="46" t="n">
        <v>96</v>
      </c>
      <c r="C104" s="9" t="s">
        <v>480</v>
      </c>
      <c r="D104" s="9" t="s">
        <v>495</v>
      </c>
      <c r="E104" s="13" t="n">
        <v>0.058</v>
      </c>
      <c r="F104" s="40" t="n">
        <f aca="false">Portfolio!$C$27</f>
        <v>0.0579958014195281</v>
      </c>
      <c r="G104" s="52" t="n">
        <f aca="false">IF(ISNUMBER(F104),F104-E104,"n/a")</f>
        <v>-4.19858047191052E-006</v>
      </c>
      <c r="H104" s="53" t="n">
        <v>0.000500001</v>
      </c>
      <c r="I104" s="50" t="str">
        <f aca="false">IF(ISNUMBER(F104),IF(ABS(F104-E104)&lt;=H104,"PASS","FAIL"),"FAIL")</f>
        <v>PASS</v>
      </c>
    </row>
    <row r="105" customFormat="false" ht="15" hidden="false" customHeight="false" outlineLevel="0" collapsed="false">
      <c r="B105" s="46" t="n">
        <v>97</v>
      </c>
      <c r="C105" s="9" t="s">
        <v>480</v>
      </c>
      <c r="D105" s="9" t="s">
        <v>496</v>
      </c>
      <c r="E105" s="13" t="n">
        <v>-0.631</v>
      </c>
      <c r="F105" s="40" t="n">
        <f aca="false">Portfolio!$C$28</f>
        <v>-0.630847894979521</v>
      </c>
      <c r="G105" s="52" t="n">
        <f aca="false">IF(ISNUMBER(F105),F105-E105,"n/a")</f>
        <v>0.00015210502047891</v>
      </c>
      <c r="H105" s="53" t="n">
        <v>0.000500001</v>
      </c>
      <c r="I105" s="50" t="str">
        <f aca="false">IF(ISNUMBER(F105),IF(ABS(F105-E105)&lt;=H105,"PASS","FAIL"),"FAIL")</f>
        <v>PASS</v>
      </c>
    </row>
    <row r="106" customFormat="false" ht="15" hidden="false" customHeight="false" outlineLevel="0" collapsed="false">
      <c r="B106" s="46" t="n">
        <v>98</v>
      </c>
      <c r="C106" s="9" t="s">
        <v>480</v>
      </c>
      <c r="D106" s="9" t="s">
        <v>497</v>
      </c>
      <c r="E106" s="10" t="n">
        <v>0.0836</v>
      </c>
      <c r="F106" s="51" t="n">
        <f aca="false">Portfolio!$C$31</f>
        <v>0.0836134594614975</v>
      </c>
      <c r="G106" s="52" t="n">
        <f aca="false">IF(ISNUMBER(F106),F106-E106,"n/a")</f>
        <v>1.34594614974587E-005</v>
      </c>
      <c r="H106" s="53" t="n">
        <v>5.0001E-005</v>
      </c>
      <c r="I106" s="50" t="str">
        <f aca="false">IF(ISNUMBER(F106),IF(ABS(F106-E106)&lt;=H106,"PASS","FAIL"),"FAIL")</f>
        <v>PASS</v>
      </c>
    </row>
    <row r="107" customFormat="false" ht="15" hidden="false" customHeight="false" outlineLevel="0" collapsed="false">
      <c r="B107" s="46" t="n">
        <v>99</v>
      </c>
      <c r="C107" s="9" t="s">
        <v>480</v>
      </c>
      <c r="D107" s="9" t="s">
        <v>498</v>
      </c>
      <c r="E107" s="20" t="n">
        <v>22325</v>
      </c>
      <c r="F107" s="42" t="n">
        <f aca="false">Portfolio!$C$32</f>
        <v>22325.46065</v>
      </c>
      <c r="G107" s="52" t="n">
        <f aca="false">IF(ISNUMBER(F107),F107-E107,"n/a")</f>
        <v>0.460649999979069</v>
      </c>
      <c r="H107" s="53" t="n">
        <v>0.500000001</v>
      </c>
      <c r="I107" s="50" t="str">
        <f aca="false">IF(ISNUMBER(F107),IF(ABS(F107-E107)&lt;=H107,"PASS","FAIL"),"FAIL")</f>
        <v>PASS</v>
      </c>
    </row>
    <row r="108" customFormat="false" ht="15" hidden="false" customHeight="false" outlineLevel="0" collapsed="false">
      <c r="B108" s="46" t="n">
        <v>100</v>
      </c>
      <c r="C108" s="9" t="s">
        <v>480</v>
      </c>
      <c r="D108" s="9" t="s">
        <v>499</v>
      </c>
      <c r="E108" s="20" t="n">
        <v>2315</v>
      </c>
      <c r="F108" s="42" t="n">
        <f aca="false">Portfolio!$C$33</f>
        <v>2315.08</v>
      </c>
      <c r="G108" s="52" t="n">
        <f aca="false">IF(ISNUMBER(F108),F108-E108,"n/a")</f>
        <v>0.0800000000017462</v>
      </c>
      <c r="H108" s="53" t="n">
        <v>0.500000001</v>
      </c>
      <c r="I108" s="50" t="str">
        <f aca="false">IF(ISNUMBER(F108),IF(ABS(F108-E108)&lt;=H108,"PASS","FAIL"),"FAIL")</f>
        <v>PASS</v>
      </c>
    </row>
    <row r="109" customFormat="false" ht="15" hidden="false" customHeight="false" outlineLevel="0" collapsed="false">
      <c r="B109" s="46" t="n">
        <v>101</v>
      </c>
      <c r="C109" s="9" t="s">
        <v>480</v>
      </c>
      <c r="D109" s="9" t="s">
        <v>500</v>
      </c>
      <c r="E109" s="10" t="n">
        <v>0.0841</v>
      </c>
      <c r="F109" s="51" t="n">
        <f aca="false">Portfolio!$C$34</f>
        <v>0.084062088599755</v>
      </c>
      <c r="G109" s="52" t="n">
        <f aca="false">IF(ISNUMBER(F109),F109-E109,"n/a")</f>
        <v>-3.79114002450609E-005</v>
      </c>
      <c r="H109" s="53" t="n">
        <v>5.0001E-005</v>
      </c>
      <c r="I109" s="50" t="str">
        <f aca="false">IF(ISNUMBER(F109),IF(ABS(F109-E109)&lt;=H109,"PASS","FAIL"),"FAIL")</f>
        <v>PASS</v>
      </c>
    </row>
    <row r="110" customFormat="false" ht="15" hidden="false" customHeight="false" outlineLevel="0" collapsed="false">
      <c r="B110" s="46" t="n">
        <v>102</v>
      </c>
      <c r="C110" s="9" t="s">
        <v>480</v>
      </c>
      <c r="D110" s="9" t="s">
        <v>501</v>
      </c>
      <c r="E110" s="10" t="n">
        <v>0.0779</v>
      </c>
      <c r="F110" s="51" t="n">
        <f aca="false">Portfolio!$C$35</f>
        <v>0.0779350073071496</v>
      </c>
      <c r="G110" s="52" t="n">
        <f aca="false">IF(ISNUMBER(F110),F110-E110,"n/a")</f>
        <v>3.50073071496426E-005</v>
      </c>
      <c r="H110" s="53" t="n">
        <v>5.0001E-005</v>
      </c>
      <c r="I110" s="50" t="str">
        <f aca="false">IF(ISNUMBER(F110),IF(ABS(F110-E110)&lt;=H110,"PASS","FAIL"),"FAIL")</f>
        <v>PASS</v>
      </c>
    </row>
    <row r="111" customFormat="false" ht="15" hidden="false" customHeight="false" outlineLevel="0" collapsed="false">
      <c r="B111" s="46" t="n">
        <v>103</v>
      </c>
      <c r="C111" s="9" t="s">
        <v>480</v>
      </c>
      <c r="D111" s="9" t="s">
        <v>502</v>
      </c>
      <c r="E111" s="20" t="n">
        <v>2880388</v>
      </c>
      <c r="F111" s="42" t="n">
        <f aca="false">Portfolio!$C$43</f>
        <v>2880387.58045</v>
      </c>
      <c r="G111" s="52" t="n">
        <f aca="false">IF(ISNUMBER(F111),F111-E111,"n/a")</f>
        <v>-0.419549999758601</v>
      </c>
      <c r="H111" s="53" t="n">
        <v>0.500000001</v>
      </c>
      <c r="I111" s="50" t="str">
        <f aca="false">IF(ISNUMBER(F111),IF(ABS(F111-E111)&lt;=H111,"PASS","FAIL"),"FAIL")</f>
        <v>PASS</v>
      </c>
    </row>
    <row r="112" customFormat="false" ht="15" hidden="false" customHeight="false" outlineLevel="0" collapsed="false">
      <c r="B112" s="46" t="n">
        <v>104</v>
      </c>
      <c r="C112" s="9" t="s">
        <v>480</v>
      </c>
      <c r="D112" s="9" t="s">
        <v>503</v>
      </c>
      <c r="E112" s="54" t="n">
        <v>12.6</v>
      </c>
      <c r="F112" s="55" t="n">
        <f aca="false">Portfolio!$C$44</f>
        <v>12.5616553879198</v>
      </c>
      <c r="G112" s="52" t="n">
        <f aca="false">IF(ISNUMBER(F112),F112-E112,"n/a")</f>
        <v>-0.0383446120802429</v>
      </c>
      <c r="H112" s="53" t="n">
        <v>0.050000001</v>
      </c>
      <c r="I112" s="50" t="str">
        <f aca="false">IF(ISNUMBER(F112),IF(ABS(F112-E112)&lt;=H112,"PASS","FAIL"),"FAIL")</f>
        <v>PASS</v>
      </c>
    </row>
    <row r="113" customFormat="false" ht="15" hidden="false" customHeight="false" outlineLevel="0" collapsed="false">
      <c r="B113" s="46" t="n">
        <v>105</v>
      </c>
      <c r="C113" s="9" t="s">
        <v>480</v>
      </c>
      <c r="D113" s="9" t="s">
        <v>351</v>
      </c>
      <c r="E113" s="20" t="n">
        <v>229300</v>
      </c>
      <c r="F113" s="42" t="n">
        <f aca="false">Portfolio!$C$45</f>
        <v>229300</v>
      </c>
      <c r="G113" s="52" t="n">
        <f aca="false">IF(ISNUMBER(F113),F113-E113,"n/a")</f>
        <v>0</v>
      </c>
      <c r="H113" s="53" t="n">
        <v>0.500000001</v>
      </c>
      <c r="I113" s="50" t="str">
        <f aca="false">IF(ISNUMBER(F113),IF(ABS(F113-E113)&lt;=H113,"PASS","FAIL"),"FAIL")</f>
        <v>PASS</v>
      </c>
    </row>
    <row r="114" customFormat="false" ht="15" hidden="false" customHeight="true" outlineLevel="0" collapsed="false">
      <c r="B114" s="46" t="n">
        <v>106</v>
      </c>
      <c r="C114" s="9" t="s">
        <v>480</v>
      </c>
      <c r="D114" s="47" t="s">
        <v>504</v>
      </c>
      <c r="E114" s="48" t="s">
        <v>404</v>
      </c>
      <c r="F114" s="49" t="str">
        <f aca="false">IF(Portfolio!$C$45&lt;=Portfolio!$C$14+0.000001,"holds","does not hold")</f>
        <v>holds</v>
      </c>
      <c r="G114" s="9"/>
      <c r="H114" s="9"/>
      <c r="I114" s="50" t="str">
        <f aca="false">IF(Portfolio!$C$45&lt;=Portfolio!$C$14+0.000001,"PASS","FAIL")</f>
        <v>PASS</v>
      </c>
    </row>
    <row r="115" customFormat="false" ht="30" hidden="false" customHeight="true" outlineLevel="0" collapsed="false">
      <c r="B115" s="46" t="n">
        <v>107</v>
      </c>
      <c r="C115" s="9" t="s">
        <v>480</v>
      </c>
      <c r="D115" s="47" t="s">
        <v>505</v>
      </c>
      <c r="E115" s="48" t="s">
        <v>404</v>
      </c>
      <c r="F115" s="49" t="str">
        <f aca="false">IF(ABS(Portfolio!$C$20-Portfolio!AN40)&lt;0.000001,"holds","does not hold")</f>
        <v>holds</v>
      </c>
      <c r="G115" s="9"/>
      <c r="H115" s="9"/>
      <c r="I115" s="50" t="str">
        <f aca="false">IF(ABS(Portfolio!$C$20-Portfolio!AN40)&lt;0.000001,"PASS","FAIL")</f>
        <v>PASS</v>
      </c>
    </row>
    <row r="116" customFormat="false" ht="15" hidden="false" customHeight="false" outlineLevel="0" collapsed="false">
      <c r="B116" s="46" t="n">
        <v>108</v>
      </c>
      <c r="C116" s="9" t="s">
        <v>506</v>
      </c>
      <c r="D116" s="9" t="s">
        <v>507</v>
      </c>
      <c r="E116" s="20" t="n">
        <v>-229300</v>
      </c>
      <c r="F116" s="42" t="n">
        <f aca="false">Quarterly!$C$6</f>
        <v>-229300</v>
      </c>
      <c r="G116" s="52" t="n">
        <f aca="false">IF(ISNUMBER(F116),F116-E116,"n/a")</f>
        <v>0</v>
      </c>
      <c r="H116" s="53" t="n">
        <v>0.500000001</v>
      </c>
      <c r="I116" s="50" t="str">
        <f aca="false">IF(ISNUMBER(F116),IF(ABS(F116-E116)&lt;=H116,"PASS","FAIL"),"FAIL")</f>
        <v>PASS</v>
      </c>
    </row>
    <row r="117" customFormat="false" ht="15" hidden="false" customHeight="false" outlineLevel="0" collapsed="false">
      <c r="B117" s="46" t="n">
        <v>109</v>
      </c>
      <c r="C117" s="9" t="s">
        <v>506</v>
      </c>
      <c r="D117" s="9" t="s">
        <v>508</v>
      </c>
      <c r="E117" s="20" t="n">
        <v>-229300</v>
      </c>
      <c r="F117" s="42" t="n">
        <f aca="false">Quarterly!$D$6</f>
        <v>-229300</v>
      </c>
      <c r="G117" s="52" t="n">
        <f aca="false">IF(ISNUMBER(F117),F117-E117,"n/a")</f>
        <v>0</v>
      </c>
      <c r="H117" s="53" t="n">
        <v>0.500000001</v>
      </c>
      <c r="I117" s="50" t="str">
        <f aca="false">IF(ISNUMBER(F117),IF(ABS(F117-E117)&lt;=H117,"PASS","FAIL"),"FAIL")</f>
        <v>PASS</v>
      </c>
    </row>
    <row r="118" customFormat="false" ht="15" hidden="false" customHeight="false" outlineLevel="0" collapsed="false">
      <c r="B118" s="46" t="n">
        <v>110</v>
      </c>
      <c r="C118" s="9" t="s">
        <v>506</v>
      </c>
      <c r="D118" s="9" t="s">
        <v>509</v>
      </c>
      <c r="E118" s="20" t="n">
        <v>48923</v>
      </c>
      <c r="F118" s="42" t="n">
        <f aca="false">Quarterly!$C$7</f>
        <v>48923.028</v>
      </c>
      <c r="G118" s="52" t="n">
        <f aca="false">IF(ISNUMBER(F118),F118-E118,"n/a")</f>
        <v>0.0279999999984284</v>
      </c>
      <c r="H118" s="53" t="n">
        <v>0.500000001</v>
      </c>
      <c r="I118" s="50" t="str">
        <f aca="false">IF(ISNUMBER(F118),IF(ABS(F118-E118)&lt;=H118,"PASS","FAIL"),"FAIL")</f>
        <v>PASS</v>
      </c>
    </row>
    <row r="119" customFormat="false" ht="15" hidden="false" customHeight="false" outlineLevel="0" collapsed="false">
      <c r="B119" s="46" t="n">
        <v>111</v>
      </c>
      <c r="C119" s="9" t="s">
        <v>506</v>
      </c>
      <c r="D119" s="9" t="s">
        <v>510</v>
      </c>
      <c r="E119" s="20" t="n">
        <v>-180377</v>
      </c>
      <c r="F119" s="42" t="n">
        <f aca="false">Quarterly!$D$7</f>
        <v>-180376.972</v>
      </c>
      <c r="G119" s="52" t="n">
        <f aca="false">IF(ISNUMBER(F119),F119-E119,"n/a")</f>
        <v>0.0279999999911524</v>
      </c>
      <c r="H119" s="53" t="n">
        <v>0.500000001</v>
      </c>
      <c r="I119" s="50" t="str">
        <f aca="false">IF(ISNUMBER(F119),IF(ABS(F119-E119)&lt;=H119,"PASS","FAIL"),"FAIL")</f>
        <v>PASS</v>
      </c>
    </row>
    <row r="120" customFormat="false" ht="15" hidden="false" customHeight="false" outlineLevel="0" collapsed="false">
      <c r="B120" s="46" t="n">
        <v>112</v>
      </c>
      <c r="C120" s="9" t="s">
        <v>506</v>
      </c>
      <c r="D120" s="9" t="s">
        <v>511</v>
      </c>
      <c r="E120" s="20" t="n">
        <v>51152</v>
      </c>
      <c r="F120" s="42" t="n">
        <f aca="false">Quarterly!$C$8</f>
        <v>51151.982</v>
      </c>
      <c r="G120" s="52" t="n">
        <f aca="false">IF(ISNUMBER(F120),F120-E120,"n/a")</f>
        <v>-0.0179999999963911</v>
      </c>
      <c r="H120" s="53" t="n">
        <v>0.500000001</v>
      </c>
      <c r="I120" s="50" t="str">
        <f aca="false">IF(ISNUMBER(F120),IF(ABS(F120-E120)&lt;=H120,"PASS","FAIL"),"FAIL")</f>
        <v>PASS</v>
      </c>
    </row>
    <row r="121" customFormat="false" ht="15" hidden="false" customHeight="false" outlineLevel="0" collapsed="false">
      <c r="B121" s="46" t="n">
        <v>113</v>
      </c>
      <c r="C121" s="9" t="s">
        <v>506</v>
      </c>
      <c r="D121" s="9" t="s">
        <v>512</v>
      </c>
      <c r="E121" s="20" t="n">
        <v>-129225</v>
      </c>
      <c r="F121" s="42" t="n">
        <f aca="false">Quarterly!$D$8</f>
        <v>-129224.99</v>
      </c>
      <c r="G121" s="52" t="n">
        <f aca="false">IF(ISNUMBER(F121),F121-E121,"n/a")</f>
        <v>0.00999999999476131</v>
      </c>
      <c r="H121" s="53" t="n">
        <v>0.500000001</v>
      </c>
      <c r="I121" s="50" t="str">
        <f aca="false">IF(ISNUMBER(F121),IF(ABS(F121-E121)&lt;=H121,"PASS","FAIL"),"FAIL")</f>
        <v>PASS</v>
      </c>
    </row>
    <row r="122" customFormat="false" ht="15" hidden="false" customHeight="false" outlineLevel="0" collapsed="false">
      <c r="B122" s="46" t="n">
        <v>114</v>
      </c>
      <c r="C122" s="9" t="s">
        <v>506</v>
      </c>
      <c r="D122" s="9" t="s">
        <v>513</v>
      </c>
      <c r="E122" s="20" t="n">
        <v>34929</v>
      </c>
      <c r="F122" s="42" t="n">
        <f aca="false">Quarterly!$C$9</f>
        <v>34929.03025</v>
      </c>
      <c r="G122" s="52" t="n">
        <f aca="false">IF(ISNUMBER(F122),F122-E122,"n/a")</f>
        <v>0.0302500000034343</v>
      </c>
      <c r="H122" s="53" t="n">
        <v>0.500000001</v>
      </c>
      <c r="I122" s="50" t="str">
        <f aca="false">IF(ISNUMBER(F122),IF(ABS(F122-E122)&lt;=H122,"PASS","FAIL"),"FAIL")</f>
        <v>PASS</v>
      </c>
    </row>
    <row r="123" customFormat="false" ht="15" hidden="false" customHeight="false" outlineLevel="0" collapsed="false">
      <c r="B123" s="46" t="n">
        <v>115</v>
      </c>
      <c r="C123" s="9" t="s">
        <v>506</v>
      </c>
      <c r="D123" s="9" t="s">
        <v>514</v>
      </c>
      <c r="E123" s="20" t="n">
        <v>-94296</v>
      </c>
      <c r="F123" s="42" t="n">
        <f aca="false">Quarterly!$D$9</f>
        <v>-94295.95975</v>
      </c>
      <c r="G123" s="52" t="n">
        <f aca="false">IF(ISNUMBER(F123),F123-E123,"n/a")</f>
        <v>0.0402499999909196</v>
      </c>
      <c r="H123" s="53" t="n">
        <v>0.500000001</v>
      </c>
      <c r="I123" s="50" t="str">
        <f aca="false">IF(ISNUMBER(F123),IF(ABS(F123-E123)&lt;=H123,"PASS","FAIL"),"FAIL")</f>
        <v>PASS</v>
      </c>
    </row>
    <row r="124" customFormat="false" ht="15" hidden="false" customHeight="false" outlineLevel="0" collapsed="false">
      <c r="B124" s="46" t="n">
        <v>116</v>
      </c>
      <c r="C124" s="9" t="s">
        <v>506</v>
      </c>
      <c r="D124" s="9" t="s">
        <v>515</v>
      </c>
      <c r="E124" s="20" t="n">
        <v>-39150</v>
      </c>
      <c r="F124" s="42" t="n">
        <f aca="false">Quarterly!$C$10</f>
        <v>-39149.9096</v>
      </c>
      <c r="G124" s="52" t="n">
        <f aca="false">IF(ISNUMBER(F124),F124-E124,"n/a")</f>
        <v>0.0904000000082306</v>
      </c>
      <c r="H124" s="53" t="n">
        <v>0.500000001</v>
      </c>
      <c r="I124" s="50" t="str">
        <f aca="false">IF(ISNUMBER(F124),IF(ABS(F124-E124)&lt;=H124,"PASS","FAIL"),"FAIL")</f>
        <v>PASS</v>
      </c>
    </row>
    <row r="125" customFormat="false" ht="15" hidden="false" customHeight="false" outlineLevel="0" collapsed="false">
      <c r="B125" s="46" t="n">
        <v>117</v>
      </c>
      <c r="C125" s="9" t="s">
        <v>506</v>
      </c>
      <c r="D125" s="9" t="s">
        <v>516</v>
      </c>
      <c r="E125" s="20" t="n">
        <v>-133446</v>
      </c>
      <c r="F125" s="42" t="n">
        <f aca="false">Quarterly!$D$10</f>
        <v>-133445.86935</v>
      </c>
      <c r="G125" s="52" t="n">
        <f aca="false">IF(ISNUMBER(F125),F125-E125,"n/a")</f>
        <v>0.130650000006426</v>
      </c>
      <c r="H125" s="53" t="n">
        <v>0.500000001</v>
      </c>
      <c r="I125" s="50" t="str">
        <f aca="false">IF(ISNUMBER(F125),IF(ABS(F125-E125)&lt;=H125,"PASS","FAIL"),"FAIL")</f>
        <v>PASS</v>
      </c>
    </row>
    <row r="126" customFormat="false" ht="15" hidden="false" customHeight="false" outlineLevel="0" collapsed="false">
      <c r="B126" s="46" t="n">
        <v>118</v>
      </c>
      <c r="C126" s="9" t="s">
        <v>506</v>
      </c>
      <c r="D126" s="9" t="s">
        <v>517</v>
      </c>
      <c r="E126" s="20" t="n">
        <v>29006</v>
      </c>
      <c r="F126" s="42" t="n">
        <f aca="false">Quarterly!$C$11</f>
        <v>29005.6842833333</v>
      </c>
      <c r="G126" s="52" t="n">
        <f aca="false">IF(ISNUMBER(F126),F126-E126,"n/a")</f>
        <v>-0.315716666689696</v>
      </c>
      <c r="H126" s="53" t="n">
        <v>0.500000001</v>
      </c>
      <c r="I126" s="50" t="str">
        <f aca="false">IF(ISNUMBER(F126),IF(ABS(F126-E126)&lt;=H126,"PASS","FAIL"),"FAIL")</f>
        <v>PASS</v>
      </c>
    </row>
    <row r="127" customFormat="false" ht="15" hidden="false" customHeight="false" outlineLevel="0" collapsed="false">
      <c r="B127" s="46" t="n">
        <v>119</v>
      </c>
      <c r="C127" s="9" t="s">
        <v>506</v>
      </c>
      <c r="D127" s="9" t="s">
        <v>518</v>
      </c>
      <c r="E127" s="20" t="n">
        <v>-104440</v>
      </c>
      <c r="F127" s="42" t="n">
        <f aca="false">Quarterly!$D$11</f>
        <v>-104440.185066667</v>
      </c>
      <c r="G127" s="52" t="n">
        <f aca="false">IF(ISNUMBER(F127),F127-E127,"n/a")</f>
        <v>-0.185066666686907</v>
      </c>
      <c r="H127" s="53" t="n">
        <v>0.500000001</v>
      </c>
      <c r="I127" s="50" t="str">
        <f aca="false">IF(ISNUMBER(F127),IF(ABS(F127-E127)&lt;=H127,"PASS","FAIL"),"FAIL")</f>
        <v>PASS</v>
      </c>
    </row>
    <row r="128" customFormat="false" ht="15" hidden="false" customHeight="false" outlineLevel="0" collapsed="false">
      <c r="B128" s="46" t="n">
        <v>120</v>
      </c>
      <c r="C128" s="9" t="s">
        <v>506</v>
      </c>
      <c r="D128" s="9" t="s">
        <v>519</v>
      </c>
      <c r="E128" s="20" t="n">
        <v>31744</v>
      </c>
      <c r="F128" s="42" t="n">
        <f aca="false">Quarterly!$C$12</f>
        <v>31743.5874</v>
      </c>
      <c r="G128" s="52" t="n">
        <f aca="false">IF(ISNUMBER(F128),F128-E128,"n/a")</f>
        <v>-0.412599999974191</v>
      </c>
      <c r="H128" s="53" t="n">
        <v>0.500000001</v>
      </c>
      <c r="I128" s="50" t="str">
        <f aca="false">IF(ISNUMBER(F128),IF(ABS(F128-E128)&lt;=H128,"PASS","FAIL"),"FAIL")</f>
        <v>PASS</v>
      </c>
    </row>
    <row r="129" customFormat="false" ht="15" hidden="false" customHeight="false" outlineLevel="0" collapsed="false">
      <c r="B129" s="46" t="n">
        <v>121</v>
      </c>
      <c r="C129" s="9" t="s">
        <v>506</v>
      </c>
      <c r="D129" s="9" t="s">
        <v>520</v>
      </c>
      <c r="E129" s="20" t="n">
        <v>-72697</v>
      </c>
      <c r="F129" s="42" t="n">
        <f aca="false">Quarterly!$D$12</f>
        <v>-72696.5976666667</v>
      </c>
      <c r="G129" s="52" t="n">
        <f aca="false">IF(ISNUMBER(F129),F129-E129,"n/a")</f>
        <v>0.402333333331626</v>
      </c>
      <c r="H129" s="53" t="n">
        <v>0.500000001</v>
      </c>
      <c r="I129" s="50" t="str">
        <f aca="false">IF(ISNUMBER(F129),IF(ABS(F129-E129)&lt;=H129,"PASS","FAIL"),"FAIL")</f>
        <v>PASS</v>
      </c>
    </row>
    <row r="130" customFormat="false" ht="15" hidden="false" customHeight="false" outlineLevel="0" collapsed="false">
      <c r="B130" s="46" t="n">
        <v>122</v>
      </c>
      <c r="C130" s="9" t="s">
        <v>506</v>
      </c>
      <c r="D130" s="9" t="s">
        <v>521</v>
      </c>
      <c r="E130" s="20" t="n">
        <v>26355</v>
      </c>
      <c r="F130" s="42" t="n">
        <f aca="false">Quarterly!$C$13</f>
        <v>26354.5386833333</v>
      </c>
      <c r="G130" s="52" t="n">
        <f aca="false">IF(ISNUMBER(F130),F130-E130,"n/a")</f>
        <v>-0.461316666678613</v>
      </c>
      <c r="H130" s="53" t="n">
        <v>0.500000001</v>
      </c>
      <c r="I130" s="50" t="str">
        <f aca="false">IF(ISNUMBER(F130),IF(ABS(F130-E130)&lt;=H130,"PASS","FAIL"),"FAIL")</f>
        <v>PASS</v>
      </c>
    </row>
    <row r="131" customFormat="false" ht="15" hidden="false" customHeight="false" outlineLevel="0" collapsed="false">
      <c r="B131" s="46" t="n">
        <v>123</v>
      </c>
      <c r="C131" s="9" t="s">
        <v>506</v>
      </c>
      <c r="D131" s="9" t="s">
        <v>522</v>
      </c>
      <c r="E131" s="20" t="n">
        <v>-46342</v>
      </c>
      <c r="F131" s="42" t="n">
        <f aca="false">Quarterly!$D$13</f>
        <v>-46342.0589833334</v>
      </c>
      <c r="G131" s="52" t="n">
        <f aca="false">IF(ISNUMBER(F131),F131-E131,"n/a")</f>
        <v>-0.0589833333506249</v>
      </c>
      <c r="H131" s="53" t="n">
        <v>0.500000001</v>
      </c>
      <c r="I131" s="50" t="str">
        <f aca="false">IF(ISNUMBER(F131),IF(ABS(F131-E131)&lt;=H131,"PASS","FAIL"),"FAIL")</f>
        <v>PASS</v>
      </c>
    </row>
    <row r="132" customFormat="false" ht="15" hidden="false" customHeight="false" outlineLevel="0" collapsed="false">
      <c r="B132" s="46" t="n">
        <v>124</v>
      </c>
      <c r="C132" s="9" t="s">
        <v>506</v>
      </c>
      <c r="D132" s="9" t="s">
        <v>523</v>
      </c>
      <c r="E132" s="20" t="n">
        <v>607</v>
      </c>
      <c r="F132" s="42" t="n">
        <f aca="false">Quarterly!$C$14</f>
        <v>607.366500000028</v>
      </c>
      <c r="G132" s="52" t="n">
        <f aca="false">IF(ISNUMBER(F132),F132-E132,"n/a")</f>
        <v>0.366500000028282</v>
      </c>
      <c r="H132" s="53" t="n">
        <v>0.500000001</v>
      </c>
      <c r="I132" s="50" t="str">
        <f aca="false">IF(ISNUMBER(F132),IF(ABS(F132-E132)&lt;=H132,"PASS","FAIL"),"FAIL")</f>
        <v>PASS</v>
      </c>
    </row>
    <row r="133" customFormat="false" ht="15" hidden="false" customHeight="false" outlineLevel="0" collapsed="false">
      <c r="B133" s="46" t="n">
        <v>125</v>
      </c>
      <c r="C133" s="9" t="s">
        <v>506</v>
      </c>
      <c r="D133" s="9" t="s">
        <v>524</v>
      </c>
      <c r="E133" s="20" t="n">
        <v>-45735</v>
      </c>
      <c r="F133" s="42" t="n">
        <f aca="false">Quarterly!$D$14</f>
        <v>-45734.6924833333</v>
      </c>
      <c r="G133" s="52" t="n">
        <f aca="false">IF(ISNUMBER(F133),F133-E133,"n/a")</f>
        <v>0.307516666674928</v>
      </c>
      <c r="H133" s="53" t="n">
        <v>0.500000001</v>
      </c>
      <c r="I133" s="50" t="str">
        <f aca="false">IF(ISNUMBER(F133),IF(ABS(F133-E133)&lt;=H133,"PASS","FAIL"),"FAIL")</f>
        <v>PASS</v>
      </c>
    </row>
    <row r="134" customFormat="false" ht="15" hidden="false" customHeight="false" outlineLevel="0" collapsed="false">
      <c r="B134" s="46" t="n">
        <v>126</v>
      </c>
      <c r="C134" s="9" t="s">
        <v>506</v>
      </c>
      <c r="D134" s="9" t="s">
        <v>525</v>
      </c>
      <c r="E134" s="20" t="n">
        <v>8095</v>
      </c>
      <c r="F134" s="42" t="n">
        <f aca="false">Quarterly!$C$15</f>
        <v>8094.60833333331</v>
      </c>
      <c r="G134" s="52" t="n">
        <f aca="false">IF(ISNUMBER(F134),F134-E134,"n/a")</f>
        <v>-0.391666666694618</v>
      </c>
      <c r="H134" s="53" t="n">
        <v>0.500000001</v>
      </c>
      <c r="I134" s="50" t="str">
        <f aca="false">IF(ISNUMBER(F134),IF(ABS(F134-E134)&lt;=H134,"PASS","FAIL"),"FAIL")</f>
        <v>PASS</v>
      </c>
    </row>
    <row r="135" customFormat="false" ht="15" hidden="false" customHeight="false" outlineLevel="0" collapsed="false">
      <c r="B135" s="46" t="n">
        <v>127</v>
      </c>
      <c r="C135" s="9" t="s">
        <v>506</v>
      </c>
      <c r="D135" s="9" t="s">
        <v>526</v>
      </c>
      <c r="E135" s="20" t="n">
        <v>-37640</v>
      </c>
      <c r="F135" s="42" t="n">
        <f aca="false">Quarterly!$D$15</f>
        <v>-37640.08415</v>
      </c>
      <c r="G135" s="52" t="n">
        <f aca="false">IF(ISNUMBER(F135),F135-E135,"n/a")</f>
        <v>-0.0841500000169617</v>
      </c>
      <c r="H135" s="53" t="n">
        <v>0.500000001</v>
      </c>
      <c r="I135" s="50" t="str">
        <f aca="false">IF(ISNUMBER(F135),IF(ABS(F135-E135)&lt;=H135,"PASS","FAIL"),"FAIL")</f>
        <v>PASS</v>
      </c>
    </row>
    <row r="136" customFormat="false" ht="15" hidden="false" customHeight="false" outlineLevel="0" collapsed="false">
      <c r="B136" s="46" t="n">
        <v>128</v>
      </c>
      <c r="C136" s="9" t="s">
        <v>506</v>
      </c>
      <c r="D136" s="9" t="s">
        <v>527</v>
      </c>
      <c r="E136" s="20" t="n">
        <v>33082</v>
      </c>
      <c r="F136" s="42" t="n">
        <f aca="false">Quarterly!$C$16</f>
        <v>33082.125</v>
      </c>
      <c r="G136" s="52" t="n">
        <f aca="false">IF(ISNUMBER(F136),F136-E136,"n/a")</f>
        <v>0.124999999992724</v>
      </c>
      <c r="H136" s="53" t="n">
        <v>0.500000001</v>
      </c>
      <c r="I136" s="50" t="str">
        <f aca="false">IF(ISNUMBER(F136),IF(ABS(F136-E136)&lt;=H136,"PASS","FAIL"),"FAIL")</f>
        <v>PASS</v>
      </c>
    </row>
    <row r="137" customFormat="false" ht="15" hidden="false" customHeight="false" outlineLevel="0" collapsed="false">
      <c r="B137" s="46" t="n">
        <v>129</v>
      </c>
      <c r="C137" s="9" t="s">
        <v>506</v>
      </c>
      <c r="D137" s="9" t="s">
        <v>528</v>
      </c>
      <c r="E137" s="20" t="n">
        <v>-4558</v>
      </c>
      <c r="F137" s="42" t="n">
        <f aca="false">Quarterly!$D$16</f>
        <v>-4557.95915000002</v>
      </c>
      <c r="G137" s="52" t="n">
        <f aca="false">IF(ISNUMBER(F137),F137-E137,"n/a")</f>
        <v>0.0408499999757623</v>
      </c>
      <c r="H137" s="53" t="n">
        <v>0.500000001</v>
      </c>
      <c r="I137" s="50" t="str">
        <f aca="false">IF(ISNUMBER(F137),IF(ABS(F137-E137)&lt;=H137,"PASS","FAIL"),"FAIL")</f>
        <v>PASS</v>
      </c>
    </row>
    <row r="138" customFormat="false" ht="15" hidden="false" customHeight="false" outlineLevel="0" collapsed="false">
      <c r="B138" s="46" t="n">
        <v>130</v>
      </c>
      <c r="C138" s="9" t="s">
        <v>506</v>
      </c>
      <c r="D138" s="9" t="s">
        <v>529</v>
      </c>
      <c r="E138" s="20" t="n">
        <v>18974</v>
      </c>
      <c r="F138" s="42" t="n">
        <f aca="false">Quarterly!$C$17</f>
        <v>18973.8678</v>
      </c>
      <c r="G138" s="52" t="n">
        <f aca="false">IF(ISNUMBER(F138),F138-E138,"n/a")</f>
        <v>-0.132200000007288</v>
      </c>
      <c r="H138" s="53" t="n">
        <v>0.500000001</v>
      </c>
      <c r="I138" s="50" t="str">
        <f aca="false">IF(ISNUMBER(F138),IF(ABS(F138-E138)&lt;=H138,"PASS","FAIL"),"FAIL")</f>
        <v>PASS</v>
      </c>
    </row>
    <row r="139" customFormat="false" ht="15" hidden="false" customHeight="false" outlineLevel="0" collapsed="false">
      <c r="B139" s="46" t="n">
        <v>131</v>
      </c>
      <c r="C139" s="9" t="s">
        <v>506</v>
      </c>
      <c r="D139" s="9" t="s">
        <v>530</v>
      </c>
      <c r="E139" s="20" t="n">
        <v>14416</v>
      </c>
      <c r="F139" s="42" t="n">
        <f aca="false">Quarterly!$D$17</f>
        <v>14415.90865</v>
      </c>
      <c r="G139" s="52" t="n">
        <f aca="false">IF(ISNUMBER(F139),F139-E139,"n/a")</f>
        <v>-0.0913500000315253</v>
      </c>
      <c r="H139" s="53" t="n">
        <v>0.500000001</v>
      </c>
      <c r="I139" s="50" t="str">
        <f aca="false">IF(ISNUMBER(F139),IF(ABS(F139-E139)&lt;=H139,"PASS","FAIL"),"FAIL")</f>
        <v>PASS</v>
      </c>
    </row>
    <row r="140" customFormat="false" ht="15" hidden="false" customHeight="false" outlineLevel="0" collapsed="false">
      <c r="B140" s="46" t="n">
        <v>132</v>
      </c>
      <c r="C140" s="9" t="s">
        <v>506</v>
      </c>
      <c r="D140" s="9" t="s">
        <v>531</v>
      </c>
      <c r="E140" s="20" t="n">
        <v>5594</v>
      </c>
      <c r="F140" s="42" t="n">
        <f aca="false">Quarterly!$C$18</f>
        <v>5594.472</v>
      </c>
      <c r="G140" s="52" t="n">
        <f aca="false">IF(ISNUMBER(F140),F140-E140,"n/a")</f>
        <v>0.471999999998843</v>
      </c>
      <c r="H140" s="53" t="n">
        <v>0.500000001</v>
      </c>
      <c r="I140" s="50" t="str">
        <f aca="false">IF(ISNUMBER(F140),IF(ABS(F140-E140)&lt;=H140,"PASS","FAIL"),"FAIL")</f>
        <v>PASS</v>
      </c>
    </row>
    <row r="141" customFormat="false" ht="15" hidden="false" customHeight="false" outlineLevel="0" collapsed="false">
      <c r="B141" s="46" t="n">
        <v>133</v>
      </c>
      <c r="C141" s="9" t="s">
        <v>506</v>
      </c>
      <c r="D141" s="9" t="s">
        <v>532</v>
      </c>
      <c r="E141" s="20" t="n">
        <v>20010</v>
      </c>
      <c r="F141" s="42" t="n">
        <f aca="false">Quarterly!$D$18</f>
        <v>20010.38065</v>
      </c>
      <c r="G141" s="52" t="n">
        <f aca="false">IF(ISNUMBER(F141),F141-E141,"n/a")</f>
        <v>0.380649999966408</v>
      </c>
      <c r="H141" s="53" t="n">
        <v>0.500000001</v>
      </c>
      <c r="I141" s="50" t="str">
        <f aca="false">IF(ISNUMBER(F141),IF(ABS(F141-E141)&lt;=H141,"PASS","FAIL"),"FAIL")</f>
        <v>PASS</v>
      </c>
    </row>
    <row r="142" customFormat="false" ht="15" hidden="false" customHeight="true" outlineLevel="0" collapsed="false">
      <c r="B142" s="46" t="n">
        <v>134</v>
      </c>
      <c r="C142" s="9" t="s">
        <v>506</v>
      </c>
      <c r="D142" s="47" t="s">
        <v>533</v>
      </c>
      <c r="E142" s="48" t="s">
        <v>404</v>
      </c>
      <c r="F142" s="49" t="str">
        <f aca="false">IF(Quarterly!C10&lt;0,"holds","does not hold")</f>
        <v>holds</v>
      </c>
      <c r="G142" s="9"/>
      <c r="H142" s="9"/>
      <c r="I142" s="50" t="str">
        <f aca="false">IF(Quarterly!C10&lt;0,"PASS","FAIL")</f>
        <v>PASS</v>
      </c>
    </row>
    <row r="143" customFormat="false" ht="15" hidden="false" customHeight="true" outlineLevel="0" collapsed="false">
      <c r="B143" s="46" t="n">
        <v>135</v>
      </c>
      <c r="C143" s="9" t="s">
        <v>506</v>
      </c>
      <c r="D143" s="47" t="s">
        <v>534</v>
      </c>
      <c r="E143" s="48" t="s">
        <v>404</v>
      </c>
      <c r="F143" s="49" t="str">
        <f aca="false">IF(ABS(Quarterly!D18-Portfolio!$C$20)&lt;0.000001,"holds","does not hold")</f>
        <v>holds</v>
      </c>
      <c r="G143" s="9"/>
      <c r="H143" s="9"/>
      <c r="I143" s="50" t="str">
        <f aca="false">IF(ABS(Quarterly!D18-Portfolio!$C$20)&lt;0.000001,"PASS","FAIL")</f>
        <v>PASS</v>
      </c>
    </row>
    <row r="144" customFormat="false" ht="15" hidden="false" customHeight="false" outlineLevel="0" collapsed="false">
      <c r="B144" s="46" t="n">
        <v>136</v>
      </c>
      <c r="C144" s="9" t="s">
        <v>535</v>
      </c>
      <c r="D144" s="9" t="s">
        <v>536</v>
      </c>
      <c r="E144" s="20" t="n">
        <v>1610</v>
      </c>
      <c r="F144" s="42" t="n">
        <f aca="false">Lemons!$C$5</f>
        <v>1610</v>
      </c>
      <c r="G144" s="52" t="n">
        <f aca="false">IF(ISNUMBER(F144),F144-E144,"n/a")</f>
        <v>0</v>
      </c>
      <c r="H144" s="53" t="n">
        <v>0.500000001</v>
      </c>
      <c r="I144" s="50" t="str">
        <f aca="false">IF(ISNUMBER(F144),IF(ABS(F144-E144)&lt;=H144,"PASS","FAIL"),"FAIL")</f>
        <v>PASS</v>
      </c>
    </row>
    <row r="145" customFormat="false" ht="15" hidden="false" customHeight="false" outlineLevel="0" collapsed="false">
      <c r="B145" s="46" t="n">
        <v>137</v>
      </c>
      <c r="C145" s="9" t="s">
        <v>535</v>
      </c>
      <c r="D145" s="9" t="s">
        <v>537</v>
      </c>
      <c r="E145" s="13" t="n">
        <v>-0.631</v>
      </c>
      <c r="F145" s="40" t="n">
        <f aca="false">Lemons!$C$6</f>
        <v>-0.630847894979521</v>
      </c>
      <c r="G145" s="52" t="n">
        <f aca="false">IF(ISNUMBER(F145),F145-E145,"n/a")</f>
        <v>0.00015210502047891</v>
      </c>
      <c r="H145" s="53" t="n">
        <v>0.000500001</v>
      </c>
      <c r="I145" s="50" t="str">
        <f aca="false">IF(ISNUMBER(F145),IF(ABS(F145-E145)&lt;=H145,"PASS","FAIL"),"FAIL")</f>
        <v>PASS</v>
      </c>
    </row>
    <row r="146" customFormat="false" ht="15" hidden="false" customHeight="false" outlineLevel="0" collapsed="false">
      <c r="B146" s="46" t="n">
        <v>138</v>
      </c>
      <c r="C146" s="9" t="s">
        <v>535</v>
      </c>
      <c r="D146" s="9" t="s">
        <v>538</v>
      </c>
      <c r="E146" s="20" t="n">
        <v>200</v>
      </c>
      <c r="F146" s="42" t="n">
        <f aca="false">Lemons!$C$7</f>
        <v>200</v>
      </c>
      <c r="G146" s="52" t="n">
        <f aca="false">IF(ISNUMBER(F146),F146-E146,"n/a")</f>
        <v>0</v>
      </c>
      <c r="H146" s="53" t="n">
        <v>0.500000001</v>
      </c>
      <c r="I146" s="50" t="str">
        <f aca="false">IF(ISNUMBER(F146),IF(ABS(F146-E146)&lt;=H146,"PASS","FAIL"),"FAIL")</f>
        <v>PASS</v>
      </c>
    </row>
    <row r="147" customFormat="false" ht="15" hidden="false" customHeight="false" outlineLevel="0" collapsed="false">
      <c r="B147" s="46" t="n">
        <v>139</v>
      </c>
      <c r="C147" s="9" t="s">
        <v>535</v>
      </c>
      <c r="D147" s="9" t="s">
        <v>539</v>
      </c>
      <c r="E147" s="21" t="n">
        <v>8.05</v>
      </c>
      <c r="F147" s="56" t="n">
        <f aca="false">Lemons!$C$8</f>
        <v>8.05</v>
      </c>
      <c r="G147" s="52" t="n">
        <f aca="false">IF(ISNUMBER(F147),F147-E147,"n/a")</f>
        <v>0</v>
      </c>
      <c r="H147" s="53" t="n">
        <v>0.005000001</v>
      </c>
      <c r="I147" s="50" t="str">
        <f aca="false">IF(ISNUMBER(F147),IF(ABS(F147-E147)&lt;=H147,"PASS","FAIL"),"FAIL")</f>
        <v>PASS</v>
      </c>
    </row>
    <row r="148" customFormat="false" ht="15" hidden="false" customHeight="false" outlineLevel="0" collapsed="false">
      <c r="B148" s="46" t="n">
        <v>140</v>
      </c>
      <c r="C148" s="9" t="s">
        <v>535</v>
      </c>
      <c r="D148" s="9" t="s">
        <v>540</v>
      </c>
      <c r="E148" s="10" t="n">
        <v>0.0754</v>
      </c>
      <c r="F148" s="51" t="n">
        <f aca="false">Variants!$F$10</f>
        <v>0.0754191143018372</v>
      </c>
      <c r="G148" s="52" t="n">
        <f aca="false">IF(ISNUMBER(F148),F148-E148,"n/a")</f>
        <v>1.91143018372364E-005</v>
      </c>
      <c r="H148" s="53" t="n">
        <v>5.0001E-005</v>
      </c>
      <c r="I148" s="50" t="str">
        <f aca="false">IF(ISNUMBER(F148),IF(ABS(F148-E148)&lt;=H148,"PASS","FAIL"),"FAIL")</f>
        <v>PASS</v>
      </c>
    </row>
    <row r="149" customFormat="false" ht="15" hidden="false" customHeight="false" outlineLevel="0" collapsed="false">
      <c r="B149" s="46" t="n">
        <v>141</v>
      </c>
      <c r="C149" s="9" t="s">
        <v>535</v>
      </c>
      <c r="D149" s="9" t="s">
        <v>541</v>
      </c>
      <c r="E149" s="10" t="n">
        <v>0.0713</v>
      </c>
      <c r="F149" s="51" t="n">
        <f aca="false">Variants!$F$11</f>
        <v>0.0712864066542915</v>
      </c>
      <c r="G149" s="52" t="n">
        <f aca="false">IF(ISNUMBER(F149),F149-E149,"n/a")</f>
        <v>-1.3593345708468E-005</v>
      </c>
      <c r="H149" s="53" t="n">
        <v>5.0001E-005</v>
      </c>
      <c r="I149" s="50" t="str">
        <f aca="false">IF(ISNUMBER(F149),IF(ABS(F149-E149)&lt;=H149,"PASS","FAIL"),"FAIL")</f>
        <v>PASS</v>
      </c>
    </row>
    <row r="150" customFormat="false" ht="15" hidden="false" customHeight="false" outlineLevel="0" collapsed="false">
      <c r="B150" s="46" t="n">
        <v>142</v>
      </c>
      <c r="C150" s="9" t="s">
        <v>535</v>
      </c>
      <c r="D150" s="9" t="s">
        <v>542</v>
      </c>
      <c r="E150" s="10" t="n">
        <v>0.0671</v>
      </c>
      <c r="F150" s="51" t="n">
        <f aca="false">Variants!$F$12</f>
        <v>0.0671291990858212</v>
      </c>
      <c r="G150" s="52" t="n">
        <f aca="false">IF(ISNUMBER(F150),F150-E150,"n/a")</f>
        <v>2.91990858211633E-005</v>
      </c>
      <c r="H150" s="53" t="n">
        <v>5.0001E-005</v>
      </c>
      <c r="I150" s="50" t="str">
        <f aca="false">IF(ISNUMBER(F150),IF(ABS(F150-E150)&lt;=H150,"PASS","FAIL"),"FAIL")</f>
        <v>PASS</v>
      </c>
    </row>
    <row r="151" customFormat="false" ht="15" hidden="false" customHeight="false" outlineLevel="0" collapsed="false">
      <c r="B151" s="46" t="n">
        <v>143</v>
      </c>
      <c r="C151" s="9" t="s">
        <v>535</v>
      </c>
      <c r="D151" s="9" t="s">
        <v>543</v>
      </c>
      <c r="E151" s="10" t="n">
        <v>0.0629</v>
      </c>
      <c r="F151" s="51" t="n">
        <f aca="false">Variants!$F$13</f>
        <v>0.0629468558919348</v>
      </c>
      <c r="G151" s="52" t="n">
        <f aca="false">IF(ISNUMBER(F151),F151-E151,"n/a")</f>
        <v>4.685589193483E-005</v>
      </c>
      <c r="H151" s="53" t="n">
        <v>5.0001E-005</v>
      </c>
      <c r="I151" s="50" t="str">
        <f aca="false">IF(ISNUMBER(F151),IF(ABS(F151-E151)&lt;=H151,"PASS","FAIL"),"FAIL")</f>
        <v>PASS</v>
      </c>
    </row>
    <row r="152" customFormat="false" ht="15" hidden="false" customHeight="false" outlineLevel="0" collapsed="false">
      <c r="B152" s="46" t="n">
        <v>144</v>
      </c>
      <c r="C152" s="9" t="s">
        <v>535</v>
      </c>
      <c r="D152" s="9" t="s">
        <v>544</v>
      </c>
      <c r="E152" s="10" t="n">
        <v>0.0587</v>
      </c>
      <c r="F152" s="51" t="n">
        <f aca="false">Variants!$F$14</f>
        <v>0.0587387172878378</v>
      </c>
      <c r="G152" s="52" t="n">
        <f aca="false">IF(ISNUMBER(F152),F152-E152,"n/a")</f>
        <v>3.87172878377473E-005</v>
      </c>
      <c r="H152" s="53" t="n">
        <v>5.0001E-005</v>
      </c>
      <c r="I152" s="50" t="str">
        <f aca="false">IF(ISNUMBER(F152),IF(ABS(F152-E152)&lt;=H152,"PASS","FAIL"),"FAIL")</f>
        <v>PASS</v>
      </c>
    </row>
    <row r="153" customFormat="false" ht="15" hidden="false" customHeight="false" outlineLevel="0" collapsed="false">
      <c r="B153" s="46" t="n">
        <v>145</v>
      </c>
      <c r="C153" s="9" t="s">
        <v>535</v>
      </c>
      <c r="D153" s="9" t="s">
        <v>545</v>
      </c>
      <c r="E153" s="10" t="n">
        <v>0.0545</v>
      </c>
      <c r="F153" s="51" t="n">
        <f aca="false">Variants!$F$15</f>
        <v>0.0545040981100806</v>
      </c>
      <c r="G153" s="52" t="n">
        <f aca="false">IF(ISNUMBER(F153),F153-E153,"n/a")</f>
        <v>4.09811008061228E-006</v>
      </c>
      <c r="H153" s="53" t="n">
        <v>5.0001E-005</v>
      </c>
      <c r="I153" s="50" t="str">
        <f aca="false">IF(ISNUMBER(F153),IF(ABS(F153-E153)&lt;=H153,"PASS","FAIL"),"FAIL")</f>
        <v>PASS</v>
      </c>
    </row>
    <row r="154" customFormat="false" ht="15" hidden="false" customHeight="false" outlineLevel="0" collapsed="false">
      <c r="B154" s="46" t="n">
        <v>146</v>
      </c>
      <c r="C154" s="9" t="s">
        <v>535</v>
      </c>
      <c r="D154" s="9" t="s">
        <v>546</v>
      </c>
      <c r="E154" s="10" t="n">
        <v>0.0502</v>
      </c>
      <c r="F154" s="51" t="n">
        <f aca="false">Variants!$F$16</f>
        <v>0.050242286427288</v>
      </c>
      <c r="G154" s="52" t="n">
        <f aca="false">IF(ISNUMBER(F154),F154-E154,"n/a")</f>
        <v>4.228642728802E-005</v>
      </c>
      <c r="H154" s="53" t="n">
        <v>5.0001E-005</v>
      </c>
      <c r="I154" s="50" t="str">
        <f aca="false">IF(ISNUMBER(F154),IF(ABS(F154-E154)&lt;=H154,"PASS","FAIL"),"FAIL")</f>
        <v>PASS</v>
      </c>
    </row>
    <row r="155" customFormat="false" ht="15" hidden="false" customHeight="false" outlineLevel="0" collapsed="false">
      <c r="B155" s="46" t="n">
        <v>147</v>
      </c>
      <c r="C155" s="9" t="s">
        <v>535</v>
      </c>
      <c r="D155" s="9" t="s">
        <v>547</v>
      </c>
      <c r="E155" s="10" t="n">
        <v>0.046</v>
      </c>
      <c r="F155" s="51" t="n">
        <f aca="false">Variants!$F$17</f>
        <v>0.0459525420522138</v>
      </c>
      <c r="G155" s="52" t="n">
        <f aca="false">IF(ISNUMBER(F155),F155-E155,"n/a")</f>
        <v>-4.74579477862253E-005</v>
      </c>
      <c r="H155" s="53" t="n">
        <v>5.0001E-005</v>
      </c>
      <c r="I155" s="50" t="str">
        <f aca="false">IF(ISNUMBER(F155),IF(ABS(F155-E155)&lt;=H155,"PASS","FAIL"),"FAIL")</f>
        <v>PASS</v>
      </c>
    </row>
    <row r="156" customFormat="false" ht="15" hidden="false" customHeight="false" outlineLevel="0" collapsed="false">
      <c r="B156" s="46" t="n">
        <v>148</v>
      </c>
      <c r="C156" s="9" t="s">
        <v>535</v>
      </c>
      <c r="D156" s="9" t="s">
        <v>548</v>
      </c>
      <c r="E156" s="10" t="n">
        <v>0.0416</v>
      </c>
      <c r="F156" s="51" t="n">
        <f aca="false">Variants!$F$18</f>
        <v>0.0416340949463161</v>
      </c>
      <c r="G156" s="52" t="n">
        <f aca="false">IF(ISNUMBER(F156),F156-E156,"n/a")</f>
        <v>3.40949463160933E-005</v>
      </c>
      <c r="H156" s="53" t="n">
        <v>5.0001E-005</v>
      </c>
      <c r="I156" s="50" t="str">
        <f aca="false">IF(ISNUMBER(F156),IF(ABS(F156-E156)&lt;=H156,"PASS","FAIL"),"FAIL")</f>
        <v>PASS</v>
      </c>
    </row>
    <row r="157" customFormat="false" ht="15" hidden="false" customHeight="false" outlineLevel="0" collapsed="false">
      <c r="B157" s="46" t="n">
        <v>149</v>
      </c>
      <c r="C157" s="9" t="s">
        <v>535</v>
      </c>
      <c r="D157" s="9" t="s">
        <v>549</v>
      </c>
      <c r="E157" s="10" t="n">
        <v>0.0836</v>
      </c>
      <c r="F157" s="51" t="n">
        <f aca="false">Variants!$F$8</f>
        <v>0.0836134594614975</v>
      </c>
      <c r="G157" s="52" t="n">
        <f aca="false">IF(ISNUMBER(F157),F157-E157,"n/a")</f>
        <v>1.34594614974587E-005</v>
      </c>
      <c r="H157" s="53" t="n">
        <v>5.0001E-005</v>
      </c>
      <c r="I157" s="50" t="str">
        <f aca="false">IF(ISNUMBER(F157),IF(ABS(F157-E157)&lt;=H157,"PASS","FAIL"),"FAIL")</f>
        <v>PASS</v>
      </c>
    </row>
    <row r="158" customFormat="false" ht="15" hidden="false" customHeight="false" outlineLevel="0" collapsed="false">
      <c r="B158" s="46" t="n">
        <v>150</v>
      </c>
      <c r="C158" s="9" t="s">
        <v>535</v>
      </c>
      <c r="D158" s="9" t="s">
        <v>550</v>
      </c>
      <c r="E158" s="20" t="n">
        <v>11</v>
      </c>
      <c r="F158" s="42" t="n">
        <f aca="false">Lemons!$C$25</f>
        <v>11</v>
      </c>
      <c r="G158" s="52" t="n">
        <f aca="false">IF(ISNUMBER(F158),F158-E158,"n/a")</f>
        <v>0</v>
      </c>
      <c r="H158" s="53" t="n">
        <v>0.500000001</v>
      </c>
      <c r="I158" s="50" t="str">
        <f aca="false">IF(ISNUMBER(F158),IF(ABS(F158-E158)&lt;=H158,"PASS","FAIL"),"FAIL")</f>
        <v>PASS</v>
      </c>
    </row>
    <row r="159" customFormat="false" ht="15" hidden="false" customHeight="false" outlineLevel="0" collapsed="false">
      <c r="B159" s="46" t="n">
        <v>151</v>
      </c>
      <c r="C159" s="9" t="s">
        <v>535</v>
      </c>
      <c r="D159" s="9" t="s">
        <v>551</v>
      </c>
      <c r="E159" s="20" t="n">
        <v>6</v>
      </c>
      <c r="F159" s="42" t="n">
        <f aca="false">Lemons!$C$26</f>
        <v>6</v>
      </c>
      <c r="G159" s="52" t="n">
        <f aca="false">IF(ISNUMBER(F159),F159-E159,"n/a")</f>
        <v>0</v>
      </c>
      <c r="H159" s="53" t="n">
        <v>0.500000001</v>
      </c>
      <c r="I159" s="50" t="str">
        <f aca="false">IF(ISNUMBER(F159),IF(ABS(F159-E159)&lt;=H159,"PASS","FAIL"),"FAIL")</f>
        <v>PASS</v>
      </c>
    </row>
    <row r="160" customFormat="false" ht="15" hidden="false" customHeight="true" outlineLevel="0" collapsed="false">
      <c r="B160" s="46" t="n">
        <v>152</v>
      </c>
      <c r="C160" s="9" t="s">
        <v>535</v>
      </c>
      <c r="D160" s="47" t="s">
        <v>552</v>
      </c>
      <c r="E160" s="48" t="s">
        <v>404</v>
      </c>
      <c r="F160" s="49" t="str">
        <f aca="false">IF(SUMPRODUCT((Lemons!$C$12:$C$22&gt;=Lemons!$C$11:$C$21)*1)=0,"holds","does not hold")</f>
        <v>holds</v>
      </c>
      <c r="G160" s="9"/>
      <c r="H160" s="9"/>
      <c r="I160" s="50" t="str">
        <f aca="false">IF(SUMPRODUCT((Lemons!$C$12:$C$22&gt;=Lemons!$C$11:$C$21)*1)=0,"PASS","FAIL")</f>
        <v>PASS</v>
      </c>
    </row>
    <row r="161" customFormat="false" ht="30" hidden="false" customHeight="true" outlineLevel="0" collapsed="false">
      <c r="B161" s="46" t="n">
        <v>153</v>
      </c>
      <c r="C161" s="9" t="s">
        <v>535</v>
      </c>
      <c r="D161" s="47" t="s">
        <v>553</v>
      </c>
      <c r="E161" s="48" t="s">
        <v>404</v>
      </c>
      <c r="F161" s="49" t="str">
        <f aca="false">IF(Inputs!$D$42+Inputs!$D$43&gt;=11,"holds","does not hold")</f>
        <v>holds</v>
      </c>
      <c r="G161" s="9"/>
      <c r="H161" s="9"/>
      <c r="I161" s="50" t="str">
        <f aca="false">IF(Inputs!$D$42+Inputs!$D$43&gt;=11,"PASS","FAIL")</f>
        <v>PASS</v>
      </c>
    </row>
    <row r="162" customFormat="false" ht="15" hidden="false" customHeight="false" outlineLevel="0" collapsed="false">
      <c r="B162" s="46" t="n">
        <v>154</v>
      </c>
      <c r="C162" s="9" t="s">
        <v>554</v>
      </c>
      <c r="D162" s="9" t="s">
        <v>91</v>
      </c>
      <c r="E162" s="10" t="n">
        <v>0.0754</v>
      </c>
      <c r="F162" s="51" t="n">
        <f aca="false">Stress!$C$6</f>
        <v>0.0754191143018372</v>
      </c>
      <c r="G162" s="52" t="n">
        <f aca="false">IF(ISNUMBER(F162),F162-E162,"n/a")</f>
        <v>1.91143018372364E-005</v>
      </c>
      <c r="H162" s="53" t="n">
        <v>5.0001E-005</v>
      </c>
      <c r="I162" s="50" t="str">
        <f aca="false">IF(ISNUMBER(F162),IF(ABS(F162-E162)&lt;=H162,"PASS","FAIL"),"FAIL")</f>
        <v>PASS</v>
      </c>
    </row>
    <row r="163" customFormat="false" ht="15" hidden="false" customHeight="false" outlineLevel="0" collapsed="false">
      <c r="B163" s="46" t="n">
        <v>155</v>
      </c>
      <c r="C163" s="9" t="s">
        <v>554</v>
      </c>
      <c r="D163" s="9" t="s">
        <v>92</v>
      </c>
      <c r="E163" s="10" t="n">
        <v>0.0742</v>
      </c>
      <c r="F163" s="51" t="n">
        <f aca="false">Stress!$C$7</f>
        <v>0.0741822686463625</v>
      </c>
      <c r="G163" s="52" t="n">
        <f aca="false">IF(ISNUMBER(F163),F163-E163,"n/a")</f>
        <v>-1.77313536375429E-005</v>
      </c>
      <c r="H163" s="53" t="n">
        <v>5.0001E-005</v>
      </c>
      <c r="I163" s="50" t="str">
        <f aca="false">IF(ISNUMBER(F163),IF(ABS(F163-E163)&lt;=H163,"PASS","FAIL"),"FAIL")</f>
        <v>PASS</v>
      </c>
    </row>
    <row r="164" customFormat="false" ht="15" hidden="false" customHeight="false" outlineLevel="0" collapsed="false">
      <c r="B164" s="46" t="n">
        <v>156</v>
      </c>
      <c r="C164" s="9" t="s">
        <v>554</v>
      </c>
      <c r="D164" s="9" t="s">
        <v>372</v>
      </c>
      <c r="E164" s="10" t="n">
        <v>0.0621</v>
      </c>
      <c r="F164" s="51" t="n">
        <f aca="false">Stress!$C$8</f>
        <v>0.0621183078307246</v>
      </c>
      <c r="G164" s="52" t="n">
        <f aca="false">IF(ISNUMBER(F164),F164-E164,"n/a")</f>
        <v>1.83078307245815E-005</v>
      </c>
      <c r="H164" s="53" t="n">
        <v>5.0001E-005</v>
      </c>
      <c r="I164" s="50" t="str">
        <f aca="false">IF(ISNUMBER(F164),IF(ABS(F164-E164)&lt;=H164,"PASS","FAIL"),"FAIL")</f>
        <v>PASS</v>
      </c>
    </row>
    <row r="165" customFormat="false" ht="15" hidden="false" customHeight="false" outlineLevel="0" collapsed="false">
      <c r="B165" s="46" t="n">
        <v>157</v>
      </c>
      <c r="C165" s="9" t="s">
        <v>554</v>
      </c>
      <c r="D165" s="9" t="s">
        <v>373</v>
      </c>
      <c r="E165" s="10" t="n">
        <v>0.0629</v>
      </c>
      <c r="F165" s="51" t="n">
        <f aca="false">Stress!$C$9</f>
        <v>0.0629468558919348</v>
      </c>
      <c r="G165" s="52" t="n">
        <f aca="false">IF(ISNUMBER(F165),F165-E165,"n/a")</f>
        <v>4.685589193483E-005</v>
      </c>
      <c r="H165" s="53" t="n">
        <v>5.0001E-005</v>
      </c>
      <c r="I165" s="50" t="str">
        <f aca="false">IF(ISNUMBER(F165),IF(ABS(F165-E165)&lt;=H165,"PASS","FAIL"),"FAIL")</f>
        <v>PASS</v>
      </c>
    </row>
    <row r="166" customFormat="false" ht="15" hidden="false" customHeight="false" outlineLevel="0" collapsed="false">
      <c r="B166" s="46" t="n">
        <v>158</v>
      </c>
      <c r="C166" s="9" t="s">
        <v>554</v>
      </c>
      <c r="D166" s="9" t="s">
        <v>94</v>
      </c>
      <c r="E166" s="10" t="n">
        <v>0.0631</v>
      </c>
      <c r="F166" s="51" t="n">
        <f aca="false">Stress!$C$10</f>
        <v>0.0631479622774989</v>
      </c>
      <c r="G166" s="52" t="n">
        <f aca="false">IF(ISNUMBER(F166),F166-E166,"n/a")</f>
        <v>4.79622774988697E-005</v>
      </c>
      <c r="H166" s="53" t="n">
        <v>5.0001E-005</v>
      </c>
      <c r="I166" s="50" t="str">
        <f aca="false">IF(ISNUMBER(F166),IF(ABS(F166-E166)&lt;=H166,"PASS","FAIL"),"FAIL")</f>
        <v>PASS</v>
      </c>
    </row>
    <row r="167" customFormat="false" ht="15" hidden="false" customHeight="false" outlineLevel="0" collapsed="false">
      <c r="B167" s="46" t="n">
        <v>159</v>
      </c>
      <c r="C167" s="9" t="s">
        <v>554</v>
      </c>
      <c r="D167" s="9" t="s">
        <v>95</v>
      </c>
      <c r="E167" s="10" t="n">
        <v>0.0413</v>
      </c>
      <c r="F167" s="51" t="n">
        <f aca="false">Stress!$C$11</f>
        <v>0.0413204332320818</v>
      </c>
      <c r="G167" s="52" t="n">
        <f aca="false">IF(ISNUMBER(F167),F167-E167,"n/a")</f>
        <v>2.04332320817846E-005</v>
      </c>
      <c r="H167" s="53" t="n">
        <v>5.0001E-005</v>
      </c>
      <c r="I167" s="50" t="str">
        <f aca="false">IF(ISNUMBER(F167),IF(ABS(F167-E167)&lt;=H167,"PASS","FAIL"),"FAIL")</f>
        <v>PASS</v>
      </c>
    </row>
    <row r="168" customFormat="false" ht="15" hidden="false" customHeight="false" outlineLevel="0" collapsed="false">
      <c r="B168" s="46" t="n">
        <v>160</v>
      </c>
      <c r="C168" s="9" t="s">
        <v>554</v>
      </c>
      <c r="D168" s="9" t="s">
        <v>96</v>
      </c>
      <c r="E168" s="10" t="n">
        <v>0.0081</v>
      </c>
      <c r="F168" s="51" t="n">
        <f aca="false">Stress!$C$12</f>
        <v>0.00812497475482599</v>
      </c>
      <c r="G168" s="52" t="n">
        <f aca="false">IF(ISNUMBER(F168),F168-E168,"n/a")</f>
        <v>2.49747548259852E-005</v>
      </c>
      <c r="H168" s="53" t="n">
        <v>5.0001E-005</v>
      </c>
      <c r="I168" s="50" t="str">
        <f aca="false">IF(ISNUMBER(F168),IF(ABS(F168-E168)&lt;=H168,"PASS","FAIL"),"FAIL")</f>
        <v>PASS</v>
      </c>
    </row>
    <row r="169" customFormat="false" ht="15" hidden="false" customHeight="false" outlineLevel="0" collapsed="false">
      <c r="B169" s="46" t="n">
        <v>161</v>
      </c>
      <c r="C169" s="9" t="s">
        <v>554</v>
      </c>
      <c r="D169" s="9" t="s">
        <v>374</v>
      </c>
      <c r="E169" s="10" t="n">
        <v>0.0393</v>
      </c>
      <c r="F169" s="51" t="n">
        <f aca="false">Stress!$C$13</f>
        <v>0.0393441343913792</v>
      </c>
      <c r="G169" s="52" t="n">
        <f aca="false">IF(ISNUMBER(F169),F169-E169,"n/a")</f>
        <v>4.41343913791803E-005</v>
      </c>
      <c r="H169" s="53" t="n">
        <v>5.0001E-005</v>
      </c>
      <c r="I169" s="50" t="str">
        <f aca="false">IF(ISNUMBER(F169),IF(ABS(F169-E169)&lt;=H169,"PASS","FAIL"),"FAIL")</f>
        <v>PASS</v>
      </c>
    </row>
    <row r="170" customFormat="false" ht="15" hidden="false" customHeight="false" outlineLevel="0" collapsed="false">
      <c r="B170" s="46" t="n">
        <v>162</v>
      </c>
      <c r="C170" s="9" t="s">
        <v>554</v>
      </c>
      <c r="D170" s="9" t="s">
        <v>555</v>
      </c>
      <c r="E170" s="13" t="n">
        <v>0.07</v>
      </c>
      <c r="F170" s="40" t="n">
        <f aca="false">Stress!$D$17</f>
        <v>0.0695259055105764</v>
      </c>
      <c r="G170" s="52" t="n">
        <f aca="false">IF(ISNUMBER(F170),F170-E170,"n/a")</f>
        <v>-0.000474094489423649</v>
      </c>
      <c r="H170" s="53" t="n">
        <v>0.000500001</v>
      </c>
      <c r="I170" s="50" t="str">
        <f aca="false">IF(ISNUMBER(F170),IF(ABS(F170-E170)&lt;=H170,"PASS","FAIL"),"FAIL")</f>
        <v>PASS</v>
      </c>
    </row>
    <row r="171" customFormat="false" ht="15" hidden="false" customHeight="false" outlineLevel="0" collapsed="false">
      <c r="B171" s="46" t="n">
        <v>163</v>
      </c>
      <c r="C171" s="9" t="s">
        <v>554</v>
      </c>
      <c r="D171" s="9" t="s">
        <v>556</v>
      </c>
      <c r="E171" s="13" t="n">
        <v>0.088</v>
      </c>
      <c r="F171" s="40" t="n">
        <f aca="false">Stress!$D$18</f>
        <v>0.0876443576469312</v>
      </c>
      <c r="G171" s="52" t="n">
        <f aca="false">IF(ISNUMBER(F171),F171-E171,"n/a")</f>
        <v>-0.000355642353068772</v>
      </c>
      <c r="H171" s="53" t="n">
        <v>0.000500001</v>
      </c>
      <c r="I171" s="50" t="str">
        <f aca="false">IF(ISNUMBER(F171),IF(ABS(F171-E171)&lt;=H171,"PASS","FAIL"),"FAIL")</f>
        <v>PASS</v>
      </c>
    </row>
    <row r="172" customFormat="false" ht="15" hidden="false" customHeight="false" outlineLevel="0" collapsed="false">
      <c r="B172" s="46" t="n">
        <v>164</v>
      </c>
      <c r="C172" s="9" t="s">
        <v>554</v>
      </c>
      <c r="D172" s="9" t="s">
        <v>557</v>
      </c>
      <c r="E172" s="13" t="n">
        <v>0.066</v>
      </c>
      <c r="F172" s="40" t="n">
        <f aca="false">Stress!$D$19</f>
        <v>0.0656368947671109</v>
      </c>
      <c r="G172" s="52" t="n">
        <f aca="false">IF(ISNUMBER(F172),F172-E172,"n/a")</f>
        <v>-0.000363105232889127</v>
      </c>
      <c r="H172" s="53" t="n">
        <v>0.000500001</v>
      </c>
      <c r="I172" s="50" t="str">
        <f aca="false">IF(ISNUMBER(F172),IF(ABS(F172-E172)&lt;=H172,"PASS","FAIL"),"FAIL")</f>
        <v>PASS</v>
      </c>
    </row>
    <row r="173" customFormat="false" ht="15" hidden="false" customHeight="false" outlineLevel="0" collapsed="false">
      <c r="B173" s="46" t="n">
        <v>165</v>
      </c>
      <c r="C173" s="9" t="s">
        <v>554</v>
      </c>
      <c r="D173" s="9" t="s">
        <v>558</v>
      </c>
      <c r="E173" s="13" t="n">
        <v>0.935</v>
      </c>
      <c r="F173" s="40" t="n">
        <f aca="false">Stress!$C$22</f>
        <v>0.935</v>
      </c>
      <c r="G173" s="52" t="n">
        <f aca="false">IF(ISNUMBER(F173),F173-E173,"n/a")</f>
        <v>0</v>
      </c>
      <c r="H173" s="53" t="n">
        <v>0.000500001</v>
      </c>
      <c r="I173" s="50" t="str">
        <f aca="false">IF(ISNUMBER(F173),IF(ABS(F173-E173)&lt;=H173,"PASS","FAIL"),"FAIL")</f>
        <v>PASS</v>
      </c>
    </row>
    <row r="174" customFormat="false" ht="15" hidden="false" customHeight="false" outlineLevel="0" collapsed="false">
      <c r="B174" s="46" t="n">
        <v>166</v>
      </c>
      <c r="C174" s="9" t="s">
        <v>554</v>
      </c>
      <c r="D174" s="9" t="s">
        <v>559</v>
      </c>
      <c r="E174" s="18" t="n">
        <v>0.88</v>
      </c>
      <c r="F174" s="26" t="n">
        <f aca="false">Stress!$C$23</f>
        <v>0.88</v>
      </c>
      <c r="G174" s="52" t="n">
        <f aca="false">IF(ISNUMBER(F174),F174-E174,"n/a")</f>
        <v>0</v>
      </c>
      <c r="H174" s="53" t="n">
        <v>0.005000001</v>
      </c>
      <c r="I174" s="50" t="str">
        <f aca="false">IF(ISNUMBER(F174),IF(ABS(F174-E174)&lt;=H174,"PASS","FAIL"),"FAIL")</f>
        <v>PASS</v>
      </c>
    </row>
    <row r="175" customFormat="false" ht="15" hidden="false" customHeight="false" outlineLevel="0" collapsed="false">
      <c r="B175" s="46" t="n">
        <v>167</v>
      </c>
      <c r="C175" s="9" t="s">
        <v>554</v>
      </c>
      <c r="D175" s="9" t="s">
        <v>560</v>
      </c>
      <c r="E175" s="18" t="n">
        <v>0.85</v>
      </c>
      <c r="F175" s="26" t="n">
        <f aca="false">Stress!$C$24</f>
        <v>0.85</v>
      </c>
      <c r="G175" s="52" t="n">
        <f aca="false">IF(ISNUMBER(F175),F175-E175,"n/a")</f>
        <v>0</v>
      </c>
      <c r="H175" s="53" t="n">
        <v>0.005000001</v>
      </c>
      <c r="I175" s="50" t="str">
        <f aca="false">IF(ISNUMBER(F175),IF(ABS(F175-E175)&lt;=H175,"PASS","FAIL"),"FAIL")</f>
        <v>PASS</v>
      </c>
    </row>
    <row r="176" customFormat="false" ht="15" hidden="false" customHeight="false" outlineLevel="0" collapsed="false">
      <c r="B176" s="46" t="n">
        <v>168</v>
      </c>
      <c r="C176" s="9" t="s">
        <v>554</v>
      </c>
      <c r="D176" s="9" t="s">
        <v>561</v>
      </c>
      <c r="E176" s="18" t="n">
        <v>0.75</v>
      </c>
      <c r="F176" s="26" t="n">
        <f aca="false">Stress!$C$25</f>
        <v>0.75</v>
      </c>
      <c r="G176" s="52" t="n">
        <f aca="false">IF(ISNUMBER(F176),F176-E176,"n/a")</f>
        <v>0</v>
      </c>
      <c r="H176" s="53" t="n">
        <v>0.005000001</v>
      </c>
      <c r="I176" s="50" t="str">
        <f aca="false">IF(ISNUMBER(F176),IF(ABS(F176-E176)&lt;=H176,"PASS","FAIL"),"FAIL")</f>
        <v>PASS</v>
      </c>
    </row>
    <row r="177" customFormat="false" ht="15" hidden="false" customHeight="false" outlineLevel="0" collapsed="false">
      <c r="B177" s="46" t="n">
        <v>169</v>
      </c>
      <c r="C177" s="9" t="s">
        <v>554</v>
      </c>
      <c r="D177" s="9" t="s">
        <v>562</v>
      </c>
      <c r="E177" s="10" t="n">
        <v>0.0754</v>
      </c>
      <c r="F177" s="51" t="n">
        <f aca="false">Stress!$C$29</f>
        <v>0.0754191143018372</v>
      </c>
      <c r="G177" s="52" t="n">
        <f aca="false">IF(ISNUMBER(F177),F177-E177,"n/a")</f>
        <v>1.91143018372364E-005</v>
      </c>
      <c r="H177" s="53" t="n">
        <v>5.0001E-005</v>
      </c>
      <c r="I177" s="50" t="str">
        <f aca="false">IF(ISNUMBER(F177),IF(ABS(F177-E177)&lt;=H177,"PASS","FAIL"),"FAIL")</f>
        <v>PASS</v>
      </c>
    </row>
    <row r="178" customFormat="false" ht="15" hidden="false" customHeight="false" outlineLevel="0" collapsed="false">
      <c r="B178" s="46" t="n">
        <v>170</v>
      </c>
      <c r="C178" s="9" t="s">
        <v>554</v>
      </c>
      <c r="D178" s="9" t="s">
        <v>563</v>
      </c>
      <c r="E178" s="10" t="n">
        <v>0.0671</v>
      </c>
      <c r="F178" s="51" t="n">
        <f aca="false">Stress!$D$29</f>
        <v>0.0671291990858212</v>
      </c>
      <c r="G178" s="52" t="n">
        <f aca="false">IF(ISNUMBER(F178),F178-E178,"n/a")</f>
        <v>2.91990858211633E-005</v>
      </c>
      <c r="H178" s="53" t="n">
        <v>5.0001E-005</v>
      </c>
      <c r="I178" s="50" t="str">
        <f aca="false">IF(ISNUMBER(F178),IF(ABS(F178-E178)&lt;=H178,"PASS","FAIL"),"FAIL")</f>
        <v>PASS</v>
      </c>
    </row>
    <row r="179" customFormat="false" ht="15" hidden="false" customHeight="false" outlineLevel="0" collapsed="false">
      <c r="B179" s="46" t="n">
        <v>171</v>
      </c>
      <c r="C179" s="9" t="s">
        <v>554</v>
      </c>
      <c r="D179" s="9" t="s">
        <v>564</v>
      </c>
      <c r="E179" s="10" t="n">
        <v>0.0587</v>
      </c>
      <c r="F179" s="51" t="n">
        <f aca="false">Stress!$E$29</f>
        <v>0.0587387172878378</v>
      </c>
      <c r="G179" s="52" t="n">
        <f aca="false">IF(ISNUMBER(F179),F179-E179,"n/a")</f>
        <v>3.87172878377473E-005</v>
      </c>
      <c r="H179" s="53" t="n">
        <v>5.0001E-005</v>
      </c>
      <c r="I179" s="50" t="str">
        <f aca="false">IF(ISNUMBER(F179),IF(ABS(F179-E179)&lt;=H179,"PASS","FAIL"),"FAIL")</f>
        <v>PASS</v>
      </c>
    </row>
    <row r="180" customFormat="false" ht="15" hidden="false" customHeight="false" outlineLevel="0" collapsed="false">
      <c r="B180" s="46" t="n">
        <v>172</v>
      </c>
      <c r="C180" s="9" t="s">
        <v>554</v>
      </c>
      <c r="D180" s="9" t="s">
        <v>565</v>
      </c>
      <c r="E180" s="10" t="n">
        <v>0.0502</v>
      </c>
      <c r="F180" s="51" t="n">
        <f aca="false">Stress!$F$29</f>
        <v>0.050242286427288</v>
      </c>
      <c r="G180" s="52" t="n">
        <f aca="false">IF(ISNUMBER(F180),F180-E180,"n/a")</f>
        <v>4.228642728802E-005</v>
      </c>
      <c r="H180" s="53" t="n">
        <v>5.0001E-005</v>
      </c>
      <c r="I180" s="50" t="str">
        <f aca="false">IF(ISNUMBER(F180),IF(ABS(F180-E180)&lt;=H180,"PASS","FAIL"),"FAIL")</f>
        <v>PASS</v>
      </c>
    </row>
    <row r="181" customFormat="false" ht="15" hidden="false" customHeight="false" outlineLevel="0" collapsed="false">
      <c r="B181" s="46" t="n">
        <v>173</v>
      </c>
      <c r="C181" s="9" t="s">
        <v>554</v>
      </c>
      <c r="D181" s="9" t="s">
        <v>566</v>
      </c>
      <c r="E181" s="10" t="n">
        <v>0.0631</v>
      </c>
      <c r="F181" s="51" t="n">
        <f aca="false">Stress!$C$30</f>
        <v>0.0631479622774989</v>
      </c>
      <c r="G181" s="52" t="n">
        <f aca="false">IF(ISNUMBER(F181),F181-E181,"n/a")</f>
        <v>4.79622774988697E-005</v>
      </c>
      <c r="H181" s="53" t="n">
        <v>5.0001E-005</v>
      </c>
      <c r="I181" s="50" t="str">
        <f aca="false">IF(ISNUMBER(F181),IF(ABS(F181-E181)&lt;=H181,"PASS","FAIL"),"FAIL")</f>
        <v>PASS</v>
      </c>
    </row>
    <row r="182" customFormat="false" ht="15" hidden="false" customHeight="false" outlineLevel="0" collapsed="false">
      <c r="B182" s="46" t="n">
        <v>174</v>
      </c>
      <c r="C182" s="9" t="s">
        <v>554</v>
      </c>
      <c r="D182" s="9" t="s">
        <v>567</v>
      </c>
      <c r="E182" s="10" t="n">
        <v>0.0568</v>
      </c>
      <c r="F182" s="51" t="n">
        <f aca="false">Stress!$D$30</f>
        <v>0.0567537282143991</v>
      </c>
      <c r="G182" s="52" t="n">
        <f aca="false">IF(ISNUMBER(F182),F182-E182,"n/a")</f>
        <v>-4.62717856009459E-005</v>
      </c>
      <c r="H182" s="53" t="n">
        <v>5.0001E-005</v>
      </c>
      <c r="I182" s="50" t="str">
        <f aca="false">IF(ISNUMBER(F182),IF(ABS(F182-E182)&lt;=H182,"PASS","FAIL"),"FAIL")</f>
        <v>PASS</v>
      </c>
    </row>
    <row r="183" customFormat="false" ht="15" hidden="false" customHeight="false" outlineLevel="0" collapsed="false">
      <c r="B183" s="46" t="n">
        <v>175</v>
      </c>
      <c r="C183" s="9" t="s">
        <v>554</v>
      </c>
      <c r="D183" s="9" t="s">
        <v>568</v>
      </c>
      <c r="E183" s="10" t="n">
        <v>0.0503</v>
      </c>
      <c r="F183" s="51" t="n">
        <f aca="false">Stress!$E$30</f>
        <v>0.0502806475724755</v>
      </c>
      <c r="G183" s="52" t="n">
        <f aca="false">IF(ISNUMBER(F183),F183-E183,"n/a")</f>
        <v>-1.93524275244744E-005</v>
      </c>
      <c r="H183" s="53" t="n">
        <v>5.0001E-005</v>
      </c>
      <c r="I183" s="50" t="str">
        <f aca="false">IF(ISNUMBER(F183),IF(ABS(F183-E183)&lt;=H183,"PASS","FAIL"),"FAIL")</f>
        <v>PASS</v>
      </c>
    </row>
    <row r="184" customFormat="false" ht="15" hidden="false" customHeight="false" outlineLevel="0" collapsed="false">
      <c r="B184" s="46" t="n">
        <v>176</v>
      </c>
      <c r="C184" s="9" t="s">
        <v>554</v>
      </c>
      <c r="D184" s="9" t="s">
        <v>569</v>
      </c>
      <c r="E184" s="10" t="n">
        <v>0.0437</v>
      </c>
      <c r="F184" s="51" t="n">
        <f aca="false">Stress!$F$30</f>
        <v>0.0437253274835625</v>
      </c>
      <c r="G184" s="52" t="n">
        <f aca="false">IF(ISNUMBER(F184),F184-E184,"n/a")</f>
        <v>2.53274835625011E-005</v>
      </c>
      <c r="H184" s="53" t="n">
        <v>5.0001E-005</v>
      </c>
      <c r="I184" s="50" t="str">
        <f aca="false">IF(ISNUMBER(F184),IF(ABS(F184-E184)&lt;=H184,"PASS","FAIL"),"FAIL")</f>
        <v>PASS</v>
      </c>
    </row>
    <row r="185" customFormat="false" ht="15" hidden="false" customHeight="false" outlineLevel="0" collapsed="false">
      <c r="B185" s="46" t="n">
        <v>177</v>
      </c>
      <c r="C185" s="9" t="s">
        <v>554</v>
      </c>
      <c r="D185" s="9" t="s">
        <v>570</v>
      </c>
      <c r="E185" s="10" t="n">
        <v>0.0413</v>
      </c>
      <c r="F185" s="51" t="n">
        <f aca="false">Stress!$C$31</f>
        <v>0.0413204332320818</v>
      </c>
      <c r="G185" s="52" t="n">
        <f aca="false">IF(ISNUMBER(F185),F185-E185,"n/a")</f>
        <v>2.04332320817846E-005</v>
      </c>
      <c r="H185" s="53" t="n">
        <v>5.0001E-005</v>
      </c>
      <c r="I185" s="50" t="str">
        <f aca="false">IF(ISNUMBER(F185),IF(ABS(F185-E185)&lt;=H185,"PASS","FAIL"),"FAIL")</f>
        <v>PASS</v>
      </c>
    </row>
    <row r="186" customFormat="false" ht="15" hidden="false" customHeight="false" outlineLevel="0" collapsed="false">
      <c r="B186" s="46" t="n">
        <v>178</v>
      </c>
      <c r="C186" s="9" t="s">
        <v>554</v>
      </c>
      <c r="D186" s="9" t="s">
        <v>571</v>
      </c>
      <c r="E186" s="10" t="n">
        <v>0.0367</v>
      </c>
      <c r="F186" s="51" t="n">
        <f aca="false">Stress!$D$31</f>
        <v>0.0367104773038647</v>
      </c>
      <c r="G186" s="52" t="n">
        <f aca="false">IF(ISNUMBER(F186),F186-E186,"n/a")</f>
        <v>1.04773038646713E-005</v>
      </c>
      <c r="H186" s="53" t="n">
        <v>5.0001E-005</v>
      </c>
      <c r="I186" s="50" t="str">
        <f aca="false">IF(ISNUMBER(F186),IF(ABS(F186-E186)&lt;=H186,"PASS","FAIL"),"FAIL")</f>
        <v>PASS</v>
      </c>
    </row>
    <row r="187" customFormat="false" ht="15" hidden="false" customHeight="false" outlineLevel="0" collapsed="false">
      <c r="B187" s="46" t="n">
        <v>179</v>
      </c>
      <c r="C187" s="9" t="s">
        <v>554</v>
      </c>
      <c r="D187" s="9" t="s">
        <v>572</v>
      </c>
      <c r="E187" s="10" t="n">
        <v>0.032</v>
      </c>
      <c r="F187" s="51" t="n">
        <f aca="false">Stress!$E$31</f>
        <v>0.0320425726314957</v>
      </c>
      <c r="G187" s="52" t="n">
        <f aca="false">IF(ISNUMBER(F187),F187-E187,"n/a")</f>
        <v>4.25726314956798E-005</v>
      </c>
      <c r="H187" s="53" t="n">
        <v>5.0001E-005</v>
      </c>
      <c r="I187" s="50" t="str">
        <f aca="false">IF(ISNUMBER(F187),IF(ABS(F187-E187)&lt;=H187,"PASS","FAIL"),"FAIL")</f>
        <v>PASS</v>
      </c>
    </row>
    <row r="188" customFormat="false" ht="15" hidden="false" customHeight="false" outlineLevel="0" collapsed="false">
      <c r="B188" s="46" t="n">
        <v>180</v>
      </c>
      <c r="C188" s="9" t="s">
        <v>554</v>
      </c>
      <c r="D188" s="9" t="s">
        <v>573</v>
      </c>
      <c r="E188" s="10" t="n">
        <v>0.0273</v>
      </c>
      <c r="F188" s="51" t="n">
        <f aca="false">Stress!$F$31</f>
        <v>0.0273146847421613</v>
      </c>
      <c r="G188" s="52" t="n">
        <f aca="false">IF(ISNUMBER(F188),F188-E188,"n/a")</f>
        <v>1.46847421612535E-005</v>
      </c>
      <c r="H188" s="53" t="n">
        <v>5.0001E-005</v>
      </c>
      <c r="I188" s="50" t="str">
        <f aca="false">IF(ISNUMBER(F188),IF(ABS(F188-E188)&lt;=H188,"PASS","FAIL"),"FAIL")</f>
        <v>PASS</v>
      </c>
    </row>
    <row r="189" customFormat="false" ht="15" hidden="false" customHeight="false" outlineLevel="0" collapsed="false">
      <c r="B189" s="46" t="n">
        <v>181</v>
      </c>
      <c r="C189" s="9" t="s">
        <v>554</v>
      </c>
      <c r="D189" s="9" t="s">
        <v>574</v>
      </c>
      <c r="E189" s="10" t="n">
        <v>0.0081</v>
      </c>
      <c r="F189" s="51" t="n">
        <f aca="false">Stress!$C$32</f>
        <v>0.00812497475482599</v>
      </c>
      <c r="G189" s="52" t="n">
        <f aca="false">IF(ISNUMBER(F189),F189-E189,"n/a")</f>
        <v>2.49747548259852E-005</v>
      </c>
      <c r="H189" s="53" t="n">
        <v>5.0001E-005</v>
      </c>
      <c r="I189" s="50" t="str">
        <f aca="false">IF(ISNUMBER(F189),IF(ABS(F189-E189)&lt;=H189,"PASS","FAIL"),"FAIL")</f>
        <v>PASS</v>
      </c>
    </row>
    <row r="190" customFormat="false" ht="15" hidden="false" customHeight="false" outlineLevel="0" collapsed="false">
      <c r="B190" s="46" t="n">
        <v>182</v>
      </c>
      <c r="C190" s="9" t="s">
        <v>554</v>
      </c>
      <c r="D190" s="9" t="s">
        <v>575</v>
      </c>
      <c r="E190" s="10" t="n">
        <v>0.0053</v>
      </c>
      <c r="F190" s="51" t="n">
        <f aca="false">Stress!$D$32</f>
        <v>0.00530384409931406</v>
      </c>
      <c r="G190" s="52" t="n">
        <f aca="false">IF(ISNUMBER(F190),F190-E190,"n/a")</f>
        <v>3.84409931405896E-006</v>
      </c>
      <c r="H190" s="53" t="n">
        <v>5.0001E-005</v>
      </c>
      <c r="I190" s="50" t="str">
        <f aca="false">IF(ISNUMBER(F190),IF(ABS(F190-E190)&lt;=H190,"PASS","FAIL"),"FAIL")</f>
        <v>PASS</v>
      </c>
    </row>
    <row r="191" customFormat="false" ht="15" hidden="false" customHeight="false" outlineLevel="0" collapsed="false">
      <c r="B191" s="46" t="n">
        <v>183</v>
      </c>
      <c r="C191" s="9" t="s">
        <v>554</v>
      </c>
      <c r="D191" s="9" t="s">
        <v>576</v>
      </c>
      <c r="E191" s="10" t="n">
        <v>0.0024</v>
      </c>
      <c r="F191" s="51" t="n">
        <f aca="false">Stress!$E$32</f>
        <v>0.00244689580970503</v>
      </c>
      <c r="G191" s="52" t="n">
        <f aca="false">IF(ISNUMBER(F191),F191-E191,"n/a")</f>
        <v>4.68958097050299E-005</v>
      </c>
      <c r="H191" s="53" t="n">
        <v>5.0001E-005</v>
      </c>
      <c r="I191" s="50" t="str">
        <f aca="false">IF(ISNUMBER(F191),IF(ABS(F191-E191)&lt;=H191,"PASS","FAIL"),"FAIL")</f>
        <v>PASS</v>
      </c>
    </row>
    <row r="192" customFormat="false" ht="15" hidden="false" customHeight="false" outlineLevel="0" collapsed="false">
      <c r="B192" s="46" t="n">
        <v>184</v>
      </c>
      <c r="C192" s="9" t="s">
        <v>554</v>
      </c>
      <c r="D192" s="9" t="s">
        <v>577</v>
      </c>
      <c r="E192" s="10" t="n">
        <v>-0.0004</v>
      </c>
      <c r="F192" s="51" t="n">
        <f aca="false">Stress!$F$32</f>
        <v>-0.000446887746917146</v>
      </c>
      <c r="G192" s="52" t="n">
        <f aca="false">IF(ISNUMBER(F192),F192-E192,"n/a")</f>
        <v>-4.68877469171462E-005</v>
      </c>
      <c r="H192" s="53" t="n">
        <v>5.0001E-005</v>
      </c>
      <c r="I192" s="50" t="str">
        <f aca="false">IF(ISNUMBER(F192),IF(ABS(F192-E192)&lt;=H192,"PASS","FAIL"),"FAIL")</f>
        <v>PASS</v>
      </c>
    </row>
    <row r="193" customFormat="false" ht="30" hidden="false" customHeight="true" outlineLevel="0" collapsed="false">
      <c r="B193" s="46" t="n">
        <v>185</v>
      </c>
      <c r="C193" s="9" t="s">
        <v>554</v>
      </c>
      <c r="D193" s="47" t="s">
        <v>578</v>
      </c>
      <c r="E193" s="48" t="s">
        <v>404</v>
      </c>
      <c r="F193" s="49" t="str">
        <f aca="false">IF(AND(SUMPRODUCT((Stress!D29:F32&gt;=Stress!C29:E32)*1)=0,SUMPRODUCT((Stress!C30:F32&gt;=Stress!C29:F31)*1)=0),"holds","does not hold")</f>
        <v>holds</v>
      </c>
      <c r="G193" s="9"/>
      <c r="H193" s="9"/>
      <c r="I193" s="50" t="str">
        <f aca="false">IF(AND(SUMPRODUCT((Stress!D29:F32&gt;=Stress!C29:E32)*1)=0,SUMPRODUCT((Stress!C30:F32&gt;=Stress!C29:F31)*1)=0),"PASS","FAIL")</f>
        <v>PASS</v>
      </c>
    </row>
  </sheetData>
  <conditionalFormatting sqref="I9:I193">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2026-09-24T20:13:16Z</dcterms:created>
  <dc:creator>openpyxl</dc:creator>
  <dc:description/>
  <dc:language>en-US</dc:language>
  <cp:lastModifiedBy/>
  <dcterms:modified xsi:type="dcterms:W3CDTF">2026-09-24T20:13:17Z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