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Deed_Deal" sheetId="3" state="visible" r:id="rId5"/>
    <sheet name="Max_Bid" sheetId="4" state="visible" r:id="rId6"/>
    <sheet name="Sensitivity" sheetId="5" state="visible" r:id="rId7"/>
    <sheet name="Redeemable" sheetId="6" state="visible" r:id="rId8"/>
    <sheet name="Deed_Branch"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<sst xmlns="http://schemas.openxmlformats.org/spreadsheetml/2006/main" count="252" uniqueCount="183">
  <si>
    <t xml:space="preserve">When they do not redeem: the deed branch of one certificate, and a Wexley County tax deed</t>
  </si>
  <si>
    <t xml:space="preserve">Companion workbook to The Tax Lien Investor, by Julian R. Sterling. julianrsterling.com/tax-liens</t>
  </si>
  <si>
    <t xml:space="preserve">What it is</t>
  </si>
  <si>
    <t xml:space="preserve">Two things that happen after the redemption period. First, a Calder County class B certificate, face $3,600 bid at 7%, still unredeemed at month 24: what the holder has paid, what the owner pays to redeem after the deed application, the opening bid at the deed sale, and what the holder recovers if nobody bids. Second, a house bought at a Wexley County tax deed sale: the cost stack, the profit, the surplus that belongs to the former owner, the maximum bid for a target margin, the sensitivities, and the redeemable-deed variant.</t>
  </si>
  <si>
    <t xml:space="preserve">Where it is in the book</t>
  </si>
  <si>
    <t xml:space="preserve">Chapter 9 (from certificate to deed) and Chapter 10 (buying the deed).</t>
  </si>
  <si>
    <t xml:space="preserve">Sheets</t>
  </si>
  <si>
    <t xml:space="preserve">Inputs. Deed_Deal: the cost stack, profit, margin, return on cash, surplus. Max_Bid: the maximum bid for a margin, solved directly because profit is linear in the bid. Sensitivity: repairs and value. Redeemable: the owner redeems at month 8. Deed_Branch: the class B certificate of Chapter 9. Checks: every printed figure beside its live cell.</t>
  </si>
  <si>
    <t xml:space="preserve">Conventions</t>
  </si>
  <si>
    <t xml:space="preserve">Yellow cells with blue type are inputs; grey cells are formulas. No macros, no circular references, nothing locked, protected or hidden. Wexley County and Calder County are fictional; every figure is the book's assumption. Whether a tax deed title needs a quiet title action, what survives the deed and who is owed the surplus depend on the state: read the statute and ask counsel.</t>
  </si>
  <si>
    <t xml:space="preserve">The file is provided without warranty of any kind. It is a teaching model, not legal, tax or investment advice.</t>
  </si>
  <si>
    <t xml:space="preserve">Inputs: the Wexley County house and the class B certificate</t>
  </si>
  <si>
    <t xml:space="preserve">Yellow cells with blue type are inputs.</t>
  </si>
  <si>
    <t xml:space="preserve">The Wexley County tax deed (Chapter 10; all assumptions)</t>
  </si>
  <si>
    <t xml:space="preserve">After-repair value (the sale price)</t>
  </si>
  <si>
    <t xml:space="preserve">As-is value</t>
  </si>
  <si>
    <t xml:space="preserve">Opening bid: taxes, interest and costs owed</t>
  </si>
  <si>
    <t xml:space="preserve">Winning bid</t>
  </si>
  <si>
    <t xml:space="preserve">Recording and transfer</t>
  </si>
  <si>
    <t xml:space="preserve">of the bid</t>
  </si>
  <si>
    <t xml:space="preserve">Quiet title action</t>
  </si>
  <si>
    <t xml:space="preserve">Quiet title: months</t>
  </si>
  <si>
    <t xml:space="preserve">months</t>
  </si>
  <si>
    <t xml:space="preserve">Taxes during the hold</t>
  </si>
  <si>
    <t xml:space="preserve">Vacant-property insurance</t>
  </si>
  <si>
    <t xml:space="preserve">Utilities</t>
  </si>
  <si>
    <t xml:space="preserve">Cash for keys to the occupant</t>
  </si>
  <si>
    <t xml:space="preserve">Repairs</t>
  </si>
  <si>
    <t xml:space="preserve">Selling costs</t>
  </si>
  <si>
    <t xml:space="preserve">of the sale price</t>
  </si>
  <si>
    <t xml:space="preserve">Hold</t>
  </si>
  <si>
    <t xml:space="preserve">Sensitivities and the redeemable-deed variant</t>
  </si>
  <si>
    <t xml:space="preserve">Repairs higher by</t>
  </si>
  <si>
    <t xml:space="preserve">After-repair value lower by</t>
  </si>
  <si>
    <t xml:space="preserve">Redeemable deed: month the former owner redeems</t>
  </si>
  <si>
    <t xml:space="preserve">month</t>
  </si>
  <si>
    <t xml:space="preserve">Redemption premium in year 1 (assumption)</t>
  </si>
  <si>
    <t xml:space="preserve">Redemption premium in year 2 (assumption)</t>
  </si>
  <si>
    <t xml:space="preserve">A Calder County class B certificate unredeemed at month 24 (Chapter 9)</t>
  </si>
  <si>
    <t xml:space="preserve">Face (also each subsequent tax)</t>
  </si>
  <si>
    <t xml:space="preserve">Bid rate</t>
  </si>
  <si>
    <t xml:space="preserve">Class B: redeemed by month 24</t>
  </si>
  <si>
    <t xml:space="preserve">Class B: Rapp</t>
  </si>
  <si>
    <t xml:space="preserve">Class B: Pout</t>
  </si>
  <si>
    <t xml:space="preserve">Class B: REC</t>
  </si>
  <si>
    <t xml:space="preserve">of the cash in the parcel</t>
  </si>
  <si>
    <t xml:space="preserve">Minimum charge</t>
  </si>
  <si>
    <t xml:space="preserve">of the face</t>
  </si>
  <si>
    <t xml:space="preserve">Rate on subsequent taxes</t>
  </si>
  <si>
    <t xml:space="preserve">a year, simple</t>
  </si>
  <si>
    <t xml:space="preserve">First subsequent tax paid in month</t>
  </si>
  <si>
    <t xml:space="preserve">Second subsequent tax and application in month</t>
  </si>
  <si>
    <t xml:space="preserve">Deed application cost</t>
  </si>
  <si>
    <t xml:space="preserve">Owner redeems after the application in month</t>
  </si>
  <si>
    <t xml:space="preserve">Deed sale in month</t>
  </si>
  <si>
    <t xml:space="preserve">Resale of a parcel taken, month</t>
  </si>
  <si>
    <t xml:space="preserve">Payment lag</t>
  </si>
  <si>
    <t xml:space="preserve">Buying the deed: the cost stack, the profit and the surplus (Chapter 10)</t>
  </si>
  <si>
    <t xml:space="preserve">A house bought at a Wexley County tax deed sale, repaired and sold after ten months.</t>
  </si>
  <si>
    <t xml:space="preserve">Cost</t>
  </si>
  <si>
    <t xml:space="preserve">Amount</t>
  </si>
  <si>
    <t xml:space="preserve">Paid before the sale?</t>
  </si>
  <si>
    <t xml:space="preserve">yes</t>
  </si>
  <si>
    <t xml:space="preserve">Cash for keys</t>
  </si>
  <si>
    <t xml:space="preserve">no, paid from the sale</t>
  </si>
  <si>
    <t xml:space="preserve">Total cost</t>
  </si>
  <si>
    <t xml:space="preserve">Profit: sale price less total cost</t>
  </si>
  <si>
    <t xml:space="preserve">Profit as a share of the sale price</t>
  </si>
  <si>
    <t xml:space="preserve">Cash in before the sale</t>
  </si>
  <si>
    <t xml:space="preserve">Return on that cash over the hold</t>
  </si>
  <si>
    <t xml:space="preserve">The same, annualized with compounding</t>
  </si>
  <si>
    <t xml:space="preserve">Surplus: the bid above the opening bid, held for the former owner and lienholders</t>
  </si>
  <si>
    <t xml:space="preserve">The maximum bid for a target margin (Chapter 10)</t>
  </si>
  <si>
    <t xml:space="preserve">Profit is linear in the bid: profit = value x (1 - selling cost) - bid x (1 + recording) - the fixed costs. So the bid that leaves a margin t solves directly.</t>
  </si>
  <si>
    <t xml:space="preserve">Fixed costs: quiet title, taxes, insurance, utilities, keys, repairs</t>
  </si>
  <si>
    <t xml:space="preserve">Target profit (share of the sale price)</t>
  </si>
  <si>
    <t xml:space="preserve">Target</t>
  </si>
  <si>
    <t xml:space="preserve">Maximum bid</t>
  </si>
  <si>
    <t xml:space="preserve">Profit at that bid</t>
  </si>
  <si>
    <t xml:space="preserve">Margin at that bid</t>
  </si>
  <si>
    <t xml:space="preserve">Profit of 15% of the sale price</t>
  </si>
  <si>
    <t xml:space="preserve">Profit of 20% of the sale price</t>
  </si>
  <si>
    <t xml:space="preserve">Profit of 25% of the sale price</t>
  </si>
  <si>
    <t xml:space="preserve">Break-even (profit zero)</t>
  </si>
  <si>
    <t xml:space="preserve">Sensitivities: repairs and the after-repair value (Chapter 10)</t>
  </si>
  <si>
    <t xml:space="preserve">The same deal at the same winning bid.</t>
  </si>
  <si>
    <t xml:space="preserve">Case</t>
  </si>
  <si>
    <t xml:space="preserve">After-repair value</t>
  </si>
  <si>
    <t xml:space="preserve">Profit</t>
  </si>
  <si>
    <t xml:space="preserve">Base</t>
  </si>
  <si>
    <t xml:space="preserve">Repairs higher</t>
  </si>
  <si>
    <t xml:space="preserve">Value lower</t>
  </si>
  <si>
    <t xml:space="preserve">Both</t>
  </si>
  <si>
    <t xml:space="preserve">The redeemable deed: a house or a loan (Chapter 10)</t>
  </si>
  <si>
    <t xml:space="preserve">The former owner redeems by paying the bid plus a premium, plus the recording cost and the taxes the buyer paid. The buyer has carried taxes and insurance, and could not safely repair.</t>
  </si>
  <si>
    <t xml:space="preserve">Premium that applies at the redemption month</t>
  </si>
  <si>
    <t xml:space="preserve">Recording and transfer paid by the buyer</t>
  </si>
  <si>
    <t xml:space="preserve">Taxes paid by the buyer to the redemption month</t>
  </si>
  <si>
    <t xml:space="preserve">Carry: taxes and insurance to the redemption month</t>
  </si>
  <si>
    <t xml:space="preserve">The buyer receives: bid plus premium, recording, taxes paid</t>
  </si>
  <si>
    <t xml:space="preserve">Gain: received less bid, recording and carry</t>
  </si>
  <si>
    <t xml:space="preserve">Annualized, compounding, on bid plus recording</t>
  </si>
  <si>
    <t xml:space="preserve">From certificate to deed: one class B certificate unredeemed at month 24 (Chapter 9)</t>
  </si>
  <si>
    <t xml:space="preserve">Face $3,600 bid at 7%. Three outcomes after the application: the owner redeems, a third party outbids, or nobody bids.</t>
  </si>
  <si>
    <t xml:space="preserve">Share of class B certificates reaching month 24 unredeemed</t>
  </si>
  <si>
    <t xml:space="preserve">What the holder has paid by month 24</t>
  </si>
  <si>
    <t xml:space="preserve">Face</t>
  </si>
  <si>
    <t xml:space="preserve">Subsequent tax, month 12</t>
  </si>
  <si>
    <t xml:space="preserve">Subsequent tax, month 24</t>
  </si>
  <si>
    <t xml:space="preserve">Deed application</t>
  </si>
  <si>
    <t xml:space="preserve">Total cash in the parcel</t>
  </si>
  <si>
    <t xml:space="preserve">Line</t>
  </si>
  <si>
    <t xml:space="preserve">Owner redeems after the application</t>
  </si>
  <si>
    <t xml:space="preserve">Opening bid at the deed sale</t>
  </si>
  <si>
    <t xml:space="preserve">Month</t>
  </si>
  <si>
    <t xml:space="preserve">Face with interest at the bid (or the minimum)</t>
  </si>
  <si>
    <t xml:space="preserve">First subsequent tax with 18% simple</t>
  </si>
  <si>
    <t xml:space="preserve">Second subsequent tax with 18% simple</t>
  </si>
  <si>
    <t xml:space="preserve">Total</t>
  </si>
  <si>
    <t xml:space="preserve">Nobody bids: the holder takes the deed</t>
  </si>
  <si>
    <t xml:space="preserve">Recovered on resale at month 36 (REC x cash in the parcel)</t>
  </si>
  <si>
    <t xml:space="preserve">Loss before the holder's time</t>
  </si>
  <si>
    <t xml:space="preserve">Share of all class B certificates in each outcome</t>
  </si>
  <si>
    <t xml:space="preserve">Redeemed after the application</t>
  </si>
  <si>
    <t xml:space="preserve">Paid out at the deed sale</t>
  </si>
  <si>
    <t xml:space="preserve">Holder takes the deed</t>
  </si>
  <si>
    <t xml:space="preserve">Checks: the figures printed in the book against the live workbook</t>
  </si>
  <si>
    <t xml:space="preserve">Book = the figure as printed in the book (from _FACTS.md). Tolerance = half a unit of the last printed digit. The logic checks at the end test that the model holds together.</t>
  </si>
  <si>
    <t xml:space="preserve">Number of checks</t>
  </si>
  <si>
    <t xml:space="preserve">PASS</t>
  </si>
  <si>
    <t xml:space="preserve">FAIL</t>
  </si>
  <si>
    <t xml:space="preserve">#</t>
  </si>
  <si>
    <t xml:space="preserve">Sheet</t>
  </si>
  <si>
    <t xml:space="preserve">Figure printed in the book, or logic check</t>
  </si>
  <si>
    <t xml:space="preserve">Book</t>
  </si>
  <si>
    <t xml:space="preserve">Workbook</t>
  </si>
  <si>
    <t xml:space="preserve">Difference</t>
  </si>
  <si>
    <t xml:space="preserve">Tolerance</t>
  </si>
  <si>
    <t xml:space="preserve">Status</t>
  </si>
  <si>
    <t xml:space="preserve">Deed_Deal</t>
  </si>
  <si>
    <t xml:space="preserve">Margin on the sale price</t>
  </si>
  <si>
    <t xml:space="preserve">Return on cash over 10 months</t>
  </si>
  <si>
    <t xml:space="preserve">Annualized, compounding</t>
  </si>
  <si>
    <t xml:space="preserve">Surplus over the opening bid</t>
  </si>
  <si>
    <t xml:space="preserve">The deal is profitable at the winning bid</t>
  </si>
  <si>
    <t xml:space="preserve">holds</t>
  </si>
  <si>
    <t xml:space="preserve">Max_Bid</t>
  </si>
  <si>
    <t xml:space="preserve">At the maximum bid for 15% the margin is exactly 15%</t>
  </si>
  <si>
    <t xml:space="preserve">At the maximum bid for 20% the margin is exactly 20%</t>
  </si>
  <si>
    <t xml:space="preserve">At the maximum bid for 25% the margin is exactly 25%</t>
  </si>
  <si>
    <t xml:space="preserve">At the maximum bid for 0% the margin is exactly 0%</t>
  </si>
  <si>
    <t xml:space="preserve">Maximum bid for 15%</t>
  </si>
  <si>
    <t xml:space="preserve">Maximum bid for 20%</t>
  </si>
  <si>
    <t xml:space="preserve">Maximum bid for 25%</t>
  </si>
  <si>
    <t xml:space="preserve">Break-even bid</t>
  </si>
  <si>
    <t xml:space="preserve">Sensitivity</t>
  </si>
  <si>
    <t xml:space="preserve">Repairs in the higher case</t>
  </si>
  <si>
    <t xml:space="preserve">After-repair value in the lower case</t>
  </si>
  <si>
    <t xml:space="preserve">Profit, repairs higher</t>
  </si>
  <si>
    <t xml:space="preserve">Profit, value lower</t>
  </si>
  <si>
    <t xml:space="preserve">Profit, both</t>
  </si>
  <si>
    <t xml:space="preserve">The base row equals the profit on Deed_Deal</t>
  </si>
  <si>
    <t xml:space="preserve">Redeemable</t>
  </si>
  <si>
    <t xml:space="preserve">Buyer receives</t>
  </si>
  <si>
    <t xml:space="preserve">Carry</t>
  </si>
  <si>
    <t xml:space="preserve">Gain</t>
  </si>
  <si>
    <t xml:space="preserve">Annualized</t>
  </si>
  <si>
    <t xml:space="preserve">Premium in year 2</t>
  </si>
  <si>
    <t xml:space="preserve">Deed_Branch</t>
  </si>
  <si>
    <t xml:space="preserve">Share unredeemed at month 24</t>
  </si>
  <si>
    <t xml:space="preserve">Cash in the parcel</t>
  </si>
  <si>
    <t xml:space="preserve">Face with interest, month 30</t>
  </si>
  <si>
    <t xml:space="preserve">First subsequent, month 30</t>
  </si>
  <si>
    <t xml:space="preserve">Second subsequent, month 30</t>
  </si>
  <si>
    <t xml:space="preserve">Face with interest, month 27</t>
  </si>
  <si>
    <t xml:space="preserve">First subsequent, month 27</t>
  </si>
  <si>
    <t xml:space="preserve">Second subsequent, month 27</t>
  </si>
  <si>
    <t xml:space="preserve">Redemption after the application</t>
  </si>
  <si>
    <t xml:space="preserve">Recovery if nobody bids</t>
  </si>
  <si>
    <t xml:space="preserve">Loss if nobody bids</t>
  </si>
  <si>
    <t xml:space="preserve">Class B redeemed after application</t>
  </si>
  <si>
    <t xml:space="preserve">Class B paid at deed sale</t>
  </si>
  <si>
    <t xml:space="preserve">Class B holder takes the deed</t>
  </si>
</sst>
</file>

<file path=xl/styles.xml><?xml version="1.0" encoding="utf-8"?>
<styleSheet xmlns="http://schemas.openxmlformats.org/spreadsheetml/2006/main">
  <numFmts count="13">
    <numFmt numFmtId="164" formatCode="General"/>
    <numFmt numFmtId="165" formatCode="\$#,##0;&quot;-$&quot;#,##0;\$0"/>
    <numFmt numFmtId="166" formatCode="0.0%"/>
    <numFmt numFmtId="167" formatCode="0"/>
    <numFmt numFmtId="168" formatCode="0%"/>
    <numFmt numFmtId="169" formatCode="0.00%"/>
    <numFmt numFmtId="170" formatCode="\$#,##0.00;&quot;-$&quot;#,##0.00;\$0.00"/>
    <numFmt numFmtId="171" formatCode="#,##0"/>
    <numFmt numFmtId="172" formatCode="#,##0.00"/>
    <numFmt numFmtId="173" formatCode="0.000000"/>
    <numFmt numFmtId="174" formatCode="0.000%"/>
    <numFmt numFmtId="175" formatCode="#,##0.0000"/>
    <numFmt numFmtId="176" formatCode="0.00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16213A"/>
        <bgColor rgb="FF003366"/>
      </patternFill>
    </fill>
    <fill>
      <patternFill patternType="solid">
        <fgColor rgb="FFEFF3F8"/>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5" fontId="6" fillId="5"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false" applyProtection="false">
      <alignment horizontal="general" vertical="bottom" textRotation="0" wrapText="false" indent="0" shrinkToFit="false"/>
      <protection locked="true" hidden="false"/>
    </xf>
    <xf numFmtId="166" fontId="6" fillId="5" borderId="1" xfId="0" applyFont="true" applyBorder="true" applyAlignment="false" applyProtection="false">
      <alignment horizontal="general" vertical="bottom" textRotation="0" wrapText="false" indent="0" shrinkToFit="false"/>
      <protection locked="true" hidden="false"/>
    </xf>
    <xf numFmtId="169" fontId="6" fillId="5" borderId="1" xfId="0" applyFont="true" applyBorder="true" applyAlignment="false" applyProtection="false">
      <alignment horizontal="general" vertical="bottom" textRotation="0" wrapText="false" indent="0" shrinkToFit="false"/>
      <protection locked="true" hidden="false"/>
    </xf>
    <xf numFmtId="168" fontId="6" fillId="5" borderId="1" xfId="0" applyFont="true" applyBorder="true" applyAlignment="false" applyProtection="false">
      <alignment horizontal="general" vertical="bottom" textRotation="0" wrapText="false" indent="0" shrinkToFit="false"/>
      <protection locked="true" hidden="false"/>
    </xf>
    <xf numFmtId="170" fontId="6" fillId="5" borderId="1" xfId="0" applyFont="true" applyBorder="true" applyAlignment="false" applyProtection="false">
      <alignment horizontal="general" vertical="bottom" textRotation="0" wrapText="false" indent="0" shrinkToFit="false"/>
      <protection locked="true" hidden="false"/>
    </xf>
    <xf numFmtId="170" fontId="7" fillId="5" borderId="1" xfId="0" applyFont="true" applyBorder="true" applyAlignment="false" applyProtection="false">
      <alignment horizontal="general" vertical="bottom" textRotation="0" wrapText="false" indent="0" shrinkToFit="false"/>
      <protection locked="true" hidden="false"/>
    </xf>
    <xf numFmtId="167" fontId="6" fillId="5" borderId="1" xfId="0" applyFont="true" applyBorder="true" applyAlignment="false" applyProtection="false">
      <alignment horizontal="general" vertical="bottom" textRotation="0" wrapText="false" indent="0" shrinkToFit="false"/>
      <protection locked="true" hidden="false"/>
    </xf>
    <xf numFmtId="167" fontId="7"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72" fontId="6" fillId="5" borderId="1" xfId="0" applyFont="true" applyBorder="true" applyAlignment="false" applyProtection="false">
      <alignment horizontal="general" vertical="bottom" textRotation="0" wrapText="false" indent="0" shrinkToFit="false"/>
      <protection locked="true" hidden="false"/>
    </xf>
    <xf numFmtId="173" fontId="6" fillId="5"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bottom" textRotation="0" wrapText="false" indent="0" shrinkToFit="false"/>
      <protection locked="true" hidden="false"/>
    </xf>
    <xf numFmtId="174"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4" fontId="6" fillId="5" borderId="1" xfId="0" applyFont="true" applyBorder="true" applyAlignment="true" applyProtection="false">
      <alignment horizontal="right"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75" fontId="6" fillId="5" borderId="1" xfId="0" applyFont="true" applyBorder="true" applyAlignment="false" applyProtection="false">
      <alignment horizontal="general" vertical="bottom" textRotation="0" wrapText="false" indent="0" shrinkToFit="false"/>
      <protection locked="true" hidden="false"/>
    </xf>
    <xf numFmtId="176" fontId="6"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3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7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45"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15" hidden="false" customHeight="false" outlineLevel="0" collapsed="false">
      <c r="B13" s="3"/>
    </row>
    <row r="14" customFormat="false" ht="15" hidden="false" customHeight="true" outlineLevel="0" collapsed="false">
      <c r="B14" s="3" t="s">
        <v>10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4"/>
    <col collapsed="false" customWidth="true" hidden="false" outlineLevel="0" max="4" min="4" style="0" width="36"/>
  </cols>
  <sheetData>
    <row r="1" customFormat="false" ht="6" hidden="false" customHeight="true" outlineLevel="0" collapsed="false"/>
    <row r="2" customFormat="false" ht="17.35" hidden="false" customHeight="false" outlineLevel="0" collapsed="false">
      <c r="B2" s="5" t="s">
        <v>11</v>
      </c>
    </row>
    <row r="3" customFormat="false" ht="15" hidden="false" customHeight="false" outlineLevel="0" collapsed="false">
      <c r="B3" s="6" t="s">
        <v>12</v>
      </c>
    </row>
    <row r="5" customFormat="false" ht="15" hidden="false" customHeight="false" outlineLevel="0" collapsed="false">
      <c r="B5" s="7" t="s">
        <v>13</v>
      </c>
      <c r="C5" s="8"/>
      <c r="D5" s="8"/>
    </row>
    <row r="6" customFormat="false" ht="15" hidden="false" customHeight="false" outlineLevel="0" collapsed="false">
      <c r="B6" s="9" t="s">
        <v>14</v>
      </c>
      <c r="C6" s="10" t="n">
        <v>185000</v>
      </c>
    </row>
    <row r="7" customFormat="false" ht="15" hidden="false" customHeight="false" outlineLevel="0" collapsed="false">
      <c r="B7" s="9" t="s">
        <v>15</v>
      </c>
      <c r="C7" s="10" t="n">
        <v>150000</v>
      </c>
    </row>
    <row r="8" customFormat="false" ht="15" hidden="false" customHeight="false" outlineLevel="0" collapsed="false">
      <c r="B8" s="9" t="s">
        <v>16</v>
      </c>
      <c r="C8" s="10" t="n">
        <v>6850</v>
      </c>
    </row>
    <row r="9" customFormat="false" ht="15" hidden="false" customHeight="false" outlineLevel="0" collapsed="false">
      <c r="B9" s="9" t="s">
        <v>17</v>
      </c>
      <c r="C9" s="10" t="n">
        <v>92000</v>
      </c>
    </row>
    <row r="10" customFormat="false" ht="15" hidden="false" customHeight="false" outlineLevel="0" collapsed="false">
      <c r="B10" s="9" t="s">
        <v>18</v>
      </c>
      <c r="C10" s="11" t="n">
        <v>0.007</v>
      </c>
      <c r="D10" s="6" t="s">
        <v>19</v>
      </c>
    </row>
    <row r="11" customFormat="false" ht="15" hidden="false" customHeight="false" outlineLevel="0" collapsed="false">
      <c r="B11" s="9" t="s">
        <v>20</v>
      </c>
      <c r="C11" s="10" t="n">
        <v>2500</v>
      </c>
    </row>
    <row r="12" customFormat="false" ht="15" hidden="false" customHeight="false" outlineLevel="0" collapsed="false">
      <c r="B12" s="9" t="s">
        <v>21</v>
      </c>
      <c r="C12" s="12" t="n">
        <v>5</v>
      </c>
      <c r="D12" s="6" t="s">
        <v>22</v>
      </c>
    </row>
    <row r="13" customFormat="false" ht="15" hidden="false" customHeight="false" outlineLevel="0" collapsed="false">
      <c r="B13" s="9" t="s">
        <v>23</v>
      </c>
      <c r="C13" s="10" t="n">
        <v>2400</v>
      </c>
    </row>
    <row r="14" customFormat="false" ht="15" hidden="false" customHeight="false" outlineLevel="0" collapsed="false">
      <c r="B14" s="9" t="s">
        <v>24</v>
      </c>
      <c r="C14" s="10" t="n">
        <v>1200</v>
      </c>
    </row>
    <row r="15" customFormat="false" ht="15" hidden="false" customHeight="false" outlineLevel="0" collapsed="false">
      <c r="B15" s="9" t="s">
        <v>25</v>
      </c>
      <c r="C15" s="10" t="n">
        <v>900</v>
      </c>
    </row>
    <row r="16" customFormat="false" ht="15" hidden="false" customHeight="false" outlineLevel="0" collapsed="false">
      <c r="B16" s="9" t="s">
        <v>26</v>
      </c>
      <c r="C16" s="10" t="n">
        <v>3000</v>
      </c>
    </row>
    <row r="17" customFormat="false" ht="15" hidden="false" customHeight="false" outlineLevel="0" collapsed="false">
      <c r="B17" s="9" t="s">
        <v>27</v>
      </c>
      <c r="C17" s="10" t="n">
        <v>18000</v>
      </c>
    </row>
    <row r="18" customFormat="false" ht="15" hidden="false" customHeight="false" outlineLevel="0" collapsed="false">
      <c r="B18" s="9" t="s">
        <v>28</v>
      </c>
      <c r="C18" s="13" t="n">
        <v>0.07</v>
      </c>
      <c r="D18" s="6" t="s">
        <v>29</v>
      </c>
    </row>
    <row r="19" customFormat="false" ht="15" hidden="false" customHeight="false" outlineLevel="0" collapsed="false">
      <c r="B19" s="9" t="s">
        <v>30</v>
      </c>
      <c r="C19" s="12" t="n">
        <v>10</v>
      </c>
      <c r="D19" s="6" t="s">
        <v>22</v>
      </c>
    </row>
    <row r="21" customFormat="false" ht="15" hidden="false" customHeight="false" outlineLevel="0" collapsed="false">
      <c r="B21" s="7" t="s">
        <v>31</v>
      </c>
      <c r="C21" s="8"/>
      <c r="D21" s="8"/>
    </row>
    <row r="22" customFormat="false" ht="15" hidden="false" customHeight="false" outlineLevel="0" collapsed="false">
      <c r="B22" s="9" t="s">
        <v>32</v>
      </c>
      <c r="C22" s="13" t="n">
        <v>0.5</v>
      </c>
    </row>
    <row r="23" customFormat="false" ht="15" hidden="false" customHeight="false" outlineLevel="0" collapsed="false">
      <c r="B23" s="9" t="s">
        <v>33</v>
      </c>
      <c r="C23" s="13" t="n">
        <v>0.1</v>
      </c>
    </row>
    <row r="24" customFormat="false" ht="15" hidden="false" customHeight="false" outlineLevel="0" collapsed="false">
      <c r="B24" s="9" t="s">
        <v>34</v>
      </c>
      <c r="C24" s="12" t="n">
        <v>8</v>
      </c>
      <c r="D24" s="6" t="s">
        <v>35</v>
      </c>
    </row>
    <row r="25" customFormat="false" ht="15" hidden="false" customHeight="false" outlineLevel="0" collapsed="false">
      <c r="B25" s="9" t="s">
        <v>36</v>
      </c>
      <c r="C25" s="13" t="n">
        <v>0.25</v>
      </c>
    </row>
    <row r="26" customFormat="false" ht="15" hidden="false" customHeight="false" outlineLevel="0" collapsed="false">
      <c r="B26" s="9" t="s">
        <v>37</v>
      </c>
      <c r="C26" s="13" t="n">
        <v>0.5</v>
      </c>
    </row>
    <row r="28" customFormat="false" ht="15" hidden="false" customHeight="false" outlineLevel="0" collapsed="false">
      <c r="B28" s="7" t="s">
        <v>38</v>
      </c>
      <c r="C28" s="8"/>
      <c r="D28" s="8"/>
    </row>
    <row r="29" customFormat="false" ht="15" hidden="false" customHeight="false" outlineLevel="0" collapsed="false">
      <c r="B29" s="9" t="s">
        <v>39</v>
      </c>
      <c r="C29" s="10" t="n">
        <v>3600</v>
      </c>
    </row>
    <row r="30" customFormat="false" ht="15" hidden="false" customHeight="false" outlineLevel="0" collapsed="false">
      <c r="B30" s="9" t="s">
        <v>40</v>
      </c>
      <c r="C30" s="14" t="n">
        <v>0.07</v>
      </c>
    </row>
    <row r="31" customFormat="false" ht="15" hidden="false" customHeight="false" outlineLevel="0" collapsed="false">
      <c r="B31" s="9" t="s">
        <v>41</v>
      </c>
      <c r="C31" s="11" t="n">
        <v>0.93</v>
      </c>
    </row>
    <row r="32" customFormat="false" ht="15" hidden="false" customHeight="false" outlineLevel="0" collapsed="false">
      <c r="B32" s="9" t="s">
        <v>42</v>
      </c>
      <c r="C32" s="13" t="n">
        <v>0.6</v>
      </c>
    </row>
    <row r="33" customFormat="false" ht="15" hidden="false" customHeight="false" outlineLevel="0" collapsed="false">
      <c r="B33" s="9" t="s">
        <v>43</v>
      </c>
      <c r="C33" s="13" t="n">
        <v>0.85</v>
      </c>
    </row>
    <row r="34" customFormat="false" ht="15" hidden="false" customHeight="false" outlineLevel="0" collapsed="false">
      <c r="B34" s="9" t="s">
        <v>44</v>
      </c>
      <c r="C34" s="13" t="n">
        <v>0.9</v>
      </c>
      <c r="D34" s="6" t="s">
        <v>45</v>
      </c>
    </row>
    <row r="35" customFormat="false" ht="15" hidden="false" customHeight="false" outlineLevel="0" collapsed="false">
      <c r="B35" s="9" t="s">
        <v>46</v>
      </c>
      <c r="C35" s="13" t="n">
        <v>0.05</v>
      </c>
      <c r="D35" s="6" t="s">
        <v>47</v>
      </c>
    </row>
    <row r="36" customFormat="false" ht="15" hidden="false" customHeight="false" outlineLevel="0" collapsed="false">
      <c r="B36" s="9" t="s">
        <v>48</v>
      </c>
      <c r="C36" s="13" t="n">
        <v>0.18</v>
      </c>
      <c r="D36" s="6" t="s">
        <v>49</v>
      </c>
    </row>
    <row r="37" customFormat="false" ht="15" hidden="false" customHeight="false" outlineLevel="0" collapsed="false">
      <c r="B37" s="9" t="s">
        <v>50</v>
      </c>
      <c r="C37" s="12" t="n">
        <v>12</v>
      </c>
    </row>
    <row r="38" customFormat="false" ht="15" hidden="false" customHeight="false" outlineLevel="0" collapsed="false">
      <c r="B38" s="9" t="s">
        <v>51</v>
      </c>
      <c r="C38" s="12" t="n">
        <v>24</v>
      </c>
    </row>
    <row r="39" customFormat="false" ht="15" hidden="false" customHeight="false" outlineLevel="0" collapsed="false">
      <c r="B39" s="9" t="s">
        <v>52</v>
      </c>
      <c r="C39" s="10" t="n">
        <v>1800</v>
      </c>
    </row>
    <row r="40" customFormat="false" ht="15" hidden="false" customHeight="false" outlineLevel="0" collapsed="false">
      <c r="B40" s="9" t="s">
        <v>53</v>
      </c>
      <c r="C40" s="12" t="n">
        <v>27</v>
      </c>
    </row>
    <row r="41" customFormat="false" ht="15" hidden="false" customHeight="false" outlineLevel="0" collapsed="false">
      <c r="B41" s="9" t="s">
        <v>54</v>
      </c>
      <c r="C41" s="12" t="n">
        <v>30</v>
      </c>
    </row>
    <row r="42" customFormat="false" ht="15" hidden="false" customHeight="false" outlineLevel="0" collapsed="false">
      <c r="B42" s="9" t="s">
        <v>55</v>
      </c>
      <c r="C42" s="12" t="n">
        <v>36</v>
      </c>
    </row>
    <row r="43" customFormat="false" ht="15" hidden="false" customHeight="false" outlineLevel="0" collapsed="false">
      <c r="B43" s="9" t="s">
        <v>56</v>
      </c>
      <c r="C43" s="12" t="n">
        <v>1</v>
      </c>
      <c r="D43" s="6" t="s">
        <v>35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6"/>
    <col collapsed="false" customWidth="true" hidden="false" outlineLevel="0" max="4" min="3" style="0" width="14"/>
    <col collapsed="false" customWidth="true" hidden="false" outlineLevel="0" max="5" min="5" style="0" width="40"/>
  </cols>
  <sheetData>
    <row r="1" customFormat="false" ht="6" hidden="false" customHeight="true" outlineLevel="0" collapsed="false"/>
    <row r="2" customFormat="false" ht="17.35" hidden="false" customHeight="false" outlineLevel="0" collapsed="false">
      <c r="B2" s="5" t="s">
        <v>57</v>
      </c>
    </row>
    <row r="3" customFormat="false" ht="15" hidden="false" customHeight="false" outlineLevel="0" collapsed="false">
      <c r="B3" s="6" t="s">
        <v>58</v>
      </c>
    </row>
    <row r="5" customFormat="false" ht="21.75" hidden="false" customHeight="true" outlineLevel="0" collapsed="false">
      <c r="B5" s="15" t="s">
        <v>59</v>
      </c>
      <c r="C5" s="16" t="s">
        <v>60</v>
      </c>
      <c r="D5" s="16" t="s">
        <v>61</v>
      </c>
    </row>
    <row r="6" customFormat="false" ht="15" hidden="false" customHeight="false" outlineLevel="0" collapsed="false">
      <c r="B6" s="9" t="s">
        <v>17</v>
      </c>
      <c r="C6" s="17" t="n">
        <f aca="false">Inputs!$C$9</f>
        <v>92000</v>
      </c>
      <c r="D6" s="9" t="s">
        <v>62</v>
      </c>
    </row>
    <row r="7" customFormat="false" ht="15" hidden="false" customHeight="false" outlineLevel="0" collapsed="false">
      <c r="B7" s="9" t="s">
        <v>18</v>
      </c>
      <c r="C7" s="17" t="n">
        <f aca="false">Inputs!$C$9*Inputs!$C$10</f>
        <v>644</v>
      </c>
      <c r="D7" s="9" t="s">
        <v>62</v>
      </c>
    </row>
    <row r="8" customFormat="false" ht="15" hidden="false" customHeight="false" outlineLevel="0" collapsed="false">
      <c r="B8" s="9" t="s">
        <v>20</v>
      </c>
      <c r="C8" s="17" t="n">
        <f aca="false">Inputs!$C$11</f>
        <v>2500</v>
      </c>
      <c r="D8" s="9" t="s">
        <v>62</v>
      </c>
    </row>
    <row r="9" customFormat="false" ht="15" hidden="false" customHeight="false" outlineLevel="0" collapsed="false">
      <c r="B9" s="9" t="s">
        <v>23</v>
      </c>
      <c r="C9" s="17" t="n">
        <f aca="false">Inputs!$C$13</f>
        <v>2400</v>
      </c>
      <c r="D9" s="9" t="s">
        <v>62</v>
      </c>
    </row>
    <row r="10" customFormat="false" ht="15" hidden="false" customHeight="false" outlineLevel="0" collapsed="false">
      <c r="B10" s="9" t="s">
        <v>24</v>
      </c>
      <c r="C10" s="17" t="n">
        <f aca="false">Inputs!$C$14</f>
        <v>1200</v>
      </c>
      <c r="D10" s="9" t="s">
        <v>62</v>
      </c>
    </row>
    <row r="11" customFormat="false" ht="15" hidden="false" customHeight="false" outlineLevel="0" collapsed="false">
      <c r="B11" s="9" t="s">
        <v>25</v>
      </c>
      <c r="C11" s="17" t="n">
        <f aca="false">Inputs!$C$15</f>
        <v>900</v>
      </c>
      <c r="D11" s="9" t="s">
        <v>62</v>
      </c>
    </row>
    <row r="12" customFormat="false" ht="15" hidden="false" customHeight="false" outlineLevel="0" collapsed="false">
      <c r="B12" s="9" t="s">
        <v>63</v>
      </c>
      <c r="C12" s="17" t="n">
        <f aca="false">Inputs!$C$16</f>
        <v>3000</v>
      </c>
      <c r="D12" s="9" t="s">
        <v>62</v>
      </c>
    </row>
    <row r="13" customFormat="false" ht="15" hidden="false" customHeight="false" outlineLevel="0" collapsed="false">
      <c r="B13" s="9" t="s">
        <v>27</v>
      </c>
      <c r="C13" s="17" t="n">
        <f aca="false">Inputs!$C$17</f>
        <v>18000</v>
      </c>
      <c r="D13" s="9" t="s">
        <v>62</v>
      </c>
    </row>
    <row r="14" customFormat="false" ht="15" hidden="false" customHeight="false" outlineLevel="0" collapsed="false">
      <c r="B14" s="9" t="s">
        <v>28</v>
      </c>
      <c r="C14" s="17" t="n">
        <f aca="false">Inputs!$C$6*Inputs!$C$18</f>
        <v>12950</v>
      </c>
      <c r="D14" s="9" t="s">
        <v>64</v>
      </c>
    </row>
    <row r="15" customFormat="false" ht="15" hidden="false" customHeight="false" outlineLevel="0" collapsed="false">
      <c r="B15" s="18" t="s">
        <v>65</v>
      </c>
      <c r="C15" s="19" t="n">
        <f aca="false">SUM(C6:C14)</f>
        <v>133594</v>
      </c>
    </row>
    <row r="16" customFormat="false" ht="15" hidden="false" customHeight="false" outlineLevel="0" collapsed="false">
      <c r="B16" s="18" t="s">
        <v>66</v>
      </c>
      <c r="C16" s="19" t="n">
        <f aca="false">Inputs!$C$6-$C$15</f>
        <v>51406</v>
      </c>
    </row>
    <row r="17" customFormat="false" ht="15" hidden="false" customHeight="false" outlineLevel="0" collapsed="false">
      <c r="B17" s="9" t="s">
        <v>67</v>
      </c>
      <c r="C17" s="20" t="n">
        <f aca="false">$C$16/Inputs!$C$6</f>
        <v>0.27787027027027</v>
      </c>
    </row>
    <row r="18" customFormat="false" ht="15" hidden="false" customHeight="false" outlineLevel="0" collapsed="false">
      <c r="B18" s="9" t="s">
        <v>68</v>
      </c>
      <c r="C18" s="17" t="n">
        <f aca="false">SUMIF(D6:D14,"yes",C6:C14)</f>
        <v>120644</v>
      </c>
    </row>
    <row r="19" customFormat="false" ht="15" hidden="false" customHeight="false" outlineLevel="0" collapsed="false">
      <c r="B19" s="9" t="s">
        <v>69</v>
      </c>
      <c r="C19" s="20" t="n">
        <f aca="false">$C$16/$C$18</f>
        <v>0.426096614833726</v>
      </c>
    </row>
    <row r="20" customFormat="false" ht="15" hidden="false" customHeight="false" outlineLevel="0" collapsed="false">
      <c r="B20" s="9" t="s">
        <v>70</v>
      </c>
      <c r="C20" s="20" t="n">
        <f aca="false">(1+$C$19)^(12/Inputs!$C$19)-1</f>
        <v>0.531012507963229</v>
      </c>
    </row>
    <row r="21" customFormat="false" ht="15" hidden="false" customHeight="false" outlineLevel="0" collapsed="false">
      <c r="B21" s="9" t="s">
        <v>71</v>
      </c>
      <c r="C21" s="17" t="n">
        <f aca="false">Inputs!$C$9-Inputs!$C$8</f>
        <v>85150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5" min="3" style="0" width="14"/>
    <col collapsed="false" customWidth="true" hidden="false" outlineLevel="0" max="6" min="6" style="0" width="16"/>
  </cols>
  <sheetData>
    <row r="1" customFormat="false" ht="6" hidden="false" customHeight="true" outlineLevel="0" collapsed="false"/>
    <row r="2" customFormat="false" ht="17.35" hidden="false" customHeight="false" outlineLevel="0" collapsed="false">
      <c r="B2" s="5" t="s">
        <v>72</v>
      </c>
    </row>
    <row r="3" customFormat="false" ht="15" hidden="false" customHeight="false" outlineLevel="0" collapsed="false">
      <c r="B3" s="6" t="s">
        <v>73</v>
      </c>
    </row>
    <row r="5" customFormat="false" ht="15" hidden="false" customHeight="false" outlineLevel="0" collapsed="false">
      <c r="B5" s="9" t="s">
        <v>74</v>
      </c>
      <c r="C5" s="17" t="n">
        <f aca="false">Inputs!$C$11+Inputs!$C$13+Inputs!$C$14+Inputs!$C$15+Inputs!$C$16+Inputs!$C$17</f>
        <v>28000</v>
      </c>
    </row>
    <row r="7" customFormat="false" ht="43.5" hidden="false" customHeight="true" outlineLevel="0" collapsed="false">
      <c r="B7" s="15" t="s">
        <v>75</v>
      </c>
      <c r="C7" s="16" t="s">
        <v>76</v>
      </c>
      <c r="D7" s="16" t="s">
        <v>77</v>
      </c>
      <c r="E7" s="16" t="s">
        <v>78</v>
      </c>
      <c r="F7" s="16" t="s">
        <v>79</v>
      </c>
    </row>
    <row r="8" customFormat="false" ht="15" hidden="false" customHeight="false" outlineLevel="0" collapsed="false">
      <c r="B8" s="9" t="s">
        <v>80</v>
      </c>
      <c r="C8" s="13" t="n">
        <v>0.15</v>
      </c>
      <c r="D8" s="19" t="n">
        <f aca="false">(Inputs!$C$6*(1-Inputs!$C$18-C8)-$C$5)/(1+Inputs!$C$10)</f>
        <v>115491.559086395</v>
      </c>
      <c r="E8" s="17" t="n">
        <f aca="false">Inputs!$C$6-(D8*(1+Inputs!$C$10)+$C$5+Inputs!$C$6*Inputs!$C$18)</f>
        <v>27750</v>
      </c>
      <c r="F8" s="21" t="n">
        <f aca="false">E8/Inputs!$C$6</f>
        <v>0.15</v>
      </c>
    </row>
    <row r="9" customFormat="false" ht="15" hidden="false" customHeight="false" outlineLevel="0" collapsed="false">
      <c r="B9" s="9" t="s">
        <v>81</v>
      </c>
      <c r="C9" s="13" t="n">
        <v>0.2</v>
      </c>
      <c r="D9" s="19" t="n">
        <f aca="false">(Inputs!$C$6*(1-Inputs!$C$18-C9)-$C$5)/(1+Inputs!$C$10)</f>
        <v>106305.85898709</v>
      </c>
      <c r="E9" s="17" t="n">
        <f aca="false">Inputs!$C$6-(D9*(1+Inputs!$C$10)+$C$5+Inputs!$C$6*Inputs!$C$18)</f>
        <v>37000</v>
      </c>
      <c r="F9" s="21" t="n">
        <f aca="false">E9/Inputs!$C$6</f>
        <v>0.2</v>
      </c>
    </row>
    <row r="10" customFormat="false" ht="15" hidden="false" customHeight="false" outlineLevel="0" collapsed="false">
      <c r="B10" s="9" t="s">
        <v>82</v>
      </c>
      <c r="C10" s="13" t="n">
        <v>0.25</v>
      </c>
      <c r="D10" s="19" t="n">
        <f aca="false">(Inputs!$C$6*(1-Inputs!$C$18-C10)-$C$5)/(1+Inputs!$C$10)</f>
        <v>97120.1588877855</v>
      </c>
      <c r="E10" s="17" t="n">
        <f aca="false">Inputs!$C$6-(D10*(1+Inputs!$C$10)+$C$5+Inputs!$C$6*Inputs!$C$18)</f>
        <v>46250</v>
      </c>
      <c r="F10" s="21" t="n">
        <f aca="false">E10/Inputs!$C$6</f>
        <v>0.25</v>
      </c>
    </row>
    <row r="11" customFormat="false" ht="15" hidden="false" customHeight="false" outlineLevel="0" collapsed="false">
      <c r="B11" s="9" t="s">
        <v>83</v>
      </c>
      <c r="C11" s="13" t="n">
        <v>0</v>
      </c>
      <c r="D11" s="19" t="n">
        <f aca="false">(Inputs!$C$6*(1-Inputs!$C$18-C11)-$C$5)/(1+Inputs!$C$10)</f>
        <v>143048.65938431</v>
      </c>
      <c r="E11" s="17" t="n">
        <f aca="false">Inputs!$C$6-(D11*(1+Inputs!$C$10)+$C$5+Inputs!$C$6*Inputs!$C$18)</f>
        <v>0</v>
      </c>
      <c r="F11" s="21" t="n">
        <f aca="false">E11/Inputs!$C$6</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5" min="3" style="0" width="14"/>
  </cols>
  <sheetData>
    <row r="1" customFormat="false" ht="6" hidden="false" customHeight="true" outlineLevel="0" collapsed="false"/>
    <row r="2" customFormat="false" ht="17.35" hidden="false" customHeight="false" outlineLevel="0" collapsed="false">
      <c r="B2" s="5" t="s">
        <v>84</v>
      </c>
    </row>
    <row r="3" customFormat="false" ht="15" hidden="false" customHeight="false" outlineLevel="0" collapsed="false">
      <c r="B3" s="6" t="s">
        <v>85</v>
      </c>
    </row>
    <row r="5" customFormat="false" ht="30" hidden="false" customHeight="true" outlineLevel="0" collapsed="false">
      <c r="B5" s="15" t="s">
        <v>86</v>
      </c>
      <c r="C5" s="16" t="s">
        <v>27</v>
      </c>
      <c r="D5" s="16" t="s">
        <v>87</v>
      </c>
      <c r="E5" s="16" t="s">
        <v>88</v>
      </c>
    </row>
    <row r="6" customFormat="false" ht="15" hidden="false" customHeight="false" outlineLevel="0" collapsed="false">
      <c r="B6" s="9" t="s">
        <v>89</v>
      </c>
      <c r="C6" s="17" t="n">
        <f aca="false">Inputs!$C$17</f>
        <v>18000</v>
      </c>
      <c r="D6" s="17" t="n">
        <f aca="false">Inputs!$C$6</f>
        <v>185000</v>
      </c>
      <c r="E6" s="19" t="n">
        <f aca="false">D6-(Inputs!$C$9*(1+Inputs!$C$10)+Inputs!$C$11+Inputs!$C$13+Inputs!$C$14+Inputs!$C$15+Inputs!$C$16+C6+D6*Inputs!$C$18)</f>
        <v>51406</v>
      </c>
    </row>
    <row r="7" customFormat="false" ht="15" hidden="false" customHeight="false" outlineLevel="0" collapsed="false">
      <c r="B7" s="9" t="s">
        <v>90</v>
      </c>
      <c r="C7" s="17" t="n">
        <f aca="false">Inputs!$C$17*(1+Inputs!$C$22)</f>
        <v>27000</v>
      </c>
      <c r="D7" s="17" t="n">
        <f aca="false">Inputs!$C$6</f>
        <v>185000</v>
      </c>
      <c r="E7" s="19" t="n">
        <f aca="false">D7-(Inputs!$C$9*(1+Inputs!$C$10)+Inputs!$C$11+Inputs!$C$13+Inputs!$C$14+Inputs!$C$15+Inputs!$C$16+C7+D7*Inputs!$C$18)</f>
        <v>42406</v>
      </c>
    </row>
    <row r="8" customFormat="false" ht="15" hidden="false" customHeight="false" outlineLevel="0" collapsed="false">
      <c r="B8" s="9" t="s">
        <v>91</v>
      </c>
      <c r="C8" s="17" t="n">
        <f aca="false">Inputs!$C$17</f>
        <v>18000</v>
      </c>
      <c r="D8" s="17" t="n">
        <f aca="false">Inputs!$C$6*(1-Inputs!$C$23)</f>
        <v>166500</v>
      </c>
      <c r="E8" s="19" t="n">
        <f aca="false">D8-(Inputs!$C$9*(1+Inputs!$C$10)+Inputs!$C$11+Inputs!$C$13+Inputs!$C$14+Inputs!$C$15+Inputs!$C$16+C8+D8*Inputs!$C$18)</f>
        <v>34201</v>
      </c>
    </row>
    <row r="9" customFormat="false" ht="15" hidden="false" customHeight="false" outlineLevel="0" collapsed="false">
      <c r="B9" s="9" t="s">
        <v>92</v>
      </c>
      <c r="C9" s="17" t="n">
        <f aca="false">Inputs!$C$17*(1+Inputs!$C$22)</f>
        <v>27000</v>
      </c>
      <c r="D9" s="17" t="n">
        <f aca="false">Inputs!$C$6*(1-Inputs!$C$23)</f>
        <v>166500</v>
      </c>
      <c r="E9" s="19" t="n">
        <f aca="false">D9-(Inputs!$C$9*(1+Inputs!$C$10)+Inputs!$C$11+Inputs!$C$13+Inputs!$C$14+Inputs!$C$15+Inputs!$C$16+C9+D9*Inputs!$C$18)</f>
        <v>25201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4"/>
    <col collapsed="false" customWidth="true" hidden="false" outlineLevel="0" max="4" min="4" style="0" width="30"/>
  </cols>
  <sheetData>
    <row r="1" customFormat="false" ht="6" hidden="false" customHeight="true" outlineLevel="0" collapsed="false"/>
    <row r="2" customFormat="false" ht="17.35" hidden="false" customHeight="false" outlineLevel="0" collapsed="false">
      <c r="B2" s="5" t="s">
        <v>93</v>
      </c>
    </row>
    <row r="3" customFormat="false" ht="15" hidden="false" customHeight="false" outlineLevel="0" collapsed="false">
      <c r="B3" s="6" t="s">
        <v>94</v>
      </c>
    </row>
    <row r="5" customFormat="false" ht="15" hidden="false" customHeight="false" outlineLevel="0" collapsed="false">
      <c r="B5" s="9" t="s">
        <v>95</v>
      </c>
      <c r="C5" s="22" t="n">
        <f aca="false">IF(Inputs!$C$24&lt;=12,Inputs!$C$25,Inputs!$C$26)</f>
        <v>0.25</v>
      </c>
    </row>
    <row r="6" customFormat="false" ht="15" hidden="false" customHeight="false" outlineLevel="0" collapsed="false">
      <c r="B6" s="9" t="s">
        <v>96</v>
      </c>
      <c r="C6" s="17" t="n">
        <f aca="false">Inputs!$C$9*Inputs!$C$10</f>
        <v>644</v>
      </c>
    </row>
    <row r="7" customFormat="false" ht="15" hidden="false" customHeight="false" outlineLevel="0" collapsed="false">
      <c r="B7" s="9" t="s">
        <v>97</v>
      </c>
      <c r="C7" s="17" t="n">
        <f aca="false">Inputs!$C$13*Inputs!$C$24/Inputs!$C$19</f>
        <v>1920</v>
      </c>
    </row>
    <row r="8" customFormat="false" ht="15" hidden="false" customHeight="false" outlineLevel="0" collapsed="false">
      <c r="B8" s="9" t="s">
        <v>98</v>
      </c>
      <c r="C8" s="17" t="n">
        <f aca="false">(Inputs!$C$13+Inputs!$C$14)*Inputs!$C$24/Inputs!$C$19</f>
        <v>2880</v>
      </c>
    </row>
    <row r="9" customFormat="false" ht="15" hidden="false" customHeight="false" outlineLevel="0" collapsed="false">
      <c r="B9" s="18" t="s">
        <v>99</v>
      </c>
      <c r="C9" s="19" t="n">
        <f aca="false">Inputs!$C$9*(1+$C$5)+$C$6+$C$7</f>
        <v>117564</v>
      </c>
    </row>
    <row r="10" customFormat="false" ht="15" hidden="false" customHeight="false" outlineLevel="0" collapsed="false">
      <c r="B10" s="18" t="s">
        <v>100</v>
      </c>
      <c r="C10" s="19" t="n">
        <f aca="false">$C$9-Inputs!$C$9-$C$6-$C$8</f>
        <v>22040</v>
      </c>
    </row>
    <row r="11" customFormat="false" ht="15" hidden="false" customHeight="false" outlineLevel="0" collapsed="false">
      <c r="B11" s="9" t="s">
        <v>101</v>
      </c>
      <c r="C11" s="20" t="n">
        <f aca="false">(1+$C$10/(Inputs!$C$9+$C$6))^(12/Inputs!$C$24)-1</f>
        <v>0.377299219055581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6" min="3" style="0" width="16"/>
  </cols>
  <sheetData>
    <row r="1" customFormat="false" ht="6" hidden="false" customHeight="true" outlineLevel="0" collapsed="false"/>
    <row r="2" customFormat="false" ht="17.35" hidden="false" customHeight="false" outlineLevel="0" collapsed="false">
      <c r="B2" s="5" t="s">
        <v>102</v>
      </c>
    </row>
    <row r="3" customFormat="false" ht="15" hidden="false" customHeight="false" outlineLevel="0" collapsed="false">
      <c r="B3" s="6" t="s">
        <v>103</v>
      </c>
    </row>
    <row r="5" customFormat="false" ht="15" hidden="false" customHeight="false" outlineLevel="0" collapsed="false">
      <c r="B5" s="9" t="s">
        <v>104</v>
      </c>
      <c r="C5" s="20" t="n">
        <f aca="false">1-Inputs!$C$31</f>
        <v>0.07</v>
      </c>
    </row>
    <row r="7" customFormat="false" ht="15" hidden="false" customHeight="false" outlineLevel="0" collapsed="false">
      <c r="B7" s="7" t="s">
        <v>105</v>
      </c>
      <c r="C7" s="8"/>
    </row>
    <row r="8" customFormat="false" ht="15" hidden="false" customHeight="false" outlineLevel="0" collapsed="false">
      <c r="B8" s="9" t="s">
        <v>106</v>
      </c>
      <c r="C8" s="23" t="n">
        <f aca="false">Inputs!$C$29</f>
        <v>3600</v>
      </c>
    </row>
    <row r="9" customFormat="false" ht="15" hidden="false" customHeight="false" outlineLevel="0" collapsed="false">
      <c r="B9" s="9" t="s">
        <v>107</v>
      </c>
      <c r="C9" s="23" t="n">
        <f aca="false">Inputs!$C$29</f>
        <v>3600</v>
      </c>
    </row>
    <row r="10" customFormat="false" ht="15" hidden="false" customHeight="false" outlineLevel="0" collapsed="false">
      <c r="B10" s="9" t="s">
        <v>108</v>
      </c>
      <c r="C10" s="23" t="n">
        <f aca="false">Inputs!$C$29</f>
        <v>3600</v>
      </c>
    </row>
    <row r="11" customFormat="false" ht="15" hidden="false" customHeight="false" outlineLevel="0" collapsed="false">
      <c r="B11" s="9" t="s">
        <v>109</v>
      </c>
      <c r="C11" s="23" t="n">
        <f aca="false">Inputs!$C$39</f>
        <v>1800</v>
      </c>
    </row>
    <row r="12" customFormat="false" ht="15" hidden="false" customHeight="false" outlineLevel="0" collapsed="false">
      <c r="B12" s="18" t="s">
        <v>110</v>
      </c>
      <c r="C12" s="24" t="n">
        <f aca="false">SUM(C8:C11)</f>
        <v>12600</v>
      </c>
    </row>
    <row r="14" customFormat="false" ht="30" hidden="false" customHeight="true" outlineLevel="0" collapsed="false">
      <c r="B14" s="15" t="s">
        <v>111</v>
      </c>
      <c r="C14" s="16" t="s">
        <v>112</v>
      </c>
      <c r="D14" s="16" t="s">
        <v>113</v>
      </c>
    </row>
    <row r="15" customFormat="false" ht="15" hidden="false" customHeight="false" outlineLevel="0" collapsed="false">
      <c r="B15" s="9" t="s">
        <v>114</v>
      </c>
      <c r="C15" s="25" t="n">
        <f aca="false">Inputs!$C$40</f>
        <v>27</v>
      </c>
      <c r="D15" s="25" t="n">
        <f aca="false">Inputs!$C$41</f>
        <v>30</v>
      </c>
    </row>
    <row r="16" customFormat="false" ht="15" hidden="false" customHeight="false" outlineLevel="0" collapsed="false">
      <c r="B16" s="9" t="s">
        <v>115</v>
      </c>
      <c r="C16" s="23" t="n">
        <f aca="false">Inputs!$C$29*(1+IF(Inputs!$C$30&lt;=0,0,MAX(Inputs!$C$30*C15/12,Inputs!$C$35)))</f>
        <v>4167</v>
      </c>
      <c r="D16" s="23" t="n">
        <f aca="false">Inputs!$C$29*(1+IF(Inputs!$C$30&lt;=0,0,MAX(Inputs!$C$30*D15/12,Inputs!$C$35)))</f>
        <v>4230</v>
      </c>
    </row>
    <row r="17" customFormat="false" ht="15" hidden="false" customHeight="false" outlineLevel="0" collapsed="false">
      <c r="B17" s="9" t="s">
        <v>116</v>
      </c>
      <c r="C17" s="23" t="n">
        <f aca="false">Inputs!$C$29*(1+Inputs!$C$36*(C15-Inputs!$C$37)/12)</f>
        <v>4410</v>
      </c>
      <c r="D17" s="23" t="n">
        <f aca="false">Inputs!$C$29*(1+Inputs!$C$36*(D15-Inputs!$C$37)/12)</f>
        <v>4572</v>
      </c>
    </row>
    <row r="18" customFormat="false" ht="15" hidden="false" customHeight="false" outlineLevel="0" collapsed="false">
      <c r="B18" s="9" t="s">
        <v>117</v>
      </c>
      <c r="C18" s="23" t="n">
        <f aca="false">Inputs!$C$29*(1+Inputs!$C$36*(C15-Inputs!$C$38)/12)</f>
        <v>3762</v>
      </c>
      <c r="D18" s="23" t="n">
        <f aca="false">Inputs!$C$29*(1+Inputs!$C$36*(D15-Inputs!$C$38)/12)</f>
        <v>3924</v>
      </c>
    </row>
    <row r="19" customFormat="false" ht="15" hidden="false" customHeight="false" outlineLevel="0" collapsed="false">
      <c r="B19" s="9" t="s">
        <v>109</v>
      </c>
      <c r="C19" s="23" t="n">
        <f aca="false">Inputs!$C$39</f>
        <v>1800</v>
      </c>
      <c r="D19" s="23" t="n">
        <f aca="false">Inputs!$C$39</f>
        <v>1800</v>
      </c>
    </row>
    <row r="20" customFormat="false" ht="15" hidden="false" customHeight="false" outlineLevel="0" collapsed="false">
      <c r="B20" s="18" t="s">
        <v>118</v>
      </c>
      <c r="C20" s="24" t="n">
        <f aca="false">SUM(C16:C19)</f>
        <v>14139</v>
      </c>
      <c r="D20" s="24" t="n">
        <f aca="false">SUM(D16:D19)</f>
        <v>14526</v>
      </c>
    </row>
    <row r="22" customFormat="false" ht="15" hidden="false" customHeight="false" outlineLevel="0" collapsed="false">
      <c r="B22" s="7" t="s">
        <v>119</v>
      </c>
      <c r="C22" s="8"/>
    </row>
    <row r="23" customFormat="false" ht="15" hidden="false" customHeight="false" outlineLevel="0" collapsed="false">
      <c r="B23" s="9" t="s">
        <v>120</v>
      </c>
      <c r="C23" s="23" t="n">
        <f aca="false">Inputs!$C$34*$C$12</f>
        <v>11340</v>
      </c>
    </row>
    <row r="24" customFormat="false" ht="15" hidden="false" customHeight="false" outlineLevel="0" collapsed="false">
      <c r="B24" s="9" t="s">
        <v>121</v>
      </c>
      <c r="C24" s="23" t="n">
        <f aca="false">$C$12-$C$23</f>
        <v>1260</v>
      </c>
    </row>
    <row r="26" customFormat="false" ht="15" hidden="false" customHeight="false" outlineLevel="0" collapsed="false">
      <c r="B26" s="7" t="s">
        <v>122</v>
      </c>
      <c r="C26" s="8"/>
    </row>
    <row r="27" customFormat="false" ht="15" hidden="false" customHeight="false" outlineLevel="0" collapsed="false">
      <c r="B27" s="9" t="s">
        <v>123</v>
      </c>
      <c r="C27" s="21" t="n">
        <f aca="false">$C$5*Inputs!$C$32</f>
        <v>0.042</v>
      </c>
    </row>
    <row r="28" customFormat="false" ht="15" hidden="false" customHeight="false" outlineLevel="0" collapsed="false">
      <c r="B28" s="9" t="s">
        <v>124</v>
      </c>
      <c r="C28" s="21" t="n">
        <f aca="false">($C$5-$C$27)*Inputs!$C$33</f>
        <v>0.0238</v>
      </c>
    </row>
    <row r="29" customFormat="false" ht="15" hidden="false" customHeight="false" outlineLevel="0" collapsed="false">
      <c r="B29" s="9" t="s">
        <v>125</v>
      </c>
      <c r="C29" s="21" t="n">
        <f aca="false">$C$5-$C$27-$C$28</f>
        <v>0.0042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0"/>
    <col collapsed="false" customWidth="true" hidden="false" outlineLevel="0" max="4" min="4" style="0" width="70"/>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126</v>
      </c>
    </row>
    <row r="3" customFormat="false" ht="15" hidden="false" customHeight="false" outlineLevel="0" collapsed="false">
      <c r="B3" s="6" t="s">
        <v>127</v>
      </c>
    </row>
    <row r="4" customFormat="false" ht="15" hidden="false" customHeight="false" outlineLevel="0" collapsed="false">
      <c r="C4" s="18" t="s">
        <v>128</v>
      </c>
      <c r="E4" s="26" t="n">
        <f aca="false">COUNTA(I9:I52)</f>
        <v>44</v>
      </c>
    </row>
    <row r="5" customFormat="false" ht="15" hidden="false" customHeight="false" outlineLevel="0" collapsed="false">
      <c r="C5" s="18" t="s">
        <v>129</v>
      </c>
      <c r="E5" s="26" t="n">
        <f aca="false">COUNTIF(I9:I52,"PASS")</f>
        <v>44</v>
      </c>
    </row>
    <row r="6" customFormat="false" ht="15" hidden="false" customHeight="false" outlineLevel="0" collapsed="false">
      <c r="C6" s="18" t="s">
        <v>130</v>
      </c>
      <c r="E6" s="26" t="n">
        <f aca="false">COUNTIF(I9:I52,"FAIL")</f>
        <v>0</v>
      </c>
    </row>
    <row r="8" customFormat="false" ht="21.75" hidden="false" customHeight="true" outlineLevel="0" collapsed="false">
      <c r="B8" s="15" t="s">
        <v>131</v>
      </c>
      <c r="C8" s="16" t="s">
        <v>132</v>
      </c>
      <c r="D8" s="16" t="s">
        <v>133</v>
      </c>
      <c r="E8" s="16" t="s">
        <v>134</v>
      </c>
      <c r="F8" s="16" t="s">
        <v>135</v>
      </c>
      <c r="G8" s="16" t="s">
        <v>136</v>
      </c>
      <c r="H8" s="16" t="s">
        <v>137</v>
      </c>
      <c r="I8" s="16" t="s">
        <v>138</v>
      </c>
    </row>
    <row r="9" customFormat="false" ht="15" hidden="false" customHeight="false" outlineLevel="0" collapsed="false">
      <c r="B9" s="27" t="n">
        <v>1</v>
      </c>
      <c r="C9" s="9" t="s">
        <v>139</v>
      </c>
      <c r="D9" s="9" t="s">
        <v>18</v>
      </c>
      <c r="E9" s="28" t="n">
        <v>644</v>
      </c>
      <c r="F9" s="29" t="n">
        <f aca="false">Deed_Deal!$C$7</f>
        <v>644</v>
      </c>
      <c r="G9" s="30" t="n">
        <f aca="false">IF(ISNUMBER(F9),F9-E9,"n/a")</f>
        <v>0</v>
      </c>
      <c r="H9" s="31" t="n">
        <v>0.500000001</v>
      </c>
      <c r="I9" s="32" t="str">
        <f aca="false">IF(ISNUMBER(F9),IF(ABS(F9-E9)&lt;=H9,"PASS","FAIL"),"FAIL")</f>
        <v>PASS</v>
      </c>
    </row>
    <row r="10" customFormat="false" ht="15" hidden="false" customHeight="false" outlineLevel="0" collapsed="false">
      <c r="B10" s="27" t="n">
        <v>2</v>
      </c>
      <c r="C10" s="9" t="s">
        <v>139</v>
      </c>
      <c r="D10" s="9" t="s">
        <v>28</v>
      </c>
      <c r="E10" s="28" t="n">
        <v>12950</v>
      </c>
      <c r="F10" s="29" t="n">
        <f aca="false">Deed_Deal!$C$14</f>
        <v>12950</v>
      </c>
      <c r="G10" s="30" t="n">
        <f aca="false">IF(ISNUMBER(F10),F10-E10,"n/a")</f>
        <v>0</v>
      </c>
      <c r="H10" s="31" t="n">
        <v>0.500000001</v>
      </c>
      <c r="I10" s="32" t="str">
        <f aca="false">IF(ISNUMBER(F10),IF(ABS(F10-E10)&lt;=H10,"PASS","FAIL"),"FAIL")</f>
        <v>PASS</v>
      </c>
    </row>
    <row r="11" customFormat="false" ht="15" hidden="false" customHeight="false" outlineLevel="0" collapsed="false">
      <c r="B11" s="27" t="n">
        <v>3</v>
      </c>
      <c r="C11" s="9" t="s">
        <v>139</v>
      </c>
      <c r="D11" s="9" t="s">
        <v>65</v>
      </c>
      <c r="E11" s="28" t="n">
        <v>133594</v>
      </c>
      <c r="F11" s="29" t="n">
        <f aca="false">Deed_Deal!$C$15</f>
        <v>133594</v>
      </c>
      <c r="G11" s="30" t="n">
        <f aca="false">IF(ISNUMBER(F11),F11-E11,"n/a")</f>
        <v>0</v>
      </c>
      <c r="H11" s="31" t="n">
        <v>0.500000001</v>
      </c>
      <c r="I11" s="32" t="str">
        <f aca="false">IF(ISNUMBER(F11),IF(ABS(F11-E11)&lt;=H11,"PASS","FAIL"),"FAIL")</f>
        <v>PASS</v>
      </c>
    </row>
    <row r="12" customFormat="false" ht="15" hidden="false" customHeight="false" outlineLevel="0" collapsed="false">
      <c r="B12" s="27" t="n">
        <v>4</v>
      </c>
      <c r="C12" s="9" t="s">
        <v>139</v>
      </c>
      <c r="D12" s="9" t="s">
        <v>88</v>
      </c>
      <c r="E12" s="28" t="n">
        <v>51406</v>
      </c>
      <c r="F12" s="29" t="n">
        <f aca="false">Deed_Deal!$C$16</f>
        <v>51406</v>
      </c>
      <c r="G12" s="30" t="n">
        <f aca="false">IF(ISNUMBER(F12),F12-E12,"n/a")</f>
        <v>0</v>
      </c>
      <c r="H12" s="31" t="n">
        <v>0.500000001</v>
      </c>
      <c r="I12" s="32" t="str">
        <f aca="false">IF(ISNUMBER(F12),IF(ABS(F12-E12)&lt;=H12,"PASS","FAIL"),"FAIL")</f>
        <v>PASS</v>
      </c>
    </row>
    <row r="13" customFormat="false" ht="15" hidden="false" customHeight="false" outlineLevel="0" collapsed="false">
      <c r="B13" s="27" t="n">
        <v>5</v>
      </c>
      <c r="C13" s="9" t="s">
        <v>139</v>
      </c>
      <c r="D13" s="9" t="s">
        <v>140</v>
      </c>
      <c r="E13" s="11" t="n">
        <v>0.278</v>
      </c>
      <c r="F13" s="33" t="n">
        <f aca="false">Deed_Deal!$C$17</f>
        <v>0.27787027027027</v>
      </c>
      <c r="G13" s="30" t="n">
        <f aca="false">IF(ISNUMBER(F13),F13-E13,"n/a")</f>
        <v>-0.000129729729729744</v>
      </c>
      <c r="H13" s="31" t="n">
        <v>0.000500001</v>
      </c>
      <c r="I13" s="32" t="str">
        <f aca="false">IF(ISNUMBER(F13),IF(ABS(F13-E13)&lt;=H13,"PASS","FAIL"),"FAIL")</f>
        <v>PASS</v>
      </c>
    </row>
    <row r="14" customFormat="false" ht="15" hidden="false" customHeight="false" outlineLevel="0" collapsed="false">
      <c r="B14" s="27" t="n">
        <v>6</v>
      </c>
      <c r="C14" s="9" t="s">
        <v>139</v>
      </c>
      <c r="D14" s="9" t="s">
        <v>68</v>
      </c>
      <c r="E14" s="28" t="n">
        <v>120644</v>
      </c>
      <c r="F14" s="29" t="n">
        <f aca="false">Deed_Deal!$C$18</f>
        <v>120644</v>
      </c>
      <c r="G14" s="30" t="n">
        <f aca="false">IF(ISNUMBER(F14),F14-E14,"n/a")</f>
        <v>0</v>
      </c>
      <c r="H14" s="31" t="n">
        <v>0.500000001</v>
      </c>
      <c r="I14" s="32" t="str">
        <f aca="false">IF(ISNUMBER(F14),IF(ABS(F14-E14)&lt;=H14,"PASS","FAIL"),"FAIL")</f>
        <v>PASS</v>
      </c>
    </row>
    <row r="15" customFormat="false" ht="15" hidden="false" customHeight="false" outlineLevel="0" collapsed="false">
      <c r="B15" s="27" t="n">
        <v>7</v>
      </c>
      <c r="C15" s="9" t="s">
        <v>139</v>
      </c>
      <c r="D15" s="9" t="s">
        <v>141</v>
      </c>
      <c r="E15" s="11" t="n">
        <v>0.426</v>
      </c>
      <c r="F15" s="33" t="n">
        <f aca="false">Deed_Deal!$C$19</f>
        <v>0.426096614833726</v>
      </c>
      <c r="G15" s="30" t="n">
        <f aca="false">IF(ISNUMBER(F15),F15-E15,"n/a")</f>
        <v>9.66148337256945E-005</v>
      </c>
      <c r="H15" s="31" t="n">
        <v>0.000500001</v>
      </c>
      <c r="I15" s="32" t="str">
        <f aca="false">IF(ISNUMBER(F15),IF(ABS(F15-E15)&lt;=H15,"PASS","FAIL"),"FAIL")</f>
        <v>PASS</v>
      </c>
    </row>
    <row r="16" customFormat="false" ht="15" hidden="false" customHeight="false" outlineLevel="0" collapsed="false">
      <c r="B16" s="27" t="n">
        <v>8</v>
      </c>
      <c r="C16" s="9" t="s">
        <v>139</v>
      </c>
      <c r="D16" s="9" t="s">
        <v>142</v>
      </c>
      <c r="E16" s="11" t="n">
        <v>0.531</v>
      </c>
      <c r="F16" s="33" t="n">
        <f aca="false">Deed_Deal!$C$20</f>
        <v>0.531012507963229</v>
      </c>
      <c r="G16" s="30" t="n">
        <f aca="false">IF(ISNUMBER(F16),F16-E16,"n/a")</f>
        <v>1.2507963229047E-005</v>
      </c>
      <c r="H16" s="31" t="n">
        <v>0.000500001</v>
      </c>
      <c r="I16" s="32" t="str">
        <f aca="false">IF(ISNUMBER(F16),IF(ABS(F16-E16)&lt;=H16,"PASS","FAIL"),"FAIL")</f>
        <v>PASS</v>
      </c>
    </row>
    <row r="17" customFormat="false" ht="15" hidden="false" customHeight="false" outlineLevel="0" collapsed="false">
      <c r="B17" s="27" t="n">
        <v>9</v>
      </c>
      <c r="C17" s="9" t="s">
        <v>139</v>
      </c>
      <c r="D17" s="9" t="s">
        <v>143</v>
      </c>
      <c r="E17" s="28" t="n">
        <v>85150</v>
      </c>
      <c r="F17" s="29" t="n">
        <f aca="false">Deed_Deal!$C$21</f>
        <v>85150</v>
      </c>
      <c r="G17" s="30" t="n">
        <f aca="false">IF(ISNUMBER(F17),F17-E17,"n/a")</f>
        <v>0</v>
      </c>
      <c r="H17" s="31" t="n">
        <v>0.500000001</v>
      </c>
      <c r="I17" s="32" t="str">
        <f aca="false">IF(ISNUMBER(F17),IF(ABS(F17-E17)&lt;=H17,"PASS","FAIL"),"FAIL")</f>
        <v>PASS</v>
      </c>
    </row>
    <row r="18" customFormat="false" ht="15" hidden="false" customHeight="true" outlineLevel="0" collapsed="false">
      <c r="B18" s="27" t="n">
        <v>10</v>
      </c>
      <c r="C18" s="9" t="s">
        <v>139</v>
      </c>
      <c r="D18" s="34" t="s">
        <v>144</v>
      </c>
      <c r="E18" s="35" t="s">
        <v>145</v>
      </c>
      <c r="F18" s="36" t="str">
        <f aca="false">IF(Deed_Deal!$C$16&gt;0,"holds","does not hold")</f>
        <v>holds</v>
      </c>
      <c r="G18" s="9"/>
      <c r="H18" s="9"/>
      <c r="I18" s="32" t="str">
        <f aca="false">IF(Deed_Deal!$C$16&gt;0,"PASS","FAIL")</f>
        <v>PASS</v>
      </c>
    </row>
    <row r="19" customFormat="false" ht="15" hidden="false" customHeight="true" outlineLevel="0" collapsed="false">
      <c r="B19" s="27" t="n">
        <v>11</v>
      </c>
      <c r="C19" s="9" t="s">
        <v>146</v>
      </c>
      <c r="D19" s="34" t="s">
        <v>147</v>
      </c>
      <c r="E19" s="35" t="s">
        <v>145</v>
      </c>
      <c r="F19" s="36" t="str">
        <f aca="false">IF(ABS(Max_Bid!F8-Max_Bid!C8)&lt;0.000000001,"holds","does not hold")</f>
        <v>holds</v>
      </c>
      <c r="G19" s="9"/>
      <c r="H19" s="9"/>
      <c r="I19" s="32" t="str">
        <f aca="false">IF(ABS(Max_Bid!F8-Max_Bid!C8)&lt;0.000000001,"PASS","FAIL")</f>
        <v>PASS</v>
      </c>
    </row>
    <row r="20" customFormat="false" ht="15" hidden="false" customHeight="true" outlineLevel="0" collapsed="false">
      <c r="B20" s="27" t="n">
        <v>12</v>
      </c>
      <c r="C20" s="9" t="s">
        <v>146</v>
      </c>
      <c r="D20" s="34" t="s">
        <v>148</v>
      </c>
      <c r="E20" s="35" t="s">
        <v>145</v>
      </c>
      <c r="F20" s="36" t="str">
        <f aca="false">IF(ABS(Max_Bid!F9-Max_Bid!C9)&lt;0.000000001,"holds","does not hold")</f>
        <v>holds</v>
      </c>
      <c r="G20" s="9"/>
      <c r="H20" s="9"/>
      <c r="I20" s="32" t="str">
        <f aca="false">IF(ABS(Max_Bid!F9-Max_Bid!C9)&lt;0.000000001,"PASS","FAIL")</f>
        <v>PASS</v>
      </c>
    </row>
    <row r="21" customFormat="false" ht="15" hidden="false" customHeight="true" outlineLevel="0" collapsed="false">
      <c r="B21" s="27" t="n">
        <v>13</v>
      </c>
      <c r="C21" s="9" t="s">
        <v>146</v>
      </c>
      <c r="D21" s="34" t="s">
        <v>149</v>
      </c>
      <c r="E21" s="35" t="s">
        <v>145</v>
      </c>
      <c r="F21" s="36" t="str">
        <f aca="false">IF(ABS(Max_Bid!F10-Max_Bid!C10)&lt;0.000000001,"holds","does not hold")</f>
        <v>holds</v>
      </c>
      <c r="G21" s="9"/>
      <c r="H21" s="9"/>
      <c r="I21" s="32" t="str">
        <f aca="false">IF(ABS(Max_Bid!F10-Max_Bid!C10)&lt;0.000000001,"PASS","FAIL")</f>
        <v>PASS</v>
      </c>
    </row>
    <row r="22" customFormat="false" ht="15" hidden="false" customHeight="true" outlineLevel="0" collapsed="false">
      <c r="B22" s="27" t="n">
        <v>14</v>
      </c>
      <c r="C22" s="9" t="s">
        <v>146</v>
      </c>
      <c r="D22" s="34" t="s">
        <v>150</v>
      </c>
      <c r="E22" s="35" t="s">
        <v>145</v>
      </c>
      <c r="F22" s="36" t="str">
        <f aca="false">IF(ABS(Max_Bid!F11-Max_Bid!C11)&lt;0.000000001,"holds","does not hold")</f>
        <v>holds</v>
      </c>
      <c r="G22" s="9"/>
      <c r="H22" s="9"/>
      <c r="I22" s="32" t="str">
        <f aca="false">IF(ABS(Max_Bid!F11-Max_Bid!C11)&lt;0.000000001,"PASS","FAIL")</f>
        <v>PASS</v>
      </c>
    </row>
    <row r="23" customFormat="false" ht="15" hidden="false" customHeight="false" outlineLevel="0" collapsed="false">
      <c r="B23" s="27" t="n">
        <v>15</v>
      </c>
      <c r="C23" s="9" t="s">
        <v>146</v>
      </c>
      <c r="D23" s="9" t="s">
        <v>151</v>
      </c>
      <c r="E23" s="28" t="n">
        <v>115492</v>
      </c>
      <c r="F23" s="29" t="n">
        <f aca="false">Max_Bid!$D$8</f>
        <v>115491.559086395</v>
      </c>
      <c r="G23" s="30" t="n">
        <f aca="false">IF(ISNUMBER(F23),F23-E23,"n/a")</f>
        <v>-0.440913604790694</v>
      </c>
      <c r="H23" s="31" t="n">
        <v>0.500000001</v>
      </c>
      <c r="I23" s="32" t="str">
        <f aca="false">IF(ISNUMBER(F23),IF(ABS(F23-E23)&lt;=H23,"PASS","FAIL"),"FAIL")</f>
        <v>PASS</v>
      </c>
    </row>
    <row r="24" customFormat="false" ht="15" hidden="false" customHeight="false" outlineLevel="0" collapsed="false">
      <c r="B24" s="27" t="n">
        <v>16</v>
      </c>
      <c r="C24" s="9" t="s">
        <v>146</v>
      </c>
      <c r="D24" s="9" t="s">
        <v>152</v>
      </c>
      <c r="E24" s="28" t="n">
        <v>106306</v>
      </c>
      <c r="F24" s="29" t="n">
        <f aca="false">Max_Bid!$D$9</f>
        <v>106305.85898709</v>
      </c>
      <c r="G24" s="30" t="n">
        <f aca="false">IF(ISNUMBER(F24),F24-E24,"n/a")</f>
        <v>-0.141012909618439</v>
      </c>
      <c r="H24" s="31" t="n">
        <v>0.500000001</v>
      </c>
      <c r="I24" s="32" t="str">
        <f aca="false">IF(ISNUMBER(F24),IF(ABS(F24-E24)&lt;=H24,"PASS","FAIL"),"FAIL")</f>
        <v>PASS</v>
      </c>
    </row>
    <row r="25" customFormat="false" ht="15" hidden="false" customHeight="false" outlineLevel="0" collapsed="false">
      <c r="B25" s="27" t="n">
        <v>17</v>
      </c>
      <c r="C25" s="9" t="s">
        <v>146</v>
      </c>
      <c r="D25" s="9" t="s">
        <v>153</v>
      </c>
      <c r="E25" s="28" t="n">
        <v>97120</v>
      </c>
      <c r="F25" s="29" t="n">
        <f aca="false">Max_Bid!$D$10</f>
        <v>97120.1588877855</v>
      </c>
      <c r="G25" s="30" t="n">
        <f aca="false">IF(ISNUMBER(F25),F25-E25,"n/a")</f>
        <v>0.158887785495608</v>
      </c>
      <c r="H25" s="31" t="n">
        <v>0.500000001</v>
      </c>
      <c r="I25" s="32" t="str">
        <f aca="false">IF(ISNUMBER(F25),IF(ABS(F25-E25)&lt;=H25,"PASS","FAIL"),"FAIL")</f>
        <v>PASS</v>
      </c>
    </row>
    <row r="26" customFormat="false" ht="15" hidden="false" customHeight="false" outlineLevel="0" collapsed="false">
      <c r="B26" s="27" t="n">
        <v>18</v>
      </c>
      <c r="C26" s="9" t="s">
        <v>146</v>
      </c>
      <c r="D26" s="9" t="s">
        <v>154</v>
      </c>
      <c r="E26" s="28" t="n">
        <v>143049</v>
      </c>
      <c r="F26" s="29" t="n">
        <f aca="false">Max_Bid!$D$11</f>
        <v>143048.65938431</v>
      </c>
      <c r="G26" s="30" t="n">
        <f aca="false">IF(ISNUMBER(F26),F26-E26,"n/a")</f>
        <v>-0.34061569016194</v>
      </c>
      <c r="H26" s="31" t="n">
        <v>0.500000001</v>
      </c>
      <c r="I26" s="32" t="str">
        <f aca="false">IF(ISNUMBER(F26),IF(ABS(F26-E26)&lt;=H26,"PASS","FAIL"),"FAIL")</f>
        <v>PASS</v>
      </c>
    </row>
    <row r="27" customFormat="false" ht="15" hidden="false" customHeight="false" outlineLevel="0" collapsed="false">
      <c r="B27" s="27" t="n">
        <v>19</v>
      </c>
      <c r="C27" s="9" t="s">
        <v>155</v>
      </c>
      <c r="D27" s="9" t="s">
        <v>156</v>
      </c>
      <c r="E27" s="28" t="n">
        <v>27000</v>
      </c>
      <c r="F27" s="29" t="n">
        <f aca="false">Sensitivity!$C$7</f>
        <v>27000</v>
      </c>
      <c r="G27" s="30" t="n">
        <f aca="false">IF(ISNUMBER(F27),F27-E27,"n/a")</f>
        <v>0</v>
      </c>
      <c r="H27" s="31" t="n">
        <v>0.500000001</v>
      </c>
      <c r="I27" s="32" t="str">
        <f aca="false">IF(ISNUMBER(F27),IF(ABS(F27-E27)&lt;=H27,"PASS","FAIL"),"FAIL")</f>
        <v>PASS</v>
      </c>
    </row>
    <row r="28" customFormat="false" ht="15" hidden="false" customHeight="false" outlineLevel="0" collapsed="false">
      <c r="B28" s="27" t="n">
        <v>20</v>
      </c>
      <c r="C28" s="9" t="s">
        <v>155</v>
      </c>
      <c r="D28" s="9" t="s">
        <v>157</v>
      </c>
      <c r="E28" s="28" t="n">
        <v>166500</v>
      </c>
      <c r="F28" s="29" t="n">
        <f aca="false">Sensitivity!$D$8</f>
        <v>166500</v>
      </c>
      <c r="G28" s="30" t="n">
        <f aca="false">IF(ISNUMBER(F28),F28-E28,"n/a")</f>
        <v>0</v>
      </c>
      <c r="H28" s="31" t="n">
        <v>0.500000001</v>
      </c>
      <c r="I28" s="32" t="str">
        <f aca="false">IF(ISNUMBER(F28),IF(ABS(F28-E28)&lt;=H28,"PASS","FAIL"),"FAIL")</f>
        <v>PASS</v>
      </c>
    </row>
    <row r="29" customFormat="false" ht="15" hidden="false" customHeight="false" outlineLevel="0" collapsed="false">
      <c r="B29" s="27" t="n">
        <v>21</v>
      </c>
      <c r="C29" s="9" t="s">
        <v>155</v>
      </c>
      <c r="D29" s="9" t="s">
        <v>158</v>
      </c>
      <c r="E29" s="28" t="n">
        <v>42406</v>
      </c>
      <c r="F29" s="29" t="n">
        <f aca="false">Sensitivity!$E$7</f>
        <v>42406</v>
      </c>
      <c r="G29" s="30" t="n">
        <f aca="false">IF(ISNUMBER(F29),F29-E29,"n/a")</f>
        <v>0</v>
      </c>
      <c r="H29" s="31" t="n">
        <v>0.500000001</v>
      </c>
      <c r="I29" s="32" t="str">
        <f aca="false">IF(ISNUMBER(F29),IF(ABS(F29-E29)&lt;=H29,"PASS","FAIL"),"FAIL")</f>
        <v>PASS</v>
      </c>
    </row>
    <row r="30" customFormat="false" ht="15" hidden="false" customHeight="false" outlineLevel="0" collapsed="false">
      <c r="B30" s="27" t="n">
        <v>22</v>
      </c>
      <c r="C30" s="9" t="s">
        <v>155</v>
      </c>
      <c r="D30" s="9" t="s">
        <v>159</v>
      </c>
      <c r="E30" s="28" t="n">
        <v>34201</v>
      </c>
      <c r="F30" s="29" t="n">
        <f aca="false">Sensitivity!$E$8</f>
        <v>34201</v>
      </c>
      <c r="G30" s="30" t="n">
        <f aca="false">IF(ISNUMBER(F30),F30-E30,"n/a")</f>
        <v>0</v>
      </c>
      <c r="H30" s="31" t="n">
        <v>0.500000001</v>
      </c>
      <c r="I30" s="32" t="str">
        <f aca="false">IF(ISNUMBER(F30),IF(ABS(F30-E30)&lt;=H30,"PASS","FAIL"),"FAIL")</f>
        <v>PASS</v>
      </c>
    </row>
    <row r="31" customFormat="false" ht="15" hidden="false" customHeight="false" outlineLevel="0" collapsed="false">
      <c r="B31" s="27" t="n">
        <v>23</v>
      </c>
      <c r="C31" s="9" t="s">
        <v>155</v>
      </c>
      <c r="D31" s="9" t="s">
        <v>160</v>
      </c>
      <c r="E31" s="28" t="n">
        <v>25201</v>
      </c>
      <c r="F31" s="29" t="n">
        <f aca="false">Sensitivity!$E$9</f>
        <v>25201</v>
      </c>
      <c r="G31" s="30" t="n">
        <f aca="false">IF(ISNUMBER(F31),F31-E31,"n/a")</f>
        <v>0</v>
      </c>
      <c r="H31" s="31" t="n">
        <v>0.500000001</v>
      </c>
      <c r="I31" s="32" t="str">
        <f aca="false">IF(ISNUMBER(F31),IF(ABS(F31-E31)&lt;=H31,"PASS","FAIL"),"FAIL")</f>
        <v>PASS</v>
      </c>
    </row>
    <row r="32" customFormat="false" ht="15" hidden="false" customHeight="true" outlineLevel="0" collapsed="false">
      <c r="B32" s="27" t="n">
        <v>24</v>
      </c>
      <c r="C32" s="9" t="s">
        <v>155</v>
      </c>
      <c r="D32" s="34" t="s">
        <v>161</v>
      </c>
      <c r="E32" s="35" t="s">
        <v>145</v>
      </c>
      <c r="F32" s="36" t="str">
        <f aca="false">IF(ABS(Sensitivity!$E$6-Deed_Deal!$C$16)&lt;0.000000001,"holds","does not hold")</f>
        <v>holds</v>
      </c>
      <c r="G32" s="9"/>
      <c r="H32" s="9"/>
      <c r="I32" s="32" t="str">
        <f aca="false">IF(ABS(Sensitivity!$E$6-Deed_Deal!$C$16)&lt;0.000000001,"PASS","FAIL")</f>
        <v>PASS</v>
      </c>
    </row>
    <row r="33" customFormat="false" ht="15" hidden="false" customHeight="false" outlineLevel="0" collapsed="false">
      <c r="B33" s="27" t="n">
        <v>25</v>
      </c>
      <c r="C33" s="9" t="s">
        <v>162</v>
      </c>
      <c r="D33" s="9" t="s">
        <v>163</v>
      </c>
      <c r="E33" s="28" t="n">
        <v>117564</v>
      </c>
      <c r="F33" s="29" t="n">
        <f aca="false">Redeemable!$C$9</f>
        <v>117564</v>
      </c>
      <c r="G33" s="30" t="n">
        <f aca="false">IF(ISNUMBER(F33),F33-E33,"n/a")</f>
        <v>0</v>
      </c>
      <c r="H33" s="31" t="n">
        <v>0.500000001</v>
      </c>
      <c r="I33" s="32" t="str">
        <f aca="false">IF(ISNUMBER(F33),IF(ABS(F33-E33)&lt;=H33,"PASS","FAIL"),"FAIL")</f>
        <v>PASS</v>
      </c>
    </row>
    <row r="34" customFormat="false" ht="15" hidden="false" customHeight="false" outlineLevel="0" collapsed="false">
      <c r="B34" s="27" t="n">
        <v>26</v>
      </c>
      <c r="C34" s="9" t="s">
        <v>162</v>
      </c>
      <c r="D34" s="9" t="s">
        <v>164</v>
      </c>
      <c r="E34" s="28" t="n">
        <v>2880</v>
      </c>
      <c r="F34" s="29" t="n">
        <f aca="false">Redeemable!$C$8</f>
        <v>2880</v>
      </c>
      <c r="G34" s="30" t="n">
        <f aca="false">IF(ISNUMBER(F34),F34-E34,"n/a")</f>
        <v>0</v>
      </c>
      <c r="H34" s="31" t="n">
        <v>0.500000001</v>
      </c>
      <c r="I34" s="32" t="str">
        <f aca="false">IF(ISNUMBER(F34),IF(ABS(F34-E34)&lt;=H34,"PASS","FAIL"),"FAIL")</f>
        <v>PASS</v>
      </c>
    </row>
    <row r="35" customFormat="false" ht="15" hidden="false" customHeight="false" outlineLevel="0" collapsed="false">
      <c r="B35" s="27" t="n">
        <v>27</v>
      </c>
      <c r="C35" s="9" t="s">
        <v>162</v>
      </c>
      <c r="D35" s="9" t="s">
        <v>165</v>
      </c>
      <c r="E35" s="28" t="n">
        <v>22040</v>
      </c>
      <c r="F35" s="29" t="n">
        <f aca="false">Redeemable!$C$10</f>
        <v>22040</v>
      </c>
      <c r="G35" s="30" t="n">
        <f aca="false">IF(ISNUMBER(F35),F35-E35,"n/a")</f>
        <v>0</v>
      </c>
      <c r="H35" s="31" t="n">
        <v>0.500000001</v>
      </c>
      <c r="I35" s="32" t="str">
        <f aca="false">IF(ISNUMBER(F35),IF(ABS(F35-E35)&lt;=H35,"PASS","FAIL"),"FAIL")</f>
        <v>PASS</v>
      </c>
    </row>
    <row r="36" customFormat="false" ht="15" hidden="false" customHeight="false" outlineLevel="0" collapsed="false">
      <c r="B36" s="27" t="n">
        <v>28</v>
      </c>
      <c r="C36" s="9" t="s">
        <v>162</v>
      </c>
      <c r="D36" s="9" t="s">
        <v>166</v>
      </c>
      <c r="E36" s="11" t="n">
        <v>0.377</v>
      </c>
      <c r="F36" s="33" t="n">
        <f aca="false">Redeemable!$C$11</f>
        <v>0.377299219055581</v>
      </c>
      <c r="G36" s="30" t="n">
        <f aca="false">IF(ISNUMBER(F36),F36-E36,"n/a")</f>
        <v>0.000299219055581279</v>
      </c>
      <c r="H36" s="31" t="n">
        <v>0.000500001</v>
      </c>
      <c r="I36" s="32" t="str">
        <f aca="false">IF(ISNUMBER(F36),IF(ABS(F36-E36)&lt;=H36,"PASS","FAIL"),"FAIL")</f>
        <v>PASS</v>
      </c>
    </row>
    <row r="37" customFormat="false" ht="15" hidden="false" customHeight="false" outlineLevel="0" collapsed="false">
      <c r="B37" s="27" t="n">
        <v>29</v>
      </c>
      <c r="C37" s="9" t="s">
        <v>162</v>
      </c>
      <c r="D37" s="9" t="s">
        <v>167</v>
      </c>
      <c r="E37" s="13" t="n">
        <v>0.5</v>
      </c>
      <c r="F37" s="21" t="n">
        <f aca="false">Inputs!$C$26</f>
        <v>0.5</v>
      </c>
      <c r="G37" s="30" t="n">
        <f aca="false">IF(ISNUMBER(F37),F37-E37,"n/a")</f>
        <v>0</v>
      </c>
      <c r="H37" s="31" t="n">
        <v>0.005000001</v>
      </c>
      <c r="I37" s="32" t="str">
        <f aca="false">IF(ISNUMBER(F37),IF(ABS(F37-E37)&lt;=H37,"PASS","FAIL"),"FAIL")</f>
        <v>PASS</v>
      </c>
    </row>
    <row r="38" customFormat="false" ht="15" hidden="false" customHeight="false" outlineLevel="0" collapsed="false">
      <c r="B38" s="27" t="n">
        <v>30</v>
      </c>
      <c r="C38" s="9" t="s">
        <v>168</v>
      </c>
      <c r="D38" s="9" t="s">
        <v>169</v>
      </c>
      <c r="E38" s="11" t="n">
        <v>0.07</v>
      </c>
      <c r="F38" s="33" t="n">
        <f aca="false">Deed_Branch!$C$5</f>
        <v>0.07</v>
      </c>
      <c r="G38" s="30" t="n">
        <f aca="false">IF(ISNUMBER(F38),F38-E38,"n/a")</f>
        <v>0</v>
      </c>
      <c r="H38" s="31" t="n">
        <v>0.000500001</v>
      </c>
      <c r="I38" s="32" t="str">
        <f aca="false">IF(ISNUMBER(F38),IF(ABS(F38-E38)&lt;=H38,"PASS","FAIL"),"FAIL")</f>
        <v>PASS</v>
      </c>
    </row>
    <row r="39" customFormat="false" ht="15" hidden="false" customHeight="false" outlineLevel="0" collapsed="false">
      <c r="B39" s="27" t="n">
        <v>31</v>
      </c>
      <c r="C39" s="9" t="s">
        <v>168</v>
      </c>
      <c r="D39" s="9" t="s">
        <v>170</v>
      </c>
      <c r="E39" s="28" t="n">
        <v>12600</v>
      </c>
      <c r="F39" s="29" t="n">
        <f aca="false">Deed_Branch!$C$12</f>
        <v>12600</v>
      </c>
      <c r="G39" s="30" t="n">
        <f aca="false">IF(ISNUMBER(F39),F39-E39,"n/a")</f>
        <v>0</v>
      </c>
      <c r="H39" s="31" t="n">
        <v>0.500000001</v>
      </c>
      <c r="I39" s="32" t="str">
        <f aca="false">IF(ISNUMBER(F39),IF(ABS(F39-E39)&lt;=H39,"PASS","FAIL"),"FAIL")</f>
        <v>PASS</v>
      </c>
    </row>
    <row r="40" customFormat="false" ht="15" hidden="false" customHeight="false" outlineLevel="0" collapsed="false">
      <c r="B40" s="27" t="n">
        <v>32</v>
      </c>
      <c r="C40" s="9" t="s">
        <v>168</v>
      </c>
      <c r="D40" s="9" t="s">
        <v>171</v>
      </c>
      <c r="E40" s="37" t="n">
        <v>4230</v>
      </c>
      <c r="F40" s="38" t="n">
        <f aca="false">Deed_Branch!$D$16</f>
        <v>4230</v>
      </c>
      <c r="G40" s="30" t="n">
        <f aca="false">IF(ISNUMBER(F40),F40-E40,"n/a")</f>
        <v>0</v>
      </c>
      <c r="H40" s="31" t="n">
        <v>0.005000001</v>
      </c>
      <c r="I40" s="32" t="str">
        <f aca="false">IF(ISNUMBER(F40),IF(ABS(F40-E40)&lt;=H40,"PASS","FAIL"),"FAIL")</f>
        <v>PASS</v>
      </c>
    </row>
    <row r="41" customFormat="false" ht="15" hidden="false" customHeight="false" outlineLevel="0" collapsed="false">
      <c r="B41" s="27" t="n">
        <v>33</v>
      </c>
      <c r="C41" s="9" t="s">
        <v>168</v>
      </c>
      <c r="D41" s="9" t="s">
        <v>172</v>
      </c>
      <c r="E41" s="37" t="n">
        <v>4572</v>
      </c>
      <c r="F41" s="38" t="n">
        <f aca="false">Deed_Branch!$D$17</f>
        <v>4572</v>
      </c>
      <c r="G41" s="30" t="n">
        <f aca="false">IF(ISNUMBER(F41),F41-E41,"n/a")</f>
        <v>0</v>
      </c>
      <c r="H41" s="31" t="n">
        <v>0.005000001</v>
      </c>
      <c r="I41" s="32" t="str">
        <f aca="false">IF(ISNUMBER(F41),IF(ABS(F41-E41)&lt;=H41,"PASS","FAIL"),"FAIL")</f>
        <v>PASS</v>
      </c>
    </row>
    <row r="42" customFormat="false" ht="15" hidden="false" customHeight="false" outlineLevel="0" collapsed="false">
      <c r="B42" s="27" t="n">
        <v>34</v>
      </c>
      <c r="C42" s="9" t="s">
        <v>168</v>
      </c>
      <c r="D42" s="9" t="s">
        <v>173</v>
      </c>
      <c r="E42" s="37" t="n">
        <v>3924</v>
      </c>
      <c r="F42" s="38" t="n">
        <f aca="false">Deed_Branch!$D$18</f>
        <v>3924</v>
      </c>
      <c r="G42" s="30" t="n">
        <f aca="false">IF(ISNUMBER(F42),F42-E42,"n/a")</f>
        <v>0</v>
      </c>
      <c r="H42" s="31" t="n">
        <v>0.005000001</v>
      </c>
      <c r="I42" s="32" t="str">
        <f aca="false">IF(ISNUMBER(F42),IF(ABS(F42-E42)&lt;=H42,"PASS","FAIL"),"FAIL")</f>
        <v>PASS</v>
      </c>
    </row>
    <row r="43" customFormat="false" ht="15" hidden="false" customHeight="false" outlineLevel="0" collapsed="false">
      <c r="B43" s="27" t="n">
        <v>35</v>
      </c>
      <c r="C43" s="9" t="s">
        <v>168</v>
      </c>
      <c r="D43" s="9" t="s">
        <v>113</v>
      </c>
      <c r="E43" s="37" t="n">
        <v>14526</v>
      </c>
      <c r="F43" s="38" t="n">
        <f aca="false">Deed_Branch!$D$20</f>
        <v>14526</v>
      </c>
      <c r="G43" s="30" t="n">
        <f aca="false">IF(ISNUMBER(F43),F43-E43,"n/a")</f>
        <v>0</v>
      </c>
      <c r="H43" s="31" t="n">
        <v>0.005000001</v>
      </c>
      <c r="I43" s="32" t="str">
        <f aca="false">IF(ISNUMBER(F43),IF(ABS(F43-E43)&lt;=H43,"PASS","FAIL"),"FAIL")</f>
        <v>PASS</v>
      </c>
    </row>
    <row r="44" customFormat="false" ht="15" hidden="false" customHeight="false" outlineLevel="0" collapsed="false">
      <c r="B44" s="27" t="n">
        <v>36</v>
      </c>
      <c r="C44" s="9" t="s">
        <v>168</v>
      </c>
      <c r="D44" s="9" t="s">
        <v>174</v>
      </c>
      <c r="E44" s="37" t="n">
        <v>4167</v>
      </c>
      <c r="F44" s="38" t="n">
        <f aca="false">Deed_Branch!$C$16</f>
        <v>4167</v>
      </c>
      <c r="G44" s="30" t="n">
        <f aca="false">IF(ISNUMBER(F44),F44-E44,"n/a")</f>
        <v>0</v>
      </c>
      <c r="H44" s="31" t="n">
        <v>0.005000001</v>
      </c>
      <c r="I44" s="32" t="str">
        <f aca="false">IF(ISNUMBER(F44),IF(ABS(F44-E44)&lt;=H44,"PASS","FAIL"),"FAIL")</f>
        <v>PASS</v>
      </c>
    </row>
    <row r="45" customFormat="false" ht="15" hidden="false" customHeight="false" outlineLevel="0" collapsed="false">
      <c r="B45" s="27" t="n">
        <v>37</v>
      </c>
      <c r="C45" s="9" t="s">
        <v>168</v>
      </c>
      <c r="D45" s="9" t="s">
        <v>175</v>
      </c>
      <c r="E45" s="37" t="n">
        <v>4410</v>
      </c>
      <c r="F45" s="38" t="n">
        <f aca="false">Deed_Branch!$C$17</f>
        <v>4410</v>
      </c>
      <c r="G45" s="30" t="n">
        <f aca="false">IF(ISNUMBER(F45),F45-E45,"n/a")</f>
        <v>0</v>
      </c>
      <c r="H45" s="31" t="n">
        <v>0.005000001</v>
      </c>
      <c r="I45" s="32" t="str">
        <f aca="false">IF(ISNUMBER(F45),IF(ABS(F45-E45)&lt;=H45,"PASS","FAIL"),"FAIL")</f>
        <v>PASS</v>
      </c>
    </row>
    <row r="46" customFormat="false" ht="15" hidden="false" customHeight="false" outlineLevel="0" collapsed="false">
      <c r="B46" s="27" t="n">
        <v>38</v>
      </c>
      <c r="C46" s="9" t="s">
        <v>168</v>
      </c>
      <c r="D46" s="9" t="s">
        <v>176</v>
      </c>
      <c r="E46" s="37" t="n">
        <v>3762</v>
      </c>
      <c r="F46" s="38" t="n">
        <f aca="false">Deed_Branch!$C$18</f>
        <v>3762</v>
      </c>
      <c r="G46" s="30" t="n">
        <f aca="false">IF(ISNUMBER(F46),F46-E46,"n/a")</f>
        <v>0</v>
      </c>
      <c r="H46" s="31" t="n">
        <v>0.005000001</v>
      </c>
      <c r="I46" s="32" t="str">
        <f aca="false">IF(ISNUMBER(F46),IF(ABS(F46-E46)&lt;=H46,"PASS","FAIL"),"FAIL")</f>
        <v>PASS</v>
      </c>
    </row>
    <row r="47" customFormat="false" ht="15" hidden="false" customHeight="false" outlineLevel="0" collapsed="false">
      <c r="B47" s="27" t="n">
        <v>39</v>
      </c>
      <c r="C47" s="9" t="s">
        <v>168</v>
      </c>
      <c r="D47" s="9" t="s">
        <v>177</v>
      </c>
      <c r="E47" s="37" t="n">
        <v>14139</v>
      </c>
      <c r="F47" s="38" t="n">
        <f aca="false">Deed_Branch!$C$20</f>
        <v>14139</v>
      </c>
      <c r="G47" s="30" t="n">
        <f aca="false">IF(ISNUMBER(F47),F47-E47,"n/a")</f>
        <v>0</v>
      </c>
      <c r="H47" s="31" t="n">
        <v>0.005000001</v>
      </c>
      <c r="I47" s="32" t="str">
        <f aca="false">IF(ISNUMBER(F47),IF(ABS(F47-E47)&lt;=H47,"PASS","FAIL"),"FAIL")</f>
        <v>PASS</v>
      </c>
    </row>
    <row r="48" customFormat="false" ht="15" hidden="false" customHeight="false" outlineLevel="0" collapsed="false">
      <c r="B48" s="27" t="n">
        <v>40</v>
      </c>
      <c r="C48" s="9" t="s">
        <v>168</v>
      </c>
      <c r="D48" s="9" t="s">
        <v>178</v>
      </c>
      <c r="E48" s="37" t="n">
        <v>11340</v>
      </c>
      <c r="F48" s="38" t="n">
        <f aca="false">Deed_Branch!$C$23</f>
        <v>11340</v>
      </c>
      <c r="G48" s="30" t="n">
        <f aca="false">IF(ISNUMBER(F48),F48-E48,"n/a")</f>
        <v>0</v>
      </c>
      <c r="H48" s="31" t="n">
        <v>0.005000001</v>
      </c>
      <c r="I48" s="32" t="str">
        <f aca="false">IF(ISNUMBER(F48),IF(ABS(F48-E48)&lt;=H48,"PASS","FAIL"),"FAIL")</f>
        <v>PASS</v>
      </c>
    </row>
    <row r="49" customFormat="false" ht="15" hidden="false" customHeight="false" outlineLevel="0" collapsed="false">
      <c r="B49" s="27" t="n">
        <v>41</v>
      </c>
      <c r="C49" s="9" t="s">
        <v>168</v>
      </c>
      <c r="D49" s="9" t="s">
        <v>179</v>
      </c>
      <c r="E49" s="37" t="n">
        <v>1260</v>
      </c>
      <c r="F49" s="38" t="n">
        <f aca="false">Deed_Branch!$C$24</f>
        <v>1260</v>
      </c>
      <c r="G49" s="30" t="n">
        <f aca="false">IF(ISNUMBER(F49),F49-E49,"n/a")</f>
        <v>0</v>
      </c>
      <c r="H49" s="31" t="n">
        <v>0.005000001</v>
      </c>
      <c r="I49" s="32" t="str">
        <f aca="false">IF(ISNUMBER(F49),IF(ABS(F49-E49)&lt;=H49,"PASS","FAIL"),"FAIL")</f>
        <v>PASS</v>
      </c>
    </row>
    <row r="50" customFormat="false" ht="15" hidden="false" customHeight="false" outlineLevel="0" collapsed="false">
      <c r="B50" s="27" t="n">
        <v>42</v>
      </c>
      <c r="C50" s="9" t="s">
        <v>168</v>
      </c>
      <c r="D50" s="9" t="s">
        <v>180</v>
      </c>
      <c r="E50" s="14" t="n">
        <v>0.042</v>
      </c>
      <c r="F50" s="39" t="n">
        <f aca="false">Deed_Branch!$C$27</f>
        <v>0.042</v>
      </c>
      <c r="G50" s="30" t="n">
        <f aca="false">IF(ISNUMBER(F50),F50-E50,"n/a")</f>
        <v>0</v>
      </c>
      <c r="H50" s="31" t="n">
        <v>5.0001E-005</v>
      </c>
      <c r="I50" s="32" t="str">
        <f aca="false">IF(ISNUMBER(F50),IF(ABS(F50-E50)&lt;=H50,"PASS","FAIL"),"FAIL")</f>
        <v>PASS</v>
      </c>
    </row>
    <row r="51" customFormat="false" ht="15" hidden="false" customHeight="false" outlineLevel="0" collapsed="false">
      <c r="B51" s="27" t="n">
        <v>43</v>
      </c>
      <c r="C51" s="9" t="s">
        <v>168</v>
      </c>
      <c r="D51" s="9" t="s">
        <v>181</v>
      </c>
      <c r="E51" s="14" t="n">
        <v>0.0238</v>
      </c>
      <c r="F51" s="39" t="n">
        <f aca="false">Deed_Branch!$C$28</f>
        <v>0.0238</v>
      </c>
      <c r="G51" s="30" t="n">
        <f aca="false">IF(ISNUMBER(F51),F51-E51,"n/a")</f>
        <v>0</v>
      </c>
      <c r="H51" s="31" t="n">
        <v>5.0001E-005</v>
      </c>
      <c r="I51" s="32" t="str">
        <f aca="false">IF(ISNUMBER(F51),IF(ABS(F51-E51)&lt;=H51,"PASS","FAIL"),"FAIL")</f>
        <v>PASS</v>
      </c>
    </row>
    <row r="52" customFormat="false" ht="15" hidden="false" customHeight="false" outlineLevel="0" collapsed="false">
      <c r="B52" s="27" t="n">
        <v>44</v>
      </c>
      <c r="C52" s="9" t="s">
        <v>168</v>
      </c>
      <c r="D52" s="9" t="s">
        <v>182</v>
      </c>
      <c r="E52" s="14" t="n">
        <v>0.0042</v>
      </c>
      <c r="F52" s="39" t="n">
        <f aca="false">Deed_Branch!$C$29</f>
        <v>0.0042</v>
      </c>
      <c r="G52" s="30" t="n">
        <f aca="false">IF(ISNUMBER(F52),F52-E52,"n/a")</f>
        <v>0</v>
      </c>
      <c r="H52" s="31" t="n">
        <v>5.0001E-005</v>
      </c>
      <c r="I52" s="32" t="str">
        <f aca="false">IF(ISNUMBER(F52),IF(ABS(F52-E52)&lt;=H52,"PASS","FAIL"),"FAIL")</f>
        <v>PASS</v>
      </c>
    </row>
  </sheetData>
  <conditionalFormatting sqref="I9:I52">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2026-09-24T20:13:17Z</dcterms:created>
  <dc:creator>openpyxl</dc:creator>
  <dc:description/>
  <dc:language>en-US</dc:language>
  <cp:lastModifiedBy/>
  <dcterms:modified xsi:type="dcterms:W3CDTF">2026-09-24T20:13:17Z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