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ME" sheetId="1" state="visible" r:id="rId3"/>
    <sheet name="Assumptions" sheetId="2" state="visible" r:id="rId4"/>
    <sheet name="Sources_Uses" sheetId="3" state="visible" r:id="rId5"/>
    <sheet name="Operating" sheetId="4" state="visible" r:id="rId6"/>
    <sheet name="Debt" sheetId="5" state="visible" r:id="rId7"/>
    <sheet name="Tax" sheetId="6" state="visible" r:id="rId8"/>
    <sheet name="Cash_Flow" sheetId="7" state="visible" r:id="rId9"/>
    <sheet name="Balance_Sheet" sheetId="8" state="visible" r:id="rId10"/>
    <sheet name="Covenants" sheetId="9" state="visible" r:id="rId11"/>
    <sheet name="Exit" sheetId="10" state="visible" r:id="rId12"/>
    <sheet name="Returns" sheetId="11" state="visible" r:id="rId13"/>
    <sheet name="Checks" sheetId="12" state="visible" r:id="rId1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<sst xmlns="http://schemas.openxmlformats.org/spreadsheetml/2006/main" count="1527" uniqueCount="945">
  <si>
    <t xml:space="preserve">Kestrel LBO Model</t>
  </si>
  <si>
    <t xml:space="preserve">Companion workbook to The Buyout Investor: Private Equity Buyouts by the Numbers: Entry Price, Leverage, Value Creation and Exit, Where the Return Really Comes From, With the Models Supplied. By Julian R. Sterling. julianrsterling.com/buyouts</t>
  </si>
  <si>
    <t xml:space="preserve">What it is</t>
  </si>
  <si>
    <t xml:space="preserve">The full model of the book's case: the fund buys Kestrel Fluid Systems at 9.0x underwriting EBITDA, finances it with a first-lien term loan, a second-lien loan and an undrawn revolver, buys the Marlin add-on at the end of year 2, goes through the bad year 3, and sells at the end of the holding period chosen on Assumptions (3 to 7 years).</t>
  </si>
  <si>
    <t xml:space="preserve">Where it is in the book</t>
  </si>
  <si>
    <t xml:space="preserve">Chapters 2 to 10 (the target, the price, sources and uses, the debt, the schedule, the covenants, the equity), chapter 11 (the add-on), chapter 14 (the exit) and chapter 15 (the returns). The sensitivities and scenarios are in Kestrel_Returns_and_Sensitivities.xlsx; the subscriber's net return in Kestrel_Deal_to_Fund.xlsx.</t>
  </si>
  <si>
    <t xml:space="preserve">Sheets</t>
  </si>
  <si>
    <t xml:space="preserve">Assumptions (every input), Sources_Uses, Operating, Debt, Tax, Cash_Flow, Balance_Sheet, Covenants, Exit, Returns, Checks. Years 0 to 7 run across the columns of every statement.</t>
  </si>
  <si>
    <t xml:space="preserve">Conventions</t>
  </si>
  <si>
    <t xml:space="preserve">Yellow cells with blue type are inputs; grey cells are formulas. Change an input and every sheet follows. Amounts in millions of US dollars. Time in years from closing: year 0 is the twelve months before closing, year 1 the first year of ownership; every flow falls at a year end. IRRs are annual effective rates on year-end flows; MOIC is proceeds divided by the equity invested. Interest and commitment fees are computed on opening balances and the excess cash flow sweep from the year's cash after mandatory amortization: no circular reference, no iterative calculation. No macros, nothing locked, protected or hidden.</t>
  </si>
  <si>
    <t xml:space="preserve">The holding period on Assumptions drives Exit and Returns through INDEX on the year columns: set it to 3, 4, 5, 6 or 7. Years after the exit are still computed but do not enter the returns.</t>
  </si>
  <si>
    <t xml:space="preserve">The fund, the company, the add-on, the people and every figure in the case are fictional. Every rate, multiple and fee is the book's assumption, not a market statistic. The tax treatment is a simplified assumption modeled on the US rule as the book was written; it is not tax advice.</t>
  </si>
  <si>
    <t xml:space="preserve">Checks</t>
  </si>
  <si>
    <t xml:space="preserve">The last sheet, Checks, sets every figure the book prints from this workbook beside the live cell that computes it, with the tolerance of the printed rounding, plus logic checks. Its global status reads PASS only if every check passes.</t>
  </si>
  <si>
    <t xml:space="preserve">The file is provided without warranty of any kind. It is a teaching model, not investment, legal or tax advice.</t>
  </si>
  <si>
    <t xml:space="preserve">Assumptions: every input of the model</t>
  </si>
  <si>
    <t xml:space="preserve">Yellow cells with blue type are inputs; grey cells are derived from them. Amounts in millions of US dollars; years counted from closing (year 0 = the twelve months before closing). Every figure is fictional.</t>
  </si>
  <si>
    <t xml:space="preserve">The market, tax and cash</t>
  </si>
  <si>
    <t xml:space="preserve">Base rate (SOFR), flat in every year of the base case</t>
  </si>
  <si>
    <t xml:space="preserve">Corporate tax rate</t>
  </si>
  <si>
    <t xml:space="preserve">Deductible interest, cap as a share of EBITDA (assumption modeled on the US rule)</t>
  </si>
  <si>
    <t xml:space="preserve">Interest earned on opening cash</t>
  </si>
  <si>
    <t xml:space="preserve">Closing date (for the dated-flow check only; the book uses no dates)</t>
  </si>
  <si>
    <t xml:space="preserve">The target at closing (year 0, last twelve months)</t>
  </si>
  <si>
    <t xml:space="preserve">Revenue</t>
  </si>
  <si>
    <t xml:space="preserve">$ millions</t>
  </si>
  <si>
    <t xml:space="preserve">Reported EBITDA</t>
  </si>
  <si>
    <t xml:space="preserve">Reported margin</t>
  </si>
  <si>
    <t xml:space="preserve">Adjustment to EBITDA</t>
  </si>
  <si>
    <t xml:space="preserve">Seller's claim</t>
  </si>
  <si>
    <t xml:space="preserve">Accepted by the fund</t>
  </si>
  <si>
    <t xml:space="preserve">Litigation settlement, one-off</t>
  </si>
  <si>
    <t xml:space="preserve">Owner compensation above market rate</t>
  </si>
  <si>
    <t xml:space="preserve">Run-rate procurement savings</t>
  </si>
  <si>
    <t xml:space="preserve">Price increase announced, not yet invoiced</t>
  </si>
  <si>
    <t xml:space="preserve">Total adjustments</t>
  </si>
  <si>
    <t xml:space="preserve">Seller's adjusted EBITDA</t>
  </si>
  <si>
    <t xml:space="preserve">Seller's adjusted margin</t>
  </si>
  <si>
    <t xml:space="preserve">Underwriting EBITDA (reported plus accepted adjustments)</t>
  </si>
  <si>
    <t xml:space="preserve">Underwriting margin (year 0)</t>
  </si>
  <si>
    <t xml:space="preserve">Adjustments rejected (into the value plan, not the price)</t>
  </si>
  <si>
    <t xml:space="preserve">Net working capital, share of revenue</t>
  </si>
  <si>
    <t xml:space="preserve">Net fixed assets at closing, share of revenue</t>
  </si>
  <si>
    <t xml:space="preserve">Depreciation and amortization, share of revenue</t>
  </si>
  <si>
    <t xml:space="preserve">Capital expenditure, share of revenue</t>
  </si>
  <si>
    <t xml:space="preserve">Year-0 EBITDA less capital expenditure</t>
  </si>
  <si>
    <t xml:space="preserve">Cash conversion (EBITDA less capex, share of EBITDA)</t>
  </si>
  <si>
    <t xml:space="preserve">Bank debt repaid at closing</t>
  </si>
  <si>
    <t xml:space="preserve">Finance leases (debt-like)</t>
  </si>
  <si>
    <t xml:space="preserve">Unpaid part of the litigation settlement (debt-like)</t>
  </si>
  <si>
    <t xml:space="preserve">Cash on the target's balance sheet</t>
  </si>
  <si>
    <t xml:space="preserve">Net debt and debt-like items</t>
  </si>
  <si>
    <t xml:space="preserve">Diligence (chapters 3 and 4)</t>
  </si>
  <si>
    <t xml:space="preserve">Ten largest customers, share of revenue</t>
  </si>
  <si>
    <t xml:space="preserve">Spare parts and service (recurring), share of revenue</t>
  </si>
  <si>
    <t xml:space="preserve">Last year's revenue growth from price</t>
  </si>
  <si>
    <t xml:space="preserve">Last year's revenue growth from volume</t>
  </si>
  <si>
    <t xml:space="preserve">Last year's revenue growth</t>
  </si>
  <si>
    <t xml:space="preserve">Listed comparables (fictional)</t>
  </si>
  <si>
    <t xml:space="preserve">EV / LTM EBITDA</t>
  </si>
  <si>
    <t xml:space="preserve">Ardent Flow Technologies</t>
  </si>
  <si>
    <t xml:space="preserve">Beaumont Industrial</t>
  </si>
  <si>
    <t xml:space="preserve">Corvell Process Equipment</t>
  </si>
  <si>
    <t xml:space="preserve">Delamere Controls</t>
  </si>
  <si>
    <t xml:space="preserve">Ellsworth Valve Group</t>
  </si>
  <si>
    <t xml:space="preserve">Median of the listed set</t>
  </si>
  <si>
    <t xml:space="preserve">Lowest of the listed set</t>
  </si>
  <si>
    <t xml:space="preserve">Highest of the listed set</t>
  </si>
  <si>
    <t xml:space="preserve">Precedent transactions (fictional)</t>
  </si>
  <si>
    <t xml:space="preserve">EV / EBITDA</t>
  </si>
  <si>
    <t xml:space="preserve">Northgate Pumps</t>
  </si>
  <si>
    <t xml:space="preserve">Sable Actuation</t>
  </si>
  <si>
    <t xml:space="preserve">Tremont Filtration</t>
  </si>
  <si>
    <t xml:space="preserve">Winslow Seals</t>
  </si>
  <si>
    <t xml:space="preserve">Median of the precedents</t>
  </si>
  <si>
    <t xml:space="preserve">Lowest precedent</t>
  </si>
  <si>
    <t xml:space="preserve">Highest precedent</t>
  </si>
  <si>
    <t xml:space="preserve">The entry and the fees</t>
  </si>
  <si>
    <t xml:space="preserve">Entry multiple (enterprise value / underwriting EBITDA)</t>
  </si>
  <si>
    <t xml:space="preserve">x</t>
  </si>
  <si>
    <t xml:space="preserve">Enterprise value at entry</t>
  </si>
  <si>
    <t xml:space="preserve">Equity purchase price (paid to the seller)</t>
  </si>
  <si>
    <t xml:space="preserve">The same price as a multiple of the seller's EBITDA</t>
  </si>
  <si>
    <t xml:space="preserve">Price had the fund paid the entry multiple on the seller's EBITDA</t>
  </si>
  <si>
    <t xml:space="preserve">Difference against the agreed price</t>
  </si>
  <si>
    <t xml:space="preserve">One million of accepted EBITDA adjustment</t>
  </si>
  <si>
    <t xml:space="preserve">Its worth in price at the entry multiple</t>
  </si>
  <si>
    <t xml:space="preserve">A price one turn higher, for comparison</t>
  </si>
  <si>
    <t xml:space="preserve">Transaction fees: advisory</t>
  </si>
  <si>
    <t xml:space="preserve">Transaction fees: due diligence</t>
  </si>
  <si>
    <t xml:space="preserve">Transaction fees: legal</t>
  </si>
  <si>
    <t xml:space="preserve">Transaction fees, total (expensed at closing)</t>
  </si>
  <si>
    <t xml:space="preserve">Financing fees, share of funded debt (capitalized, amortized over the term loan's life)</t>
  </si>
  <si>
    <t xml:space="preserve">Cash to the balance sheet at closing</t>
  </si>
  <si>
    <t xml:space="preserve">Minimum cash kept on the balance sheet</t>
  </si>
  <si>
    <t xml:space="preserve">The debt</t>
  </si>
  <si>
    <t xml:space="preserve">First-lien term loan B, multiple of underwriting EBITDA</t>
  </si>
  <si>
    <t xml:space="preserve">Term loan margin over SOFR</t>
  </si>
  <si>
    <t xml:space="preserve">Term loan all-in rate in the base case</t>
  </si>
  <si>
    <t xml:space="preserve">Mandatory amortization, share of original principal a year</t>
  </si>
  <si>
    <t xml:space="preserve">Term loan maturity (years); also the life of the capitalized financing fees</t>
  </si>
  <si>
    <t xml:space="preserve">years</t>
  </si>
  <si>
    <t xml:space="preserve">Second-lien loan, multiple of underwriting EBITDA</t>
  </si>
  <si>
    <t xml:space="preserve">Second-lien fixed rate</t>
  </si>
  <si>
    <t xml:space="preserve">Second-lien maturity (bullet)</t>
  </si>
  <si>
    <t xml:space="preserve">Revolver commitment</t>
  </si>
  <si>
    <t xml:space="preserve">Revolver margin over SOFR when drawn</t>
  </si>
  <si>
    <t xml:space="preserve">Revolver commitment fee on the undrawn amount</t>
  </si>
  <si>
    <t xml:space="preserve">Revolver maturity</t>
  </si>
  <si>
    <t xml:space="preserve">Drawn share that would switch on a springing test in many loans (not modeled)</t>
  </si>
  <si>
    <t xml:space="preserve">Unitranche alternative: margin over SOFR (chapter 6 scenario)</t>
  </si>
  <si>
    <t xml:space="preserve">Unitranche all-in rate</t>
  </si>
  <si>
    <t xml:space="preserve">Unitranche size, multiple of EBITDA (first and second lien combined)</t>
  </si>
  <si>
    <t xml:space="preserve">Excess cash flow sweep on (1) or off (0)</t>
  </si>
  <si>
    <t xml:space="preserve">Sweep steps, on net leverage at the start of the year</t>
  </si>
  <si>
    <t xml:space="preserve">Net leverage above</t>
  </si>
  <si>
    <t xml:space="preserve">Sweep share</t>
  </si>
  <si>
    <t xml:space="preserve">Step 1</t>
  </si>
  <si>
    <t xml:space="preserve">Step 2</t>
  </si>
  <si>
    <t xml:space="preserve">Step 3</t>
  </si>
  <si>
    <t xml:space="preserve">Covenant EBITDA: run-rate synergy add-back, cap as a share of covenant EBITDA</t>
  </si>
  <si>
    <t xml:space="preserve">Run-rate cost synergies of the add-on</t>
  </si>
  <si>
    <t xml:space="preserve">The equity and the management package</t>
  </si>
  <si>
    <t xml:space="preserve">Management rollover (ordinary shares)</t>
  </si>
  <si>
    <t xml:space="preserve">Share price at closing (also the option strike)</t>
  </si>
  <si>
    <t xml:space="preserve">$ per share</t>
  </si>
  <si>
    <t xml:space="preserve">Option pool, share of fully diluted equity</t>
  </si>
  <si>
    <t xml:space="preserve">Performance vesting: half the pool vests only if the sponsor's MOIC reaches</t>
  </si>
  <si>
    <t xml:space="preserve">The CEO's share of the management rollover</t>
  </si>
  <si>
    <t xml:space="preserve">The CEO's share of the option pool</t>
  </si>
  <si>
    <t xml:space="preserve">The add-on (closes at the end of the add-on year)</t>
  </si>
  <si>
    <t xml:space="preserve">Add-on acquired (1 = yes, 0 = no)</t>
  </si>
  <si>
    <t xml:space="preserve">Year of the add-on</t>
  </si>
  <si>
    <t xml:space="preserve">year</t>
  </si>
  <si>
    <t xml:space="preserve">Add-on revenue at acquisition</t>
  </si>
  <si>
    <t xml:space="preserve">Add-on EBITDA at acquisition</t>
  </si>
  <si>
    <t xml:space="preserve">Add-on margin</t>
  </si>
  <si>
    <t xml:space="preserve">Add-on price, multiple of its EBITDA</t>
  </si>
  <si>
    <t xml:space="preserve">Add-on enterprise value (bought debt-free, cash-free)</t>
  </si>
  <si>
    <t xml:space="preserve">Add-on transaction fees (expensed)</t>
  </si>
  <si>
    <t xml:space="preserve">Add-on revenue growth a year</t>
  </si>
  <si>
    <t xml:space="preserve">Add-on net fixed assets, share of its revenue</t>
  </si>
  <si>
    <t xml:space="preserve">Incremental first-lien term loan for the add-on (same terms)</t>
  </si>
  <si>
    <t xml:space="preserve">Financing fee on the incremental loan</t>
  </si>
  <si>
    <t xml:space="preserve">Cash of the company used for the add-on</t>
  </si>
  <si>
    <t xml:space="preserve">Add-on fees of both kinds</t>
  </si>
  <si>
    <t xml:space="preserve">The exit</t>
  </si>
  <si>
    <t xml:space="preserve">Exit multiple (enterprise value / EBITDA of the exit year)</t>
  </si>
  <si>
    <t xml:space="preserve">Exit fees (advisers), share of enterprise value</t>
  </si>
  <si>
    <t xml:space="preserve">Holding period: exit at the end of year (3 to 7)</t>
  </si>
  <si>
    <t xml:space="preserve">Scenario switches and stress parameters (base case values; the scenarios override them)</t>
  </si>
  <si>
    <t xml:space="preserve">Share of the margin plan delivered (1 = the plan)</t>
  </si>
  <si>
    <t xml:space="preserve">Dividend recapitalization (1 = yes, 0 = no)</t>
  </si>
  <si>
    <t xml:space="preserve">Year of the recapitalization</t>
  </si>
  <si>
    <t xml:space="preserve">Incremental term loan drawn and paid out as a dividend</t>
  </si>
  <si>
    <t xml:space="preserve">Fee on the incremental loan</t>
  </si>
  <si>
    <t xml:space="preserve">Incremental-debt test: net leverage after the recap at most</t>
  </si>
  <si>
    <t xml:space="preserve">All-equity purchase (1 = yes, 0 = no)</t>
  </si>
  <si>
    <t xml:space="preserve">Equity cure injected by the sponsor</t>
  </si>
  <si>
    <t xml:space="preserve">Year of the equity cure (0 = none)</t>
  </si>
  <si>
    <t xml:space="preserve">Amend and extend (1 = yes, 0 = no)</t>
  </si>
  <si>
    <t xml:space="preserve">Year of the amend and extend (fee and covenant reset from that year; margin step-up after)</t>
  </si>
  <si>
    <t xml:space="preserve">Amend-and-extend consent fee, share of the term loan</t>
  </si>
  <si>
    <t xml:space="preserve">Margin step-up after the amend and extend</t>
  </si>
  <si>
    <t xml:space="preserve">Covenant reset (turns added to every remaining test)</t>
  </si>
  <si>
    <t xml:space="preserve">Deeper bad year: platform revenue growth in year 3</t>
  </si>
  <si>
    <t xml:space="preserve">Deeper bad year: margin shock in year 3</t>
  </si>
  <si>
    <t xml:space="preserve">Debt held at a fixed share of total uses (0 = off; the mistaken sensitivity of chapter 19)</t>
  </si>
  <si>
    <t xml:space="preserve">Rates scenario: base rate two points higher</t>
  </si>
  <si>
    <t xml:space="preserve">The fund (chapter 17)</t>
  </si>
  <si>
    <t xml:space="preserve">Management fee on committed capital, a year</t>
  </si>
  <si>
    <t xml:space="preserve">Carried interest</t>
  </si>
  <si>
    <t xml:space="preserve">Split after the catch-up: the subscriber</t>
  </si>
  <si>
    <t xml:space="preserve">Preferred return a year, compounded</t>
  </si>
  <si>
    <t xml:space="preserve">Subscription line rate</t>
  </si>
  <si>
    <t xml:space="preserve">Subscription line: capital called this many months after closing</t>
  </si>
  <si>
    <t xml:space="preserve">months</t>
  </si>
  <si>
    <t xml:space="preserve">The plan by year</t>
  </si>
  <si>
    <t xml:space="preserve">Year</t>
  </si>
  <si>
    <t xml:space="preserve">Platform revenue growth</t>
  </si>
  <si>
    <t xml:space="preserve">Margin improvement from the plan (points over the year-0 margin)</t>
  </si>
  <si>
    <t xml:space="preserve">Bad-year margin shock (points)</t>
  </si>
  <si>
    <t xml:space="preserve">Cost synergies from the add-on</t>
  </si>
  <si>
    <t xml:space="preserve">Covenant: maximum total net debt / covenant EBITDA</t>
  </si>
  <si>
    <t xml:space="preserve">Year-3 margin the plan called for (year-0 margin plus the improvement)</t>
  </si>
  <si>
    <t xml:space="preserve">Sources and uses at closing</t>
  </si>
  <si>
    <t xml:space="preserve">Chapter 5: the price, the fees, the debt and the equity check.</t>
  </si>
  <si>
    <t xml:space="preserve">Sources and uses at closing ($ millions)</t>
  </si>
  <si>
    <t xml:space="preserve">Underwriting EBITDA</t>
  </si>
  <si>
    <t xml:space="preserve">Enterprise value = entry multiple x underwriting EBITDA</t>
  </si>
  <si>
    <t xml:space="preserve">Debt if held at a fixed share of total uses (0 unless that switch is on)</t>
  </si>
  <si>
    <t xml:space="preserve">Second-lien loan</t>
  </si>
  <si>
    <t xml:space="preserve">First-lien term loan B</t>
  </si>
  <si>
    <t xml:space="preserve">Financing fees on the funded debt</t>
  </si>
  <si>
    <t xml:space="preserve">Uses</t>
  </si>
  <si>
    <t xml:space="preserve">Purchase of the equity (paid to the seller)</t>
  </si>
  <si>
    <t xml:space="preserve">Refinancing of net debt and debt-like items</t>
  </si>
  <si>
    <t xml:space="preserve">Transaction fees (expensed)</t>
  </si>
  <si>
    <t xml:space="preserve">Financing fees (capitalized)</t>
  </si>
  <si>
    <t xml:space="preserve">Cash to the balance sheet</t>
  </si>
  <si>
    <t xml:space="preserve">Total uses</t>
  </si>
  <si>
    <t xml:space="preserve">Sources</t>
  </si>
  <si>
    <t xml:space="preserve">Revolver drawn at closing</t>
  </si>
  <si>
    <t xml:space="preserve">Total equity (the balancing item)</t>
  </si>
  <si>
    <t xml:space="preserve">Management rollover</t>
  </si>
  <si>
    <t xml:space="preserve">Sponsor equity</t>
  </si>
  <si>
    <t xml:space="preserve">Total sources</t>
  </si>
  <si>
    <t xml:space="preserve">Sources less uses (must be zero)</t>
  </si>
  <si>
    <t xml:space="preserve">Leverage and fees at closing</t>
  </si>
  <si>
    <t xml:space="preserve">Total debt</t>
  </si>
  <si>
    <t xml:space="preserve">Total debt / EBITDA</t>
  </si>
  <si>
    <t xml:space="preserve">Net debt at closing</t>
  </si>
  <si>
    <t xml:space="preserve">Net debt / EBITDA</t>
  </si>
  <si>
    <t xml:space="preserve">Equity, share of total sources</t>
  </si>
  <si>
    <t xml:space="preserve">Debt, share of total sources</t>
  </si>
  <si>
    <t xml:space="preserve">Debt to enterprise value</t>
  </si>
  <si>
    <t xml:space="preserve">Fees of both kinds</t>
  </si>
  <si>
    <t xml:space="preserve">Fees, share of enterprise value</t>
  </si>
  <si>
    <t xml:space="preserve">Fees, share of the equity</t>
  </si>
  <si>
    <t xml:space="preserve">Equity needed at the comparison price with the same debt</t>
  </si>
  <si>
    <t xml:space="preserve">The operating plan, years 0 to 7</t>
  </si>
  <si>
    <t xml:space="preserve">Chapters 7, 10 and 11: revenue, margin, the add-on, synergies, D&amp;A, capex and working capital.</t>
  </si>
  <si>
    <t xml:space="preserve">Operating model ($ millions)</t>
  </si>
  <si>
    <t xml:space="preserve">Platform revenue</t>
  </si>
  <si>
    <t xml:space="preserve">Platform EBITDA margin (year-0 margin + plan x improvement + shock)</t>
  </si>
  <si>
    <t xml:space="preserve">Platform EBITDA</t>
  </si>
  <si>
    <t xml:space="preserve">Add-on revenue (owned from the end of the add-on year)</t>
  </si>
  <si>
    <t xml:space="preserve">Add-on EBITDA</t>
  </si>
  <si>
    <t xml:space="preserve">Cost synergies achieved</t>
  </si>
  <si>
    <t xml:space="preserve">Revenue (the add-on counts from the year after its acquisition)</t>
  </si>
  <si>
    <t xml:space="preserve">EBITDA</t>
  </si>
  <si>
    <t xml:space="preserve">EBITDA margin</t>
  </si>
  <si>
    <t xml:space="preserve">Depreciation and amortization</t>
  </si>
  <si>
    <t xml:space="preserve">Capital expenditure</t>
  </si>
  <si>
    <t xml:space="preserve">Net working capital on the year's revenue</t>
  </si>
  <si>
    <t xml:space="preserve">Working capital arriving with the add-on (not through cash flow)</t>
  </si>
  <si>
    <t xml:space="preserve">Net working capital on the balance sheet</t>
  </si>
  <si>
    <t xml:space="preserve">Change in net working capital (cash use)</t>
  </si>
  <si>
    <t xml:space="preserve">Figures of chapters 10 and 12</t>
  </si>
  <si>
    <t xml:space="preserve">One point of margin on exit-year revenue, in EBITDA</t>
  </si>
  <si>
    <t xml:space="preserve">The same in enterprise value at the exit multiple</t>
  </si>
  <si>
    <t xml:space="preserve">Platform EBITDA, year 3 against year 2</t>
  </si>
  <si>
    <t xml:space="preserve">Working capital released in year 3</t>
  </si>
  <si>
    <t xml:space="preserve">The debt schedule</t>
  </si>
  <si>
    <t xml:space="preserve">Chapters 6 and 7: interest on opening balances, mandatory amortization, the sweep on opening net leverage, the revolver held to minimum cash.</t>
  </si>
  <si>
    <t xml:space="preserve">Interest on opening balances ($ millions)</t>
  </si>
  <si>
    <t xml:space="preserve">Term loan margin (stepped up after an amend and extend)</t>
  </si>
  <si>
    <t xml:space="preserve">Term loan rate</t>
  </si>
  <si>
    <t xml:space="preserve">Term loan interest</t>
  </si>
  <si>
    <t xml:space="preserve">Second-lien interest</t>
  </si>
  <si>
    <t xml:space="preserve">Revolver interest and commitment fee</t>
  </si>
  <si>
    <t xml:space="preserve">Less interest on cash</t>
  </si>
  <si>
    <t xml:space="preserve">Net cash interest</t>
  </si>
  <si>
    <t xml:space="preserve">Amortization of capitalized financing fees (straight line over the remaining life)</t>
  </si>
  <si>
    <t xml:space="preserve">Interest cover (EBITDA / net cash interest)</t>
  </si>
  <si>
    <t xml:space="preserve">Debt service ($ millions)</t>
  </si>
  <si>
    <t xml:space="preserve">Mandatory amortization of the term loan</t>
  </si>
  <si>
    <t xml:space="preserve">Revolver drawn to hold the minimum cash</t>
  </si>
  <si>
    <t xml:space="preserve">Revolver repaid from cash above the minimum</t>
  </si>
  <si>
    <t xml:space="preserve">Cash before the sweep</t>
  </si>
  <si>
    <t xml:space="preserve">Sweep share (step rule on net leverage at the start of the year)</t>
  </si>
  <si>
    <t xml:space="preserve">Cash above the minimum, available for the sweep</t>
  </si>
  <si>
    <t xml:space="preserve">Excess cash flow sweep (only when the revolver is undrawn)</t>
  </si>
  <si>
    <t xml:space="preserve">Sweep above the available cash (must be zero)</t>
  </si>
  <si>
    <t xml:space="preserve">Balances at the year end ($ millions)</t>
  </si>
  <si>
    <t xml:space="preserve">Term loan original principal (for the mandatory amortization)</t>
  </si>
  <si>
    <t xml:space="preserve">Revolver drawn</t>
  </si>
  <si>
    <t xml:space="preserve">Cash</t>
  </si>
  <si>
    <t xml:space="preserve">Net debt</t>
  </si>
  <si>
    <t xml:space="preserve">Closing debt less (opening debt - repayments + draws) (must be zero)</t>
  </si>
  <si>
    <t xml:space="preserve">Year-1 figures of chapter 6</t>
  </si>
  <si>
    <t xml:space="preserve">Blended cash cost of the funded debt in year 1 (term loan and second lien interest / debt)</t>
  </si>
  <si>
    <t xml:space="preserve">Year-1 cash interest, share of year-1 EBITDA</t>
  </si>
  <si>
    <t xml:space="preserve">Income statement and tax</t>
  </si>
  <si>
    <t xml:space="preserve">Chapter 7: EBIT, interest expense with fee amortization, the 30 percent cap, disallowed interest and losses carried forward.</t>
  </si>
  <si>
    <t xml:space="preserve">Income statement and tax ($ millions)</t>
  </si>
  <si>
    <t xml:space="preserve">EBIT (EBITDA - D&amp;A)</t>
  </si>
  <si>
    <t xml:space="preserve">Interest expense (net cash interest + fee amortization)</t>
  </si>
  <si>
    <t xml:space="preserve">Pretax income (after expensed deal fees)</t>
  </si>
  <si>
    <t xml:space="preserve">Deductible interest cap (share of EBITDA)</t>
  </si>
  <si>
    <t xml:space="preserve">Interest brought to the test (this year's plus the carryforward)</t>
  </si>
  <si>
    <t xml:space="preserve">Deductible interest</t>
  </si>
  <si>
    <t xml:space="preserve">Disallowed interest carried forward</t>
  </si>
  <si>
    <t xml:space="preserve">Taxable income before losses</t>
  </si>
  <si>
    <t xml:space="preserve">Tax losses used</t>
  </si>
  <si>
    <t xml:space="preserve">Tax losses carried forward</t>
  </si>
  <si>
    <t xml:space="preserve">Cash taxes</t>
  </si>
  <si>
    <t xml:space="preserve">Net income</t>
  </si>
  <si>
    <t xml:space="preserve">Tax without the interest cap (for comparison)</t>
  </si>
  <si>
    <t xml:space="preserve">Cash cost of the cap</t>
  </si>
  <si>
    <t xml:space="preserve">Cash flow</t>
  </si>
  <si>
    <t xml:space="preserve">Chapter 7: free cash flow, the events of the hold and the cash roll.</t>
  </si>
  <si>
    <t xml:space="preserve">Events and free cash flow ($ millions)</t>
  </si>
  <si>
    <t xml:space="preserve">Add-on purchase price</t>
  </si>
  <si>
    <t xml:space="preserve">Add-on fees (expensed)</t>
  </si>
  <si>
    <t xml:space="preserve">Incremental term loan drawn for the add-on</t>
  </si>
  <si>
    <t xml:space="preserve">Financing fee on the incremental loan (capitalized)</t>
  </si>
  <si>
    <t xml:space="preserve">Incremental term loan drawn for the recapitalization</t>
  </si>
  <si>
    <t xml:space="preserve">Recapitalization fee (expensed)</t>
  </si>
  <si>
    <t xml:space="preserve">Dividend paid to all shareholders</t>
  </si>
  <si>
    <t xml:space="preserve">Amend-and-extend consent fee (expensed)</t>
  </si>
  <si>
    <t xml:space="preserve">Equity cure received from the sponsor</t>
  </si>
  <si>
    <t xml:space="preserve">Free cash flow (EBITDA - cash taxes - cash interest - capex - change in NWC - expensed fees)</t>
  </si>
  <si>
    <t xml:space="preserve">Capital expenditure plus change in NWC</t>
  </si>
  <si>
    <t xml:space="preserve">Cash roll ($ millions)</t>
  </si>
  <si>
    <t xml:space="preserve">Opening cash</t>
  </si>
  <si>
    <t xml:space="preserve">Cash before the revolver and the sweep (opening + FCF - amortization - add-on and recap flows + cure)</t>
  </si>
  <si>
    <t xml:space="preserve">Closing cash (after the revolver draw or repayment and the sweep)</t>
  </si>
  <si>
    <t xml:space="preserve">Balance sheet</t>
  </si>
  <si>
    <t xml:space="preserve">Chapter 7: cash, working capital, fixed assets, goodwill, capitalized fees; debt; equity. It closes every year.</t>
  </si>
  <si>
    <t xml:space="preserve">Balance sheet at the year end ($ millions)</t>
  </si>
  <si>
    <t xml:space="preserve">Net working capital</t>
  </si>
  <si>
    <t xml:space="preserve">Net fixed assets</t>
  </si>
  <si>
    <t xml:space="preserve">Goodwill and intangibles</t>
  </si>
  <si>
    <t xml:space="preserve">Capitalized financing fees</t>
  </si>
  <si>
    <t xml:space="preserve">Total assets</t>
  </si>
  <si>
    <t xml:space="preserve">Debt</t>
  </si>
  <si>
    <t xml:space="preserve">Equity (book value)</t>
  </si>
  <si>
    <t xml:space="preserve">Debt and equity</t>
  </si>
  <si>
    <t xml:space="preserve">Assets less debt and equity (must be zero)</t>
  </si>
  <si>
    <t xml:space="preserve">Covenants and headroom</t>
  </si>
  <si>
    <t xml:space="preserve">Chapters 8 and 12: covenant EBITDA with the pro forma add-on and the capped synergy add-back, covenant leverage, headroom, cushion.</t>
  </si>
  <si>
    <t xml:space="preserve">Covenant test at each year end</t>
  </si>
  <si>
    <t xml:space="preserve">EBITDA pro forma for the add-on (full year in the year of acquisition)</t>
  </si>
  <si>
    <t xml:space="preserve">Run-rate synergy add-back (synergies not yet achieved, capped)</t>
  </si>
  <si>
    <t xml:space="preserve">Covenant EBITDA (pro forma + add-back + equity cure deemed EBITDA)</t>
  </si>
  <si>
    <t xml:space="preserve">Total net debt</t>
  </si>
  <si>
    <t xml:space="preserve">Covenant leverage (net debt / covenant EBITDA)</t>
  </si>
  <si>
    <t xml:space="preserve">Maximum allowed (reset after an amend and extend)</t>
  </si>
  <si>
    <t xml:space="preserve">Headroom (turns)</t>
  </si>
  <si>
    <t xml:space="preserve">EBITDA cushion (how far covenant EBITDA could fall)</t>
  </si>
  <si>
    <t xml:space="preserve">EBITDA cushion in dollars</t>
  </si>
  <si>
    <t xml:space="preserve">Equity cure that would restore the original test (0 if it passes)</t>
  </si>
  <si>
    <t xml:space="preserve">Breach without the synergy add-back (net debt / EBITDA less the original maximum)</t>
  </si>
  <si>
    <t xml:space="preserve">Breach in turns (covenant leverage less the maximum; negative when the test passes)</t>
  </si>
  <si>
    <t xml:space="preserve">Figures of chapter 11</t>
  </si>
  <si>
    <t xml:space="preserve">Net leverage at the end of the add-on year, pro forma for the add-on's EBITDA</t>
  </si>
  <si>
    <t xml:space="preserve">The exit and the waterfall</t>
  </si>
  <si>
    <t xml:space="preserve">Chapters 9 and 14: enterprise value, net debt, fees, equity value, treasury-method price per share, performance vesting, sponsor, rollover, options, the CEO.</t>
  </si>
  <si>
    <t xml:space="preserve">Exit at the end of the holding period ($ millions)</t>
  </si>
  <si>
    <t xml:space="preserve">Exit year</t>
  </si>
  <si>
    <t xml:space="preserve">EBITDA of the exit year</t>
  </si>
  <si>
    <t xml:space="preserve">Enterprise value = exit multiple x EBITDA</t>
  </si>
  <si>
    <t xml:space="preserve">Less net debt at exit</t>
  </si>
  <si>
    <t xml:space="preserve">of which term loan</t>
  </si>
  <si>
    <t xml:space="preserve">of which second lien</t>
  </si>
  <si>
    <t xml:space="preserve">of which revolver</t>
  </si>
  <si>
    <t xml:space="preserve">less cash</t>
  </si>
  <si>
    <t xml:space="preserve">Less exit fees</t>
  </si>
  <si>
    <t xml:space="preserve">Equity value at exit</t>
  </si>
  <si>
    <t xml:space="preserve">One turn of exit multiple, in equity after exit fees</t>
  </si>
  <si>
    <t xml:space="preserve">The shares, the options and the price per share</t>
  </si>
  <si>
    <t xml:space="preserve">Ordinary shares at closing (million)</t>
  </si>
  <si>
    <t xml:space="preserve">of which the sponsor</t>
  </si>
  <si>
    <t xml:space="preserve">Sponsor share of the ordinary shares at closing</t>
  </si>
  <si>
    <t xml:space="preserve">of which management's rollover</t>
  </si>
  <si>
    <t xml:space="preserve">Management share of the ordinary shares</t>
  </si>
  <si>
    <t xml:space="preserve">of which the CEO</t>
  </si>
  <si>
    <t xml:space="preserve">Equity cures received during the hold (new shares to the sponsor at the entry price)</t>
  </si>
  <si>
    <t xml:space="preserve">Ordinary shares at exit (million)</t>
  </si>
  <si>
    <t xml:space="preserve">Sponsor shares at exit (million)</t>
  </si>
  <si>
    <t xml:space="preserve">Options in the pool (million), on the shares at closing</t>
  </si>
  <si>
    <t xml:space="preserve">Price per share with the whole pool exercised (treasury method: the strike is paid in)</t>
  </si>
  <si>
    <t xml:space="preserve">Interim flows to the sponsor during the hold (dividends less cures)</t>
  </si>
  <si>
    <t xml:space="preserve">Sponsor multiple with the whole pool exercised (the performance test)</t>
  </si>
  <si>
    <t xml:space="preserve">Options vested: the whole pool if the test is met, half otherwise</t>
  </si>
  <si>
    <t xml:space="preserve">Price per share with the vested options exercised</t>
  </si>
  <si>
    <t xml:space="preserve">Options exercised (none if out of the money)</t>
  </si>
  <si>
    <t xml:space="preserve">Price per share at exit</t>
  </si>
  <si>
    <t xml:space="preserve">Who gets what</t>
  </si>
  <si>
    <t xml:space="preserve">Sponsor proceeds</t>
  </si>
  <si>
    <t xml:space="preserve">Sponsor share of the equity value</t>
  </si>
  <si>
    <t xml:space="preserve">Management's rollover shares</t>
  </si>
  <si>
    <t xml:space="preserve">Value of the options (price less strike, on the options exercised)</t>
  </si>
  <si>
    <t xml:space="preserve">Sponsor + management shares + options - equity value (must be zero)</t>
  </si>
  <si>
    <t xml:space="preserve">Management in total (shares and options)</t>
  </si>
  <si>
    <t xml:space="preserve">Management multiple on the rollover</t>
  </si>
  <si>
    <t xml:space="preserve">The CEO's rollover shares</t>
  </si>
  <si>
    <t xml:space="preserve">The CEO's share of the option value</t>
  </si>
  <si>
    <t xml:space="preserve">The CEO in total, before tax</t>
  </si>
  <si>
    <t xml:space="preserve">The CEO's multiple on the rollover</t>
  </si>
  <si>
    <t xml:space="preserve">Sponsor proceeds had there been no option pool</t>
  </si>
  <si>
    <t xml:space="preserve">Cost of the pool to the sponsor</t>
  </si>
  <si>
    <t xml:space="preserve">Returns</t>
  </si>
  <si>
    <t xml:space="preserve">Chapters 14 and 15: sponsor flows by year, IRR, XIRR on dated flows, MOIC; all shareholders' flows.</t>
  </si>
  <si>
    <t xml:space="preserve">Cash flows and returns ($ millions)</t>
  </si>
  <si>
    <t xml:space="preserve">Cumulative equity cures</t>
  </si>
  <si>
    <t xml:space="preserve">Sponsor shares outstanding (million)</t>
  </si>
  <si>
    <t xml:space="preserve">All shares outstanding (million)</t>
  </si>
  <si>
    <t xml:space="preserve">Interim flow to the sponsor (its share of the dividend, less the cure it funds)</t>
  </si>
  <si>
    <t xml:space="preserve">Sponsor cash flows</t>
  </si>
  <si>
    <t xml:space="preserve">All shareholders' cash flows</t>
  </si>
  <si>
    <t xml:space="preserve">Date of the flow (from the closing date)</t>
  </si>
  <si>
    <t xml:space="preserve">Sponsor IRR (annual flows at year ends)</t>
  </si>
  <si>
    <t xml:space="preserve">Sponsor IRR by XIRR on the dated flows</t>
  </si>
  <si>
    <t xml:space="preserve">Sponsor multiple of money (proceeds / equity invested)</t>
  </si>
  <si>
    <t xml:space="preserve">Sponsor equity invested in total (including cures)</t>
  </si>
  <si>
    <t xml:space="preserve">All shareholders' IRR</t>
  </si>
  <si>
    <t xml:space="preserve">All shareholders' multiple</t>
  </si>
  <si>
    <t xml:space="preserve">Gain of all shareholders (sum of the flows)</t>
  </si>
  <si>
    <t xml:space="preserve">Over the holding period</t>
  </si>
  <si>
    <t xml:space="preserve">Cumulative free cash flow</t>
  </si>
  <si>
    <t xml:space="preserve">Cumulative net cash interest</t>
  </si>
  <si>
    <t xml:space="preserve">Cumulative cash taxes</t>
  </si>
  <si>
    <t xml:space="preserve">Cumulative mandatory amortization</t>
  </si>
  <si>
    <t xml:space="preserve">Cumulative sweep</t>
  </si>
  <si>
    <t xml:space="preserve">Dividends paid</t>
  </si>
  <si>
    <t xml:space="preserve">Term loan repaid (mandatory plus sweep)</t>
  </si>
  <si>
    <t xml:space="preserve">Deleveraging: net debt at closing less net debt at exit</t>
  </si>
  <si>
    <t xml:space="preserve">EBITDA growth a year, compounded</t>
  </si>
  <si>
    <t xml:space="preserve">Revenue growth a year, compounded</t>
  </si>
  <si>
    <t xml:space="preserve">Gain in enterprise value</t>
  </si>
  <si>
    <t xml:space="preserve">Gain in enterprise value, share of the entry value</t>
  </si>
  <si>
    <t xml:space="preserve">Enterprise value growth a year, compounded</t>
  </si>
  <si>
    <t xml:space="preserve">Gain on the equity, share of the equity invested</t>
  </si>
  <si>
    <t xml:space="preserve">Checks: the figures printed in the book against the live workbook</t>
  </si>
  <si>
    <t xml:space="preserve">Book = the figure as printed in the book (facts.json). Tolerance = half a unit of the last printed digit. The logic checks at the end test that the model holds together. An error value counts as FAIL.</t>
  </si>
  <si>
    <t xml:space="preserve">Number of checks</t>
  </si>
  <si>
    <t xml:space="preserve">PASS</t>
  </si>
  <si>
    <t xml:space="preserve">FAIL</t>
  </si>
  <si>
    <t xml:space="preserve">Global status (PASS only if every check passes)</t>
  </si>
  <si>
    <t xml:space="preserve">#</t>
  </si>
  <si>
    <t xml:space="preserve">Sheet</t>
  </si>
  <si>
    <t xml:space="preserve">Figure printed in the book (facts.json key), or logic check</t>
  </si>
  <si>
    <t xml:space="preserve">Book</t>
  </si>
  <si>
    <t xml:space="preserve">Workbook</t>
  </si>
  <si>
    <t xml:space="preserve">Difference</t>
  </si>
  <si>
    <t xml:space="preserve">Tolerance</t>
  </si>
  <si>
    <t xml:space="preserve">Status</t>
  </si>
  <si>
    <t xml:space="preserve">Sources_Uses</t>
  </si>
  <si>
    <t xml:space="preserve">BASE: sources = uses</t>
  </si>
  <si>
    <t xml:space="preserve">holds</t>
  </si>
  <si>
    <t xml:space="preserve">Balance_Sheet</t>
  </si>
  <si>
    <t xml:space="preserve">BASE: the balance sheet closes every year (assets = debt + equity)</t>
  </si>
  <si>
    <t xml:space="preserve">BASE: closing debt = opening debt - repayments + draws, every year</t>
  </si>
  <si>
    <t xml:space="preserve">BASE: the sweep never exceeds the cash above the minimum</t>
  </si>
  <si>
    <t xml:space="preserve">BASE: cash never falls below the minimum while the revolver has room (levered cases)</t>
  </si>
  <si>
    <t xml:space="preserve">Covenants</t>
  </si>
  <si>
    <t xml:space="preserve">BASE: year-3 covenant headroom = maximum less covenant leverage</t>
  </si>
  <si>
    <t xml:space="preserve">Exit</t>
  </si>
  <si>
    <t xml:space="preserve">BASE: sponsor + management shares + options = equity value at exit</t>
  </si>
  <si>
    <t xml:space="preserve">BASE: sponsor IRR by XIRR on dated flows equals the IRR shown within 0.0005</t>
  </si>
  <si>
    <t xml:space="preserve">BASE: the sponsor's multiple = proceeds / equity invested</t>
  </si>
  <si>
    <t xml:space="preserve">Assumptions</t>
  </si>
  <si>
    <t xml:space="preserve">HOLD: Holding period: exit at the end of year (3 to 7)</t>
  </si>
  <si>
    <t xml:space="preserve">SOFR: Base rate (SOFR), flat in every year of the base case</t>
  </si>
  <si>
    <t xml:space="preserve">CASH_YIELD: Interest earned on opening cash</t>
  </si>
  <si>
    <t xml:space="preserve">TAX: Corporate tax rate</t>
  </si>
  <si>
    <t xml:space="preserve">INTEREST_CAP: Deductible interest, cap as a share of EBITDA (assumption modeled on the US rule)</t>
  </si>
  <si>
    <t xml:space="preserve">REV0: Revenue</t>
  </si>
  <si>
    <t xml:space="preserve">EBITDA_REP: Reported EBITDA</t>
  </si>
  <si>
    <t xml:space="preserve">MARGIN_REP: Reported margin</t>
  </si>
  <si>
    <t xml:space="preserve">TOP10: Ten largest customers, share of revenue</t>
  </si>
  <si>
    <t xml:space="preserve">AFTERMARKET: Spare parts and service (recurring), share of revenue</t>
  </si>
  <si>
    <t xml:space="preserve">GROWTH_LTM: Last year's revenue growth</t>
  </si>
  <si>
    <t xml:space="preserve">GROWTH_PRICE: Last year's revenue growth from price</t>
  </si>
  <si>
    <t xml:space="preserve">GROWTH_VOLUME: Last year's revenue growth from volume</t>
  </si>
  <si>
    <t xml:space="preserve">ADJ_CLAIM_TOT: Total adjustments claimed</t>
  </si>
  <si>
    <t xml:space="preserve">ADJ_ACC_TOT: Total adjustments accepted</t>
  </si>
  <si>
    <t xml:space="preserve">EBITDA_SELLER: Seller's adjusted EBITDA</t>
  </si>
  <si>
    <t xml:space="preserve">MARGIN_SELLER: Seller's adjusted margin</t>
  </si>
  <si>
    <t xml:space="preserve">EBITDA0: Underwriting EBITDA (reported plus accepted adjustments)</t>
  </si>
  <si>
    <t xml:space="preserve">MARGIN0: Underwriting margin (year 0)</t>
  </si>
  <si>
    <t xml:space="preserve">ADJ_REJECTED: Adjustments rejected (into the value plan, not the price)</t>
  </si>
  <si>
    <t xml:space="preserve">MULT_UNDERWRITING: Entry multiple (enterprise value / underwriting EBITDA)</t>
  </si>
  <si>
    <t xml:space="preserve">MULT_SELLER: The same price as a multiple of the seller's EBITDA</t>
  </si>
  <si>
    <t xml:space="preserve">CAPEX_PCT: Capital expenditure, share of revenue</t>
  </si>
  <si>
    <t xml:space="preserve">DA_PCT: Depreciation and amortization, share of revenue</t>
  </si>
  <si>
    <t xml:space="preserve">NWC_PCT: Net working capital, share of revenue</t>
  </si>
  <si>
    <t xml:space="preserve">PPE_PCT: Net fixed assets at closing, share of revenue</t>
  </si>
  <si>
    <t xml:space="preserve">EBITDA_CAPEX0: Year-0 EBITDA less capital expenditure</t>
  </si>
  <si>
    <t xml:space="preserve">CONV0: Cash conversion (EBITDA less capex, share of EBITDA)</t>
  </si>
  <si>
    <t xml:space="preserve">COMP_MEDIAN: Median of the listed set</t>
  </si>
  <si>
    <t xml:space="preserve">COMP_LO: Lowest of the listed set</t>
  </si>
  <si>
    <t xml:space="preserve">COMP_HI: Highest of the listed set</t>
  </si>
  <si>
    <t xml:space="preserve">PREC_MEDIAN: Median of the precedents</t>
  </si>
  <si>
    <t xml:space="preserve">PREC_LO: Lowest precedent</t>
  </si>
  <si>
    <t xml:space="preserve">PREC_HI: Highest precedent</t>
  </si>
  <si>
    <t xml:space="preserve">ENTRY_MULT: Entry multiple (enterprise value / underwriting EBITDA)</t>
  </si>
  <si>
    <t xml:space="preserve">EBITDA0_2: Underwriting EBITDA (reported plus accepted adjustments)</t>
  </si>
  <si>
    <t xml:space="preserve">EV0: Enterprise value at entry</t>
  </si>
  <si>
    <t xml:space="preserve">T_DEBT: Bank debt repaid at closing</t>
  </si>
  <si>
    <t xml:space="preserve">T_LEASES: Finance leases (debt-like)</t>
  </si>
  <si>
    <t xml:space="preserve">T_SETTLE: Unpaid part of the litigation settlement (debt-like)</t>
  </si>
  <si>
    <t xml:space="preserve">T_CASH: Cash on the target's balance sheet</t>
  </si>
  <si>
    <t xml:space="preserve">NET_DEBT0_T: Net debt and debt-like items</t>
  </si>
  <si>
    <t xml:space="preserve">EQUITY_PRICE: Equity purchase price (paid to the seller)</t>
  </si>
  <si>
    <t xml:space="preserve">TURN: Underwriting EBITDA (reported plus accepted adjustments)</t>
  </si>
  <si>
    <t xml:space="preserve">EBITDA_1M: One million of accepted EBITDA adjustment</t>
  </si>
  <si>
    <t xml:space="preserve">ADJ_1M_PRICE: Its worth in price at the entry multiple</t>
  </si>
  <si>
    <t xml:space="preserve">ENTRY_MULT_2: Entry multiple (enterprise value / underwriting EBITDA)</t>
  </si>
  <si>
    <t xml:space="preserve">ENTRY_MULT_2B: Entry multiple (enterprise value / underwriting EBITDA)</t>
  </si>
  <si>
    <t xml:space="preserve">EBITDA_SELLER_2: Seller's adjusted EBITDA</t>
  </si>
  <si>
    <t xml:space="preserve">EV_SELLER_BASIS: Price had the fund paid the entry multiple on the seller's EBITDA</t>
  </si>
  <si>
    <t xml:space="preserve">EV_SELLER_DIFF: Difference against the agreed price</t>
  </si>
  <si>
    <t xml:space="preserve">FEE_ADV: Transaction fees: advisory</t>
  </si>
  <si>
    <t xml:space="preserve">FEE_DD: Transaction fees: due diligence</t>
  </si>
  <si>
    <t xml:space="preserve">FEE_LEGAL: Transaction fees: legal</t>
  </si>
  <si>
    <t xml:space="preserve">FIN_FEE_PCT: Financing fees, share of funded debt (capitalized, amortized over the term loan's life)</t>
  </si>
  <si>
    <t xml:space="preserve">TLB_MULT: First-lien term loan B, multiple of underwriting EBITDA</t>
  </si>
  <si>
    <t xml:space="preserve">SL_MULT: Second-lien loan, multiple of underwriting EBITDA</t>
  </si>
  <si>
    <t xml:space="preserve">RCF_SIZE: Revolver commitment</t>
  </si>
  <si>
    <t xml:space="preserve">ENTRY_10: A price one turn higher, for comparison</t>
  </si>
  <si>
    <t xml:space="preserve">TLB_SPREAD: Term loan margin over SOFR</t>
  </si>
  <si>
    <t xml:space="preserve">TLB_RATE: Term loan all-in rate in the base case</t>
  </si>
  <si>
    <t xml:space="preserve">TLB_YEARS: Term loan maturity (years); also the life of the capitalized financing fees</t>
  </si>
  <si>
    <t xml:space="preserve">TLB_AMORT: Mandatory amortization, share of original principal a year</t>
  </si>
  <si>
    <t xml:space="preserve">SL_RATE: Second-lien fixed rate</t>
  </si>
  <si>
    <t xml:space="preserve">SL_YEARS: Second-lien maturity (bullet)</t>
  </si>
  <si>
    <t xml:space="preserve">RCF_SIZE_6: Revolver commitment</t>
  </si>
  <si>
    <t xml:space="preserve">RCF_SPREAD: Revolver margin over SOFR when drawn</t>
  </si>
  <si>
    <t xml:space="preserve">RCF_UNDRAWN: Revolver commitment fee on the undrawn amount</t>
  </si>
  <si>
    <t xml:space="preserve">RCF_YEARS: Revolver maturity</t>
  </si>
  <si>
    <t xml:space="preserve">TLB_AMORT_2: Mandatory amortization, share of original principal a year</t>
  </si>
  <si>
    <t xml:space="preserve">SWEEP50: Sweep step 1: share of excess cash flow</t>
  </si>
  <si>
    <t xml:space="preserve">SWEEP_LEV1: Sweep step 1: net leverage above</t>
  </si>
  <si>
    <t xml:space="preserve">SWEEP25: Sweep step 2: share of excess cash flow</t>
  </si>
  <si>
    <t xml:space="preserve">SWEEP_LEV2: Sweep step 2: net leverage above</t>
  </si>
  <si>
    <t xml:space="preserve">MIN_CASH: Minimum cash kept on the balance sheet</t>
  </si>
  <si>
    <t xml:space="preserve">MARGIN0_2: Underwriting margin (year 0)</t>
  </si>
  <si>
    <t xml:space="preserve">IMP_PROC: Run-rate procurement savings: seller's claim</t>
  </si>
  <si>
    <t xml:space="preserve">CAPEX_PCT_2: Capital expenditure, share of revenue</t>
  </si>
  <si>
    <t xml:space="preserve">DA_PCT_2: Depreciation and amortization, share of revenue</t>
  </si>
  <si>
    <t xml:space="preserve">NWC_PCT_2: Net working capital, share of revenue</t>
  </si>
  <si>
    <t xml:space="preserve">NWC_PCT_3: Net working capital, share of revenue</t>
  </si>
  <si>
    <t xml:space="preserve">EXIT_MULT_10: Exit multiple (enterprise value / EBITDA of the exit year)</t>
  </si>
  <si>
    <t xml:space="preserve">ADDON_FEES_7: Add-on transaction fees (expensed)</t>
  </si>
  <si>
    <t xml:space="preserve">ADDON_TLB_7: Incremental first-lien term loan for the add-on (same terms)</t>
  </si>
  <si>
    <t xml:space="preserve">DELEVER_ADDON_7: Incremental first-lien term loan for the add-on (same terms)</t>
  </si>
  <si>
    <t xml:space="preserve">INTEREST_CAP_2: Deductible interest, cap as a share of EBITDA (assumption modeled on the US rule)</t>
  </si>
  <si>
    <t xml:space="preserve">FEES_TXN_BS: Transaction fees, total (expensed at closing)</t>
  </si>
  <si>
    <t xml:space="preserve">SYN_CAP: Covenant EBITDA: run-rate synergy add-back, cap as a share of covenant EBITDA</t>
  </si>
  <si>
    <t xml:space="preserve">SYN_RUNRATE: Run-rate cost synergies of the add-on</t>
  </si>
  <si>
    <t xml:space="preserve">ADDON_EBITDA_8: Add-on EBITDA at acquisition</t>
  </si>
  <si>
    <t xml:space="preserve">SHARE_PRICE: Share price at closing (also the option strike)</t>
  </si>
  <si>
    <t xml:space="preserve">CEO_ROLL: The CEO's share of the management rollover</t>
  </si>
  <si>
    <t xml:space="preserve">POOL: Option pool, share of fully diluted equity</t>
  </si>
  <si>
    <t xml:space="preserve">STRIKE: Share price at closing (also the option strike)</t>
  </si>
  <si>
    <t xml:space="preserve">PERF_MOIC: Performance vesting: half the pool vests only if the sponsor's MOIC reaches</t>
  </si>
  <si>
    <t xml:space="preserve">CEO_POOL: The CEO's share of the option pool</t>
  </si>
  <si>
    <t xml:space="preserve">CEO_POOL_2: The CEO's share of the option pool</t>
  </si>
  <si>
    <t xml:space="preserve">CEO_ROLL_2: The CEO's share of the management rollover</t>
  </si>
  <si>
    <t xml:space="preserve">ADDON_REV: Add-on revenue at acquisition</t>
  </si>
  <si>
    <t xml:space="preserve">ADDON_EBITDA: Add-on EBITDA at acquisition</t>
  </si>
  <si>
    <t xml:space="preserve">ADDON_MARGIN: Add-on margin</t>
  </si>
  <si>
    <t xml:space="preserve">ADDON_MULT: Add-on price, multiple of its EBITDA</t>
  </si>
  <si>
    <t xml:space="preserve">ADDON_EV: Add-on enterprise value (bought debt-free, cash-free)</t>
  </si>
  <si>
    <t xml:space="preserve">ADDON_FEES: Add-on transaction fees (expensed)</t>
  </si>
  <si>
    <t xml:space="preserve">ADDON_TLB: Incremental first-lien term loan for the add-on (same terms)</t>
  </si>
  <si>
    <t xml:space="preserve">ADDON_FINFEE: Financing fee on the incremental loan</t>
  </si>
  <si>
    <t xml:space="preserve">ADDON_CASH: Cash of the company used for the add-on</t>
  </si>
  <si>
    <t xml:space="preserve">ADDON_GROWTH: Add-on revenue growth a year</t>
  </si>
  <si>
    <t xml:space="preserve">ADDON_EBITDA_11: Add-on EBITDA at acquisition</t>
  </si>
  <si>
    <t xml:space="preserve">ADDON_MULT_2: Add-on price, multiple of its EBITDA</t>
  </si>
  <si>
    <t xml:space="preserve">EXIT_MULT_11: Exit multiple (enterprise value / EBITDA of the exit year)</t>
  </si>
  <si>
    <t xml:space="preserve">EXIT_MULT_11B: Exit multiple (enterprise value / EBITDA of the exit year)</t>
  </si>
  <si>
    <t xml:space="preserve">EXIT_MULT_11C: Exit multiple (enterprise value / EBITDA of the exit year)</t>
  </si>
  <si>
    <t xml:space="preserve">ADDON_FEES_ALL: Add-on fees of both kinds</t>
  </si>
  <si>
    <t xml:space="preserve">G3_2: Platform revenue growth, year 3</t>
  </si>
  <si>
    <t xml:space="preserve">MARGIN_PLAN3: Year-3 margin the plan called for (year-0 margin plus the improvement)</t>
  </si>
  <si>
    <t xml:space="preserve">SHOCK3_2: Bad-year margin shock (points), year 3</t>
  </si>
  <si>
    <t xml:space="preserve">COV3_12: Covenant: maximum total net debt / covenant EBITDA, year 3</t>
  </si>
  <si>
    <t xml:space="preserve">MIN_CASH_12: Minimum cash kept on the balance sheet</t>
  </si>
  <si>
    <t xml:space="preserve">RCF_SPRING: Drawn share that would switch on a springing test in many loans (not modeled)</t>
  </si>
  <si>
    <t xml:space="preserve">EXIT_MULT: Exit multiple (enterprise value / EBITDA of the exit year)</t>
  </si>
  <si>
    <t xml:space="preserve">EXIT_FEE_PCT: Exit fees (advisers), share of enterprise value</t>
  </si>
  <si>
    <t xml:space="preserve">EXIT9_13: Exit multiple (enterprise value / EBITDA of the exit year)</t>
  </si>
  <si>
    <t xml:space="preserve">COV4_13: Covenant: maximum total net debt / covenant EBITDA, year 4</t>
  </si>
  <si>
    <t xml:space="preserve">COV3_2: Covenant: maximum total net debt / covenant EBITDA, year 3</t>
  </si>
  <si>
    <t xml:space="preserve">SHOCK3: Bad-year margin shock (points), year 3</t>
  </si>
  <si>
    <t xml:space="preserve">SHOCK4: Bad-year margin shock (points), year 4</t>
  </si>
  <si>
    <t xml:space="preserve">ROLLOVER_9: Management rollover (ordinary shares)</t>
  </si>
  <si>
    <t xml:space="preserve">ADJ0_CLAIM: Litigation settlement, one-off: seller's claim</t>
  </si>
  <si>
    <t xml:space="preserve">ADJ0_ACC: Litigation settlement, one-off: accepted by the fund</t>
  </si>
  <si>
    <t xml:space="preserve">ADJ1_CLAIM: Owner compensation above market rate: seller's claim</t>
  </si>
  <si>
    <t xml:space="preserve">ADJ1_ACC: Owner compensation above market rate: accepted by the fund</t>
  </si>
  <si>
    <t xml:space="preserve">ADJ2_CLAIM: Run-rate procurement savings: seller's claim</t>
  </si>
  <si>
    <t xml:space="preserve">ADJ2_ACC: Run-rate procurement savings: accepted by the fund</t>
  </si>
  <si>
    <t xml:space="preserve">ADJ3_CLAIM: Price increase announced, not yet invoiced: seller's claim</t>
  </si>
  <si>
    <t xml:space="preserve">ADJ3_ACC: Price increase announced, not yet invoiced: accepted by the fund</t>
  </si>
  <si>
    <t xml:space="preserve">COMP0: Ardent Flow Technologies</t>
  </si>
  <si>
    <t xml:space="preserve">COMP1: Beaumont Industrial</t>
  </si>
  <si>
    <t xml:space="preserve">COMP2: Corvell Process Equipment</t>
  </si>
  <si>
    <t xml:space="preserve">COMP3: Delamere Controls</t>
  </si>
  <si>
    <t xml:space="preserve">COMP4: Ellsworth Valve Group</t>
  </si>
  <si>
    <t xml:space="preserve">PREC0: Northgate Pumps</t>
  </si>
  <si>
    <t xml:space="preserve">PREC1: Sable Actuation</t>
  </si>
  <si>
    <t xml:space="preserve">PREC2: Tremont Filtration</t>
  </si>
  <si>
    <t xml:space="preserve">PREC3: Winslow Seals</t>
  </si>
  <si>
    <t xml:space="preserve">G1: Platform revenue growth, year 1</t>
  </si>
  <si>
    <t xml:space="preserve">G2: Platform revenue growth, year 2</t>
  </si>
  <si>
    <t xml:space="preserve">G3: Platform revenue growth, year 3</t>
  </si>
  <si>
    <t xml:space="preserve">G4: Platform revenue growth, year 4</t>
  </si>
  <si>
    <t xml:space="preserve">G5: Platform revenue growth, year 5</t>
  </si>
  <si>
    <t xml:space="preserve">G6: Platform revenue growth, year 6</t>
  </si>
  <si>
    <t xml:space="preserve">G7: Platform revenue growth, year 7</t>
  </si>
  <si>
    <t xml:space="preserve">IMP1: Margin improvement from the plan (points over the year-0 margin), year 1</t>
  </si>
  <si>
    <t xml:space="preserve">IMP2: Margin improvement from the plan (points over the year-0 margin), year 2</t>
  </si>
  <si>
    <t xml:space="preserve">IMP3: Margin improvement from the plan (points over the year-0 margin), year 3</t>
  </si>
  <si>
    <t xml:space="preserve">COV1: Covenant: maximum total net debt / covenant EBITDA, year 1</t>
  </si>
  <si>
    <t xml:space="preserve">COV2: Covenant: maximum total net debt / covenant EBITDA, year 2</t>
  </si>
  <si>
    <t xml:space="preserve">COV3: Covenant: maximum total net debt / covenant EBITDA, year 3</t>
  </si>
  <si>
    <t xml:space="preserve">COV4: Covenant: maximum total net debt / covenant EBITDA, year 4</t>
  </si>
  <si>
    <t xml:space="preserve">COV5: Covenant: maximum total net debt / covenant EBITDA, year 5</t>
  </si>
  <si>
    <t xml:space="preserve">SYN3_2: Cost synergies from the add-on, year 3</t>
  </si>
  <si>
    <t xml:space="preserve">SYN4_2: Cost synergies from the add-on, year 4</t>
  </si>
  <si>
    <t xml:space="preserve">SYN5_2: Cost synergies from the add-on, year 5</t>
  </si>
  <si>
    <t xml:space="preserve">U_EQUITY: Purchase of the equity (paid to the seller)</t>
  </si>
  <si>
    <t xml:space="preserve">U_REFI: Refinancing of net debt and debt-like items</t>
  </si>
  <si>
    <t xml:space="preserve">U_EV: Enterprise value = entry multiple x underwriting EBITDA</t>
  </si>
  <si>
    <t xml:space="preserve">U_TXN: Transaction fees (expensed)</t>
  </si>
  <si>
    <t xml:space="preserve">U_FIN: Financing fees (capitalized)</t>
  </si>
  <si>
    <t xml:space="preserve">U_CASH: Cash to the balance sheet</t>
  </si>
  <si>
    <t xml:space="preserve">U_TOTAL: Total uses</t>
  </si>
  <si>
    <t xml:space="preserve">S_TLB: First-lien term loan B</t>
  </si>
  <si>
    <t xml:space="preserve">S_SL: Second-lien loan</t>
  </si>
  <si>
    <t xml:space="preserve">S_RCF: Revolver drawn at closing</t>
  </si>
  <si>
    <t xml:space="preserve">S_SPONSOR: Sponsor equity</t>
  </si>
  <si>
    <t xml:space="preserve">S_ROLL: Management rollover</t>
  </si>
  <si>
    <t xml:space="preserve">S_TOTAL: Total sources</t>
  </si>
  <si>
    <t xml:space="preserve">DEBT0: Total debt</t>
  </si>
  <si>
    <t xml:space="preserve">LEV0: Total debt / EBITDA</t>
  </si>
  <si>
    <t xml:space="preserve">NET_DEBT0: Net debt at closing</t>
  </si>
  <si>
    <t xml:space="preserve">NET_LEV0: Net debt / EBITDA</t>
  </si>
  <si>
    <t xml:space="preserve">EQUITY0: Total equity (the balancing item)</t>
  </si>
  <si>
    <t xml:space="preserve">EQ_SHARE: Equity, share of total sources</t>
  </si>
  <si>
    <t xml:space="preserve">DEBT_SHARE: Debt, share of total sources</t>
  </si>
  <si>
    <t xml:space="preserve">LTV0: Debt to enterprise value</t>
  </si>
  <si>
    <t xml:space="preserve">FEES_ALL: Fees of both kinds</t>
  </si>
  <si>
    <t xml:space="preserve">FEES_PCT_EV: Fees, share of enterprise value</t>
  </si>
  <si>
    <t xml:space="preserve">FEES_PCT_EQ: Fees, share of the equity</t>
  </si>
  <si>
    <t xml:space="preserve">DEBT0_2: Total debt</t>
  </si>
  <si>
    <t xml:space="preserve">EQ_AT_10: Equity needed at the comparison price with the same debt</t>
  </si>
  <si>
    <t xml:space="preserve">SPONSOR_EQ: Sponsor equity</t>
  </si>
  <si>
    <t xml:space="preserve">TLB0: First-lien term loan B</t>
  </si>
  <si>
    <t xml:space="preserve">SL0: Second-lien loan</t>
  </si>
  <si>
    <t xml:space="preserve">DEBT0_3: Total debt</t>
  </si>
  <si>
    <t xml:space="preserve">TLB0_2: First-lien term loan B</t>
  </si>
  <si>
    <t xml:space="preserve">EQUITY0_BS: Total equity (the balancing item)</t>
  </si>
  <si>
    <t xml:space="preserve">SP_EQ_9: Sponsor equity</t>
  </si>
  <si>
    <t xml:space="preserve">SP_EQ_13: Sponsor equity</t>
  </si>
  <si>
    <t xml:space="preserve">SP_EQ_14: Sponsor equity</t>
  </si>
  <si>
    <t xml:space="preserve">EQUITY0_14: Total equity (the balancing item)</t>
  </si>
  <si>
    <t xml:space="preserve">L1_EV: Enterprise value = entry multiple x underwriting EBITDA</t>
  </si>
  <si>
    <t xml:space="preserve">L1_EBITDA: Underwriting EBITDA</t>
  </si>
  <si>
    <t xml:space="preserve">L1_EQ: Sponsor equity</t>
  </si>
  <si>
    <t xml:space="preserve">L1_DEBT: Total debt</t>
  </si>
  <si>
    <t xml:space="preserve">L3_LEV: Total debt / EBITDA</t>
  </si>
  <si>
    <t xml:space="preserve">EBITDA0_3: Underwriting EBITDA</t>
  </si>
  <si>
    <t xml:space="preserve">MAND_TOT: Cumulative mandatory amortization</t>
  </si>
  <si>
    <t xml:space="preserve">SWEEP_TOT: Cumulative sweep</t>
  </si>
  <si>
    <t xml:space="preserve">TLB_REPAID: Term loan repaid (mandatory plus sweep)</t>
  </si>
  <si>
    <t xml:space="preserve">DELEVER_7: Deleveraging: net debt at closing less net debt at exit</t>
  </si>
  <si>
    <t xml:space="preserve">FCF_TOT: Cumulative free cash flow</t>
  </si>
  <si>
    <t xml:space="preserve">INT_TOT: Cumulative net cash interest</t>
  </si>
  <si>
    <t xml:space="preserve">TAX_TOT: Cumulative cash taxes</t>
  </si>
  <si>
    <t xml:space="preserve">EBITDA_CAGR: EBITDA growth a year, compounded</t>
  </si>
  <si>
    <t xml:space="preserve">REV_CAGR: Revenue growth a year, compounded</t>
  </si>
  <si>
    <t xml:space="preserve">EBITDA5_2: EBITDA of the exit year</t>
  </si>
  <si>
    <t xml:space="preserve">EBITDA5_14: EBITDA of the exit year</t>
  </si>
  <si>
    <t xml:space="preserve">EV_EXIT: Enterprise value = exit multiple x EBITDA</t>
  </si>
  <si>
    <t xml:space="preserve">NETDEBT5_14: Less net debt at exit</t>
  </si>
  <si>
    <t xml:space="preserve">TLB5_14: of which term loan</t>
  </si>
  <si>
    <t xml:space="preserve">SL5_14: of which second lien</t>
  </si>
  <si>
    <t xml:space="preserve">CASH5_14: less cash</t>
  </si>
  <si>
    <t xml:space="preserve">EXIT_FEES: Less exit fees</t>
  </si>
  <si>
    <t xml:space="preserve">EQ_EXIT: Equity value at exit</t>
  </si>
  <si>
    <t xml:space="preserve">SP_PROCEEDS: Sponsor proceeds</t>
  </si>
  <si>
    <t xml:space="preserve">SP_SHARE_EXIT: Sponsor share of the equity value</t>
  </si>
  <si>
    <t xml:space="preserve">MGMT_SHARES_V_14: Management's rollover shares</t>
  </si>
  <si>
    <t xml:space="preserve">OPTION_VALUE_14: Value of the options (price less strike, on the options exercised)</t>
  </si>
  <si>
    <t xml:space="preserve">EQ_EXIT_14: Equity value at exit</t>
  </si>
  <si>
    <t xml:space="preserve">SP_PROCEEDS_14: Sponsor proceeds</t>
  </si>
  <si>
    <t xml:space="preserve">MOIC: Sponsor multiple of money (proceeds / equity invested)</t>
  </si>
  <si>
    <t xml:space="preserve">IRR: Sponsor IRR (annual flows at year ends)</t>
  </si>
  <si>
    <t xml:space="preserve">EQ_EXIT_14B: Equity value at exit</t>
  </si>
  <si>
    <t xml:space="preserve">GAIN_ALL: Gain of all shareholders (sum of the flows)</t>
  </si>
  <si>
    <t xml:space="preserve">MOIC_ALL: All shareholders' multiple</t>
  </si>
  <si>
    <t xml:space="preserve">IRR_ALL: All shareholders' IRR</t>
  </si>
  <si>
    <t xml:space="preserve">ONE_TURN_EXIT: One turn of exit multiple, in equity after exit fees</t>
  </si>
  <si>
    <t xml:space="preserve">SHARES: Ordinary shares at closing (million)</t>
  </si>
  <si>
    <t xml:space="preserve">SHARES_SP: of which the sponsor</t>
  </si>
  <si>
    <t xml:space="preserve">SP_PCT: Sponsor share of the ordinary shares at closing</t>
  </si>
  <si>
    <t xml:space="preserve">SHARES_MGMT: of which management's rollover</t>
  </si>
  <si>
    <t xml:space="preserve">MGMT_PCT: Management share of the ordinary shares</t>
  </si>
  <si>
    <t xml:space="preserve">SHARES_CEO: of which the CEO</t>
  </si>
  <si>
    <t xml:space="preserve">OPTIONS: Options in the pool (million), on the shares at closing</t>
  </si>
  <si>
    <t xml:space="preserve">EQ_EXIT_9: Equity value at exit</t>
  </si>
  <si>
    <t xml:space="preserve">MOIC_9: Sponsor multiple of money (proceeds / equity invested)</t>
  </si>
  <si>
    <t xml:space="preserve">VESTED: Options exercised (none if out of the money)</t>
  </si>
  <si>
    <t xml:space="preserve">PRICE_EXIT: Price per share at exit</t>
  </si>
  <si>
    <t xml:space="preserve">OPTION_VALUE: Value of the options (price less strike, on the options exercised)</t>
  </si>
  <si>
    <t xml:space="preserve">MGMT_SHARES_V: Management's rollover shares</t>
  </si>
  <si>
    <t xml:space="preserve">MGMT_TOTAL: Management in total (shares and options)</t>
  </si>
  <si>
    <t xml:space="preserve">MGMT_MOIC: Management multiple on the rollover</t>
  </si>
  <si>
    <t xml:space="preserve">SP_PROCEEDS_9: Sponsor proceeds</t>
  </si>
  <si>
    <t xml:space="preserve">CEO_SHARES_V: The CEO's rollover shares</t>
  </si>
  <si>
    <t xml:space="preserve">CEO_OPTIONS_V: The CEO's share of the option value</t>
  </si>
  <si>
    <t xml:space="preserve">CEO_TOTAL: The CEO in total, before tax</t>
  </si>
  <si>
    <t xml:space="preserve">CEO_MOIC: The CEO's multiple on the rollover</t>
  </si>
  <si>
    <t xml:space="preserve">POOL_COST_SP: Cost of the pool to the sponsor</t>
  </si>
  <si>
    <t xml:space="preserve">SP_NOPOOL: Sponsor proceeds had there been no option pool</t>
  </si>
  <si>
    <t xml:space="preserve">EBITDA5_11: EBITDA of the exit year</t>
  </si>
  <si>
    <t xml:space="preserve">EQ_EXIT_11: Equity value at exit</t>
  </si>
  <si>
    <t xml:space="preserve">IRR_11: Sponsor IRR (annual flows at year ends)</t>
  </si>
  <si>
    <t xml:space="preserve">MOIC_11: Sponsor multiple of money (proceeds / equity invested)</t>
  </si>
  <si>
    <t xml:space="preserve">IRR_BASE_6: Sponsor IRR (annual flows at year ends)</t>
  </si>
  <si>
    <t xml:space="preserve">MOIC_BASE_6: Sponsor multiple of money (proceeds / equity invested)</t>
  </si>
  <si>
    <t xml:space="preserve">IRR_12: Sponsor IRR (annual flows at year ends)</t>
  </si>
  <si>
    <t xml:space="preserve">MOIC_12: Sponsor multiple of money (proceeds / equity invested)</t>
  </si>
  <si>
    <t xml:space="preserve">IRR_13: Sponsor IRR (annual flows at year ends)</t>
  </si>
  <si>
    <t xml:space="preserve">MOIC_13: Sponsor multiple of money (proceeds / equity invested)</t>
  </si>
  <si>
    <t xml:space="preserve">EQ_EXIT_13: Equity value at exit</t>
  </si>
  <si>
    <t xml:space="preserve">NETDEBT5_13: Less net debt at exit</t>
  </si>
  <si>
    <t xml:space="preserve">L1_PROCEEDS: Sponsor proceeds</t>
  </si>
  <si>
    <t xml:space="preserve">L1_MOIC: Sponsor multiple of money (proceeds / equity invested)</t>
  </si>
  <si>
    <t xml:space="preserve">L1_IRR: Sponsor IRR (annual flows at year ends)</t>
  </si>
  <si>
    <t xml:space="preserve">L3_LEV_IRR: Sponsor IRR (annual flows at year ends)</t>
  </si>
  <si>
    <t xml:space="preserve">SP_PROC_13: Sponsor proceeds</t>
  </si>
  <si>
    <t xml:space="preserve">BLENDED: Blended cash cost of the funded debt in year 1 (term loan and second lien interest / debt)</t>
  </si>
  <si>
    <t xml:space="preserve">INT1_PCT_EBITDA: Year-1 cash interest, share of year-1 EBITDA</t>
  </si>
  <si>
    <t xml:space="preserve">Operating</t>
  </si>
  <si>
    <t xml:space="preserve">ONE_PT_MARGIN: One point of margin on exit-year revenue, in EBITDA</t>
  </si>
  <si>
    <t xml:space="preserve">ONE_PT_VALUE: The same in enterprise value at the exit multiple</t>
  </si>
  <si>
    <t xml:space="preserve">EBITDA_P_DROP: Platform EBITDA, year 3 against year 2</t>
  </si>
  <si>
    <t xml:space="preserve">DNWC3_REL: Working capital released in year 3</t>
  </si>
  <si>
    <t xml:space="preserve">NETLEV2_PF: Net leverage at the end of the add-on year, pro forma for the add-on's EBITDA</t>
  </si>
  <si>
    <t xml:space="preserve">REV0: Revenue (the add-on counts from the year after its acquisition), year 0</t>
  </si>
  <si>
    <t xml:space="preserve">EBITDA0: EBITDA, year 0</t>
  </si>
  <si>
    <t xml:space="preserve">MARGIN0: EBITDA margin, year 0</t>
  </si>
  <si>
    <t xml:space="preserve">DA0: Depreciation and amortization, year 0</t>
  </si>
  <si>
    <t xml:space="preserve">CAPEX0: Capital expenditure, year 0</t>
  </si>
  <si>
    <t xml:space="preserve">TLB0: First-lien term loan B, year 0</t>
  </si>
  <si>
    <t xml:space="preserve">SL0: Second-lien loan, year 0</t>
  </si>
  <si>
    <t xml:space="preserve">RCF0: Revolver drawn, year 0</t>
  </si>
  <si>
    <t xml:space="preserve">DEBT0: Total debt, year 0</t>
  </si>
  <si>
    <t xml:space="preserve">CASH0: Cash, year 0</t>
  </si>
  <si>
    <t xml:space="preserve">NETDEBT0: Net debt, year 0</t>
  </si>
  <si>
    <t xml:space="preserve">NETLEV0: Net debt / EBITDA, year 0</t>
  </si>
  <si>
    <t xml:space="preserve">REV1: Revenue (the add-on counts from the year after its acquisition), year 1</t>
  </si>
  <si>
    <t xml:space="preserve">EBITDA1: EBITDA, year 1</t>
  </si>
  <si>
    <t xml:space="preserve">MARGIN1: EBITDA margin, year 1</t>
  </si>
  <si>
    <t xml:space="preserve">DA1: Depreciation and amortization, year 1</t>
  </si>
  <si>
    <t xml:space="preserve">CAPEX1: Capital expenditure, year 1</t>
  </si>
  <si>
    <t xml:space="preserve">DNWC1: Change in net working capital (cash use), year 1</t>
  </si>
  <si>
    <t xml:space="preserve">EBITDA_P1: Platform EBITDA, year 1</t>
  </si>
  <si>
    <t xml:space="preserve">INT1: Net cash interest, year 1</t>
  </si>
  <si>
    <t xml:space="preserve">Tax</t>
  </si>
  <si>
    <t xml:space="preserve">TAX1: Cash taxes, year 1</t>
  </si>
  <si>
    <t xml:space="preserve">Cash_Flow</t>
  </si>
  <si>
    <t xml:space="preserve">CAPNWC1: Capital expenditure plus change in NWC, year 1</t>
  </si>
  <si>
    <t xml:space="preserve">FCF1: Free cash flow (EBITDA - cash taxes - cash interest - capex - change in NWC - expensed fees), year 1</t>
  </si>
  <si>
    <t xml:space="preserve">MAND1: Mandatory amortization of the term loan, year 1</t>
  </si>
  <si>
    <t xml:space="preserve">SWEEP1: Excess cash flow sweep (only when the revolver is undrawn), year 1</t>
  </si>
  <si>
    <t xml:space="preserve">ICOV1: Interest cover (EBITDA / net cash interest), year 1</t>
  </si>
  <si>
    <t xml:space="preserve">NI1: Net income, year 1</t>
  </si>
  <si>
    <t xml:space="preserve">COVEBITDA1: Covenant EBITDA (pro forma + add-back + equity cure deemed EBITDA), year 1</t>
  </si>
  <si>
    <t xml:space="preserve">COVLEV1: Covenant leverage (net debt / covenant EBITDA), year 1</t>
  </si>
  <si>
    <t xml:space="preserve">HEADROOM1: Headroom (turns), year 1</t>
  </si>
  <si>
    <t xml:space="preserve">CUSHION1: EBITDA cushion (how far covenant EBITDA could fall), year 1</t>
  </si>
  <si>
    <t xml:space="preserve">TLB1: First-lien term loan B, year 1</t>
  </si>
  <si>
    <t xml:space="preserve">SL1: Second-lien loan, year 1</t>
  </si>
  <si>
    <t xml:space="preserve">RCF1: Revolver drawn, year 1</t>
  </si>
  <si>
    <t xml:space="preserve">DEBT1: Total debt, year 1</t>
  </si>
  <si>
    <t xml:space="preserve">CASH1: Cash, year 1</t>
  </si>
  <si>
    <t xml:space="preserve">NETDEBT1: Net debt, year 1</t>
  </si>
  <si>
    <t xml:space="preserve">NETLEV1: Net debt / EBITDA, year 1</t>
  </si>
  <si>
    <t xml:space="preserve">REV2: Revenue (the add-on counts from the year after its acquisition), year 2</t>
  </si>
  <si>
    <t xml:space="preserve">EBITDA2: EBITDA, year 2</t>
  </si>
  <si>
    <t xml:space="preserve">MARGIN2: EBITDA margin, year 2</t>
  </si>
  <si>
    <t xml:space="preserve">DA2: Depreciation and amortization, year 2</t>
  </si>
  <si>
    <t xml:space="preserve">CAPEX2: Capital expenditure, year 2</t>
  </si>
  <si>
    <t xml:space="preserve">DNWC2: Change in net working capital (cash use), year 2</t>
  </si>
  <si>
    <t xml:space="preserve">EBITDA_P2: Platform EBITDA, year 2</t>
  </si>
  <si>
    <t xml:space="preserve">INT2: Net cash interest, year 2</t>
  </si>
  <si>
    <t xml:space="preserve">TAX2: Cash taxes, year 2</t>
  </si>
  <si>
    <t xml:space="preserve">CAPNWC2: Capital expenditure plus change in NWC, year 2</t>
  </si>
  <si>
    <t xml:space="preserve">FCF2: Free cash flow (EBITDA - cash taxes - cash interest - capex - change in NWC - expensed fees), year 2</t>
  </si>
  <si>
    <t xml:space="preserve">MAND2: Mandatory amortization of the term loan, year 2</t>
  </si>
  <si>
    <t xml:space="preserve">SWEEP2: Excess cash flow sweep (only when the revolver is undrawn), year 2</t>
  </si>
  <si>
    <t xml:space="preserve">ICOV2: Interest cover (EBITDA / net cash interest), year 2</t>
  </si>
  <si>
    <t xml:space="preserve">NI2: Net income, year 2</t>
  </si>
  <si>
    <t xml:space="preserve">COVEBITDA2: Covenant EBITDA (pro forma + add-back + equity cure deemed EBITDA), year 2</t>
  </si>
  <si>
    <t xml:space="preserve">COVLEV2: Covenant leverage (net debt / covenant EBITDA), year 2</t>
  </si>
  <si>
    <t xml:space="preserve">HEADROOM2: Headroom (turns), year 2</t>
  </si>
  <si>
    <t xml:space="preserve">CUSHION2: EBITDA cushion (how far covenant EBITDA could fall), year 2</t>
  </si>
  <si>
    <t xml:space="preserve">TLB2: First-lien term loan B, year 2</t>
  </si>
  <si>
    <t xml:space="preserve">SL2: Second-lien loan, year 2</t>
  </si>
  <si>
    <t xml:space="preserve">RCF2: Revolver drawn, year 2</t>
  </si>
  <si>
    <t xml:space="preserve">DEBT2: Total debt, year 2</t>
  </si>
  <si>
    <t xml:space="preserve">CASH2: Cash, year 2</t>
  </si>
  <si>
    <t xml:space="preserve">NETDEBT2: Net debt, year 2</t>
  </si>
  <si>
    <t xml:space="preserve">NETLEV2: Net debt / EBITDA, year 2</t>
  </si>
  <si>
    <t xml:space="preserve">REV3: Revenue (the add-on counts from the year after its acquisition), year 3</t>
  </si>
  <si>
    <t xml:space="preserve">EBITDA3: EBITDA, year 3</t>
  </si>
  <si>
    <t xml:space="preserve">MARGIN3: EBITDA margin, year 3</t>
  </si>
  <si>
    <t xml:space="preserve">DA3: Depreciation and amortization, year 3</t>
  </si>
  <si>
    <t xml:space="preserve">CAPEX3: Capital expenditure, year 3</t>
  </si>
  <si>
    <t xml:space="preserve">DNWC3: Change in net working capital (cash use), year 3</t>
  </si>
  <si>
    <t xml:space="preserve">EBITDA_P3: Platform EBITDA, year 3</t>
  </si>
  <si>
    <t xml:space="preserve">INT3: Net cash interest, year 3</t>
  </si>
  <si>
    <t xml:space="preserve">TAX3: Cash taxes, year 3</t>
  </si>
  <si>
    <t xml:space="preserve">CAPNWC3: Capital expenditure plus change in NWC, year 3</t>
  </si>
  <si>
    <t xml:space="preserve">FCF3: Free cash flow (EBITDA - cash taxes - cash interest - capex - change in NWC - expensed fees), year 3</t>
  </si>
  <si>
    <t xml:space="preserve">MAND3: Mandatory amortization of the term loan, year 3</t>
  </si>
  <si>
    <t xml:space="preserve">SWEEP3: Excess cash flow sweep (only when the revolver is undrawn), year 3</t>
  </si>
  <si>
    <t xml:space="preserve">ICOV3: Interest cover (EBITDA / net cash interest), year 3</t>
  </si>
  <si>
    <t xml:space="preserve">NI3: Net income, year 3</t>
  </si>
  <si>
    <t xml:space="preserve">COVEBITDA3: Covenant EBITDA (pro forma + add-back + equity cure deemed EBITDA), year 3</t>
  </si>
  <si>
    <t xml:space="preserve">COVLEV3: Covenant leverage (net debt / covenant EBITDA), year 3</t>
  </si>
  <si>
    <t xml:space="preserve">HEADROOM3: Headroom (turns), year 3</t>
  </si>
  <si>
    <t xml:space="preserve">CUSHION3: EBITDA cushion (how far covenant EBITDA could fall), year 3</t>
  </si>
  <si>
    <t xml:space="preserve">TLB3: First-lien term loan B, year 3</t>
  </si>
  <si>
    <t xml:space="preserve">SL3: Second-lien loan, year 3</t>
  </si>
  <si>
    <t xml:space="preserve">RCF3: Revolver drawn, year 3</t>
  </si>
  <si>
    <t xml:space="preserve">DEBT3: Total debt, year 3</t>
  </si>
  <si>
    <t xml:space="preserve">CASH3: Cash, year 3</t>
  </si>
  <si>
    <t xml:space="preserve">NETDEBT3: Net debt, year 3</t>
  </si>
  <si>
    <t xml:space="preserve">NETLEV3: Net debt / EBITDA, year 3</t>
  </si>
  <si>
    <t xml:space="preserve">REV4: Revenue (the add-on counts from the year after its acquisition), year 4</t>
  </si>
  <si>
    <t xml:space="preserve">EBITDA4: EBITDA, year 4</t>
  </si>
  <si>
    <t xml:space="preserve">MARGIN4: EBITDA margin, year 4</t>
  </si>
  <si>
    <t xml:space="preserve">DA4: Depreciation and amortization, year 4</t>
  </si>
  <si>
    <t xml:space="preserve">CAPEX4: Capital expenditure, year 4</t>
  </si>
  <si>
    <t xml:space="preserve">DNWC4: Change in net working capital (cash use), year 4</t>
  </si>
  <si>
    <t xml:space="preserve">EBITDA_P4: Platform EBITDA, year 4</t>
  </si>
  <si>
    <t xml:space="preserve">INT4: Net cash interest, year 4</t>
  </si>
  <si>
    <t xml:space="preserve">TAX4: Cash taxes, year 4</t>
  </si>
  <si>
    <t xml:space="preserve">CAPNWC4: Capital expenditure plus change in NWC, year 4</t>
  </si>
  <si>
    <t xml:space="preserve">FCF4: Free cash flow (EBITDA - cash taxes - cash interest - capex - change in NWC - expensed fees), year 4</t>
  </si>
  <si>
    <t xml:space="preserve">MAND4: Mandatory amortization of the term loan, year 4</t>
  </si>
  <si>
    <t xml:space="preserve">SWEEP4: Excess cash flow sweep (only when the revolver is undrawn), year 4</t>
  </si>
  <si>
    <t xml:space="preserve">ICOV4: Interest cover (EBITDA / net cash interest), year 4</t>
  </si>
  <si>
    <t xml:space="preserve">NI4: Net income, year 4</t>
  </si>
  <si>
    <t xml:space="preserve">COVEBITDA4: Covenant EBITDA (pro forma + add-back + equity cure deemed EBITDA), year 4</t>
  </si>
  <si>
    <t xml:space="preserve">COVLEV4: Covenant leverage (net debt / covenant EBITDA), year 4</t>
  </si>
  <si>
    <t xml:space="preserve">HEADROOM4: Headroom (turns), year 4</t>
  </si>
  <si>
    <t xml:space="preserve">CUSHION4: EBITDA cushion (how far covenant EBITDA could fall), year 4</t>
  </si>
  <si>
    <t xml:space="preserve">TLB4: First-lien term loan B, year 4</t>
  </si>
  <si>
    <t xml:space="preserve">SL4: Second-lien loan, year 4</t>
  </si>
  <si>
    <t xml:space="preserve">RCF4: Revolver drawn, year 4</t>
  </si>
  <si>
    <t xml:space="preserve">DEBT4: Total debt, year 4</t>
  </si>
  <si>
    <t xml:space="preserve">CASH4: Cash, year 4</t>
  </si>
  <si>
    <t xml:space="preserve">NETDEBT4: Net debt, year 4</t>
  </si>
  <si>
    <t xml:space="preserve">NETLEV4: Net debt / EBITDA, year 4</t>
  </si>
  <si>
    <t xml:space="preserve">REV5: Revenue (the add-on counts from the year after its acquisition), year 5</t>
  </si>
  <si>
    <t xml:space="preserve">EBITDA5: EBITDA, year 5</t>
  </si>
  <si>
    <t xml:space="preserve">MARGIN5: EBITDA margin, year 5</t>
  </si>
  <si>
    <t xml:space="preserve">DA5: Depreciation and amortization, year 5</t>
  </si>
  <si>
    <t xml:space="preserve">CAPEX5: Capital expenditure, year 5</t>
  </si>
  <si>
    <t xml:space="preserve">DNWC5: Change in net working capital (cash use), year 5</t>
  </si>
  <si>
    <t xml:space="preserve">EBITDA_P5: Platform EBITDA, year 5</t>
  </si>
  <si>
    <t xml:space="preserve">INT5: Net cash interest, year 5</t>
  </si>
  <si>
    <t xml:space="preserve">TAX5: Cash taxes, year 5</t>
  </si>
  <si>
    <t xml:space="preserve">CAPNWC5: Capital expenditure plus change in NWC, year 5</t>
  </si>
  <si>
    <t xml:space="preserve">FCF5: Free cash flow (EBITDA - cash taxes - cash interest - capex - change in NWC - expensed fees), year 5</t>
  </si>
  <si>
    <t xml:space="preserve">MAND5: Mandatory amortization of the term loan, year 5</t>
  </si>
  <si>
    <t xml:space="preserve">SWEEP5: Excess cash flow sweep (only when the revolver is undrawn), year 5</t>
  </si>
  <si>
    <t xml:space="preserve">ICOV5: Interest cover (EBITDA / net cash interest), year 5</t>
  </si>
  <si>
    <t xml:space="preserve">NI5: Net income, year 5</t>
  </si>
  <si>
    <t xml:space="preserve">COVEBITDA5: Covenant EBITDA (pro forma + add-back + equity cure deemed EBITDA), year 5</t>
  </si>
  <si>
    <t xml:space="preserve">COVLEV5: Covenant leverage (net debt / covenant EBITDA), year 5</t>
  </si>
  <si>
    <t xml:space="preserve">HEADROOM5: Headroom (turns), year 5</t>
  </si>
  <si>
    <t xml:space="preserve">CUSHION5: EBITDA cushion (how far covenant EBITDA could fall), year 5</t>
  </si>
  <si>
    <t xml:space="preserve">TLB5: First-lien term loan B, year 5</t>
  </si>
  <si>
    <t xml:space="preserve">SL5: Second-lien loan, year 5</t>
  </si>
  <si>
    <t xml:space="preserve">RCF5: Revolver drawn, year 5</t>
  </si>
  <si>
    <t xml:space="preserve">DEBT5: Total debt, year 5</t>
  </si>
  <si>
    <t xml:space="preserve">CASH5: Cash, year 5</t>
  </si>
  <si>
    <t xml:space="preserve">NETDEBT5: Net debt, year 5</t>
  </si>
  <si>
    <t xml:space="preserve">NETLEV5: Net debt / EBITDA, year 5</t>
  </si>
  <si>
    <t xml:space="preserve">AEBITDA3: Add-on EBITDA, year 3</t>
  </si>
  <si>
    <t xml:space="preserve">SYN3: Cost synergies achieved, year 3</t>
  </si>
  <si>
    <t xml:space="preserve">AEBITDA4: Add-on EBITDA, year 4</t>
  </si>
  <si>
    <t xml:space="preserve">SYN4: Cost synergies achieved, year 4</t>
  </si>
  <si>
    <t xml:space="preserve">AEBITDA5: Add-on EBITDA, year 5</t>
  </si>
  <si>
    <t xml:space="preserve">SYN5: Cost synergies achieved, year 5</t>
  </si>
  <si>
    <t xml:space="preserve">NWC0: Net working capital on the balance sheet, year 0</t>
  </si>
  <si>
    <t xml:space="preserve">PPE0: Net fixed assets, year 0</t>
  </si>
  <si>
    <t xml:space="preserve">EBITDA5_P: Platform EBITDA, year 5</t>
  </si>
  <si>
    <t xml:space="preserve">I_TLB1: Term loan interest, year 1</t>
  </si>
  <si>
    <t xml:space="preserve">I_SL1: Second-lien interest, year 1</t>
  </si>
  <si>
    <t xml:space="preserve">I_RCF1: Revolver interest and commitment fee, year 1</t>
  </si>
  <si>
    <t xml:space="preserve">I_CASH1: Less interest on cash, year 1</t>
  </si>
  <si>
    <t xml:space="preserve">FEEAM1: Amortization of capitalized financing fees (straight line over the remaining life), year 1</t>
  </si>
  <si>
    <t xml:space="preserve">INTPL1: Interest expense (net cash interest + fee amortization), year 1</t>
  </si>
  <si>
    <t xml:space="preserve">MAND: Mandatory amortization of the term loan, year 1</t>
  </si>
  <si>
    <t xml:space="preserve">TLB0_7: First-lien term loan B, year 0</t>
  </si>
  <si>
    <t xml:space="preserve">TLB5_7: First-lien term loan B, year 5</t>
  </si>
  <si>
    <t xml:space="preserve">CASH0_7: Cash, year 0</t>
  </si>
  <si>
    <t xml:space="preserve">CASH5_7: Cash, year 5</t>
  </si>
  <si>
    <t xml:space="preserve">NETDEBT0_7: Net debt, year 0</t>
  </si>
  <si>
    <t xml:space="preserve">NETDEBT5_7: Net debt, year 5</t>
  </si>
  <si>
    <t xml:space="preserve">EBIT1: EBIT (EBITDA - D&amp;A), year 1</t>
  </si>
  <si>
    <t xml:space="preserve">INTPL1_2: Interest expense (net cash interest + fee amortization), year 1</t>
  </si>
  <si>
    <t xml:space="preserve">CAP1: Deductible interest cap (share of EBITDA), year 1</t>
  </si>
  <si>
    <t xml:space="preserve">DED1: Deductible interest, year 1</t>
  </si>
  <si>
    <t xml:space="preserve">DISALLOWED1: Disallowed interest carried forward, year 1</t>
  </si>
  <si>
    <t xml:space="preserve">TAXABLE1: Taxable income before losses, year 1</t>
  </si>
  <si>
    <t xml:space="preserve">TAX1_2: Cash taxes, year 1</t>
  </si>
  <si>
    <t xml:space="preserve">TAX1_NOCAP: Tax without the interest cap (for comparison), year 1</t>
  </si>
  <si>
    <t xml:space="preserve">CAP_COST1: Cash cost of the cap, year 1</t>
  </si>
  <si>
    <t xml:space="preserve">DISALLOWED5: Disallowed interest carried forward, year 5</t>
  </si>
  <si>
    <t xml:space="preserve">BS_CASH0: Cash, year 0</t>
  </si>
  <si>
    <t xml:space="preserve">BS_NWC0: Net working capital, year 0</t>
  </si>
  <si>
    <t xml:space="preserve">BS_PPE0: Net fixed assets, year 0</t>
  </si>
  <si>
    <t xml:space="preserve">BS_GW0: Goodwill and intangibles, year 0</t>
  </si>
  <si>
    <t xml:space="preserve">BS_FEES0: Capitalized financing fees, year 0</t>
  </si>
  <si>
    <t xml:space="preserve">BS_ASSETS0: Total assets, year 0</t>
  </si>
  <si>
    <t xml:space="preserve">BS_DEBT0: Debt, year 0</t>
  </si>
  <si>
    <t xml:space="preserve">BS_EQ0: Equity (book value), year 0</t>
  </si>
  <si>
    <t xml:space="preserve">BS_ASSETS5: Total assets, year 5</t>
  </si>
  <si>
    <t xml:space="preserve">BS_GW5: Goodwill and intangibles, year 5</t>
  </si>
  <si>
    <t xml:space="preserve">BS_DEBT5: Debt, year 5</t>
  </si>
  <si>
    <t xml:space="preserve">BS_EQ5: Equity (book value), year 5</t>
  </si>
  <si>
    <t xml:space="preserve">COVLEV3_2: Covenant leverage (net debt / covenant EBITDA), year 3</t>
  </si>
  <si>
    <t xml:space="preserve">HEADROOM3_2: Headroom (turns), year 3</t>
  </si>
  <si>
    <t xml:space="preserve">CUSHION3_2: EBITDA cushion (how far covenant EBITDA could fall), year 3</t>
  </si>
  <si>
    <t xml:space="preserve">CUSHION3_USD: EBITDA cushion in dollars, year 3</t>
  </si>
  <si>
    <t xml:space="preserve">ADDBACK3: Run-rate synergy add-back (synergies not yet achieved, capped), year 3</t>
  </si>
  <si>
    <t xml:space="preserve">COVLEV3_NOADD: Net debt / EBITDA, year 3</t>
  </si>
  <si>
    <t xml:space="preserve">BREACH3_NOADD: Breach without the synergy add-back (net debt / EBITDA less the original maximum), year 3</t>
  </si>
  <si>
    <t xml:space="preserve">COVEBITDA2_2: Covenant EBITDA (pro forma + add-back + equity cure deemed EBITDA), year 2</t>
  </si>
  <si>
    <t xml:space="preserve">EBITDA2_2: EBITDA, year 2</t>
  </si>
  <si>
    <t xml:space="preserve">ADDBACK2: Run-rate synergy add-back (synergies not yet achieved, capped), year 2</t>
  </si>
  <si>
    <t xml:space="preserve">NETDEBT2_11: Net debt, year 2</t>
  </si>
  <si>
    <t xml:space="preserve">EBITDA2_11: EBITDA, year 2</t>
  </si>
  <si>
    <t xml:space="preserve">NETLEV2_11: Net debt / EBITDA, year 2</t>
  </si>
  <si>
    <t xml:space="preserve">AEBITDA5_11: Add-on EBITDA, year 5</t>
  </si>
  <si>
    <t xml:space="preserve">SYN5_11: Cost synergies achieved, year 5</t>
  </si>
  <si>
    <t xml:space="preserve">REV_P3: Platform revenue, year 3</t>
  </si>
  <si>
    <t xml:space="preserve">MARGIN_P3: Platform EBITDA margin (year-0 margin + plan x improvement + shock), year 3</t>
  </si>
  <si>
    <t xml:space="preserve">EBITDA_P3_2: Platform EBITDA, year 3</t>
  </si>
  <si>
    <t xml:space="preserve">EBITDA_P2_2: Platform EBITDA, year 2</t>
  </si>
  <si>
    <t xml:space="preserve">EBITDA3_12: EBITDA, year 3</t>
  </si>
  <si>
    <t xml:space="preserve">FCF3_12: Free cash flow (EBITDA - cash taxes - cash interest - capex - change in NWC - expensed fees), year 3</t>
  </si>
  <si>
    <t xml:space="preserve">COVLEV3_12: Covenant leverage (net debt / covenant EBITDA), year 3</t>
  </si>
  <si>
    <t xml:space="preserve">HEADROOM3_12: Headroom (turns), year 3</t>
  </si>
  <si>
    <t xml:space="preserve">HEADROOM3_6: Headroom (turns), year 3</t>
  </si>
  <si>
    <t xml:space="preserve">INT1_2: Net cash interest, year 1</t>
  </si>
  <si>
    <t xml:space="preserve">EBITDA4_13: EBITDA, year 4</t>
  </si>
  <si>
    <t xml:space="preserve">HEADROOM4_13: Headroom (turns), year 4</t>
  </si>
  <si>
    <t xml:space="preserve">NETLEV5_13: Net debt / EBITDA, year 5</t>
  </si>
  <si>
    <t xml:space="preserve">INT5_13: Net cash interest, year 5</t>
  </si>
  <si>
    <t xml:space="preserve">L3_HEADROOM: Headroom (turns), year 3</t>
  </si>
</sst>
</file>

<file path=xl/styles.xml><?xml version="1.0" encoding="utf-8"?>
<styleSheet xmlns="http://schemas.openxmlformats.org/spreadsheetml/2006/main">
  <numFmts count="22">
    <numFmt numFmtId="164" formatCode="General"/>
    <numFmt numFmtId="165" formatCode="0.00%"/>
    <numFmt numFmtId="166" formatCode="0%"/>
    <numFmt numFmtId="167" formatCode="yyyy\-mm\-dd"/>
    <numFmt numFmtId="168" formatCode="\$#,##0.0;&quot;-$&quot;#,##0.0;\$0.0"/>
    <numFmt numFmtId="169" formatCode="0.0%"/>
    <numFmt numFmtId="170" formatCode="0.000%"/>
    <numFmt numFmtId="171" formatCode="0.0\x"/>
    <numFmt numFmtId="172" formatCode="0.00\x"/>
    <numFmt numFmtId="173" formatCode="0"/>
    <numFmt numFmtId="174" formatCode="\$#,##0.00;&quot;-$&quot;#,##0.00;\$0.00"/>
    <numFmt numFmtId="175" formatCode="&quot;Year &quot;0"/>
    <numFmt numFmtId="176" formatCode="#,##0.0"/>
    <numFmt numFmtId="177" formatCode="#,##0.00"/>
    <numFmt numFmtId="178" formatCode="\$#,##0.0000;&quot;-$&quot;#,##0.0000;\$0.0000"/>
    <numFmt numFmtId="179" formatCode="#,##0"/>
    <numFmt numFmtId="180" formatCode="0.000000"/>
    <numFmt numFmtId="181" formatCode="0.0000%"/>
    <numFmt numFmtId="182" formatCode="#,##0.000"/>
    <numFmt numFmtId="183" formatCode="#,##0.0000"/>
    <numFmt numFmtId="184" formatCode="0.00000%"/>
    <numFmt numFmtId="185" formatCode="#,##0.000000"/>
  </numFmts>
  <fonts count="10">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color rgb="FF5B6475"/>
      <name val="Calibri"/>
      <family val="0"/>
      <charset val="1"/>
    </font>
    <font>
      <sz val="11"/>
      <name val="Calibri"/>
      <family val="0"/>
      <charset val="1"/>
    </font>
    <font>
      <b val="true"/>
      <sz val="11"/>
      <name val="Calibri"/>
      <family val="0"/>
      <charset val="1"/>
    </font>
    <font>
      <sz val="11"/>
      <color rgb="FF1F4FB4"/>
      <name val="Calibri"/>
      <family val="0"/>
      <charset val="1"/>
    </font>
    <font>
      <b val="true"/>
      <sz val="11"/>
      <color rgb="FFFFFFFF"/>
      <name val="Calibri"/>
      <family val="0"/>
      <charset val="1"/>
    </font>
  </fonts>
  <fills count="6">
    <fill>
      <patternFill patternType="none"/>
    </fill>
    <fill>
      <patternFill patternType="gray125"/>
    </fill>
    <fill>
      <patternFill patternType="solid">
        <fgColor rgb="FFDCE3ED"/>
        <bgColor rgb="FFEFF3F8"/>
      </patternFill>
    </fill>
    <fill>
      <patternFill patternType="solid">
        <fgColor rgb="FFFFF2CC"/>
        <bgColor rgb="FFEFF3F8"/>
      </patternFill>
    </fill>
    <fill>
      <patternFill patternType="solid">
        <fgColor rgb="FFEFF3F8"/>
        <bgColor rgb="FFFFFFFF"/>
      </patternFill>
    </fill>
    <fill>
      <patternFill patternType="solid">
        <fgColor rgb="FF16213A"/>
        <bgColor rgb="FF003366"/>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false" applyProtection="false">
      <alignment horizontal="general" vertical="bottom" textRotation="0" wrapText="false" indent="0" shrinkToFit="false"/>
      <protection locked="true" hidden="false"/>
    </xf>
    <xf numFmtId="168" fontId="8" fillId="3" borderId="1" xfId="0" applyFont="true" applyBorder="true" applyAlignment="false" applyProtection="false">
      <alignment horizontal="general" vertical="bottom" textRotation="0" wrapText="false" indent="0" shrinkToFit="false"/>
      <protection locked="true" hidden="false"/>
    </xf>
    <xf numFmtId="169" fontId="6" fillId="4" borderId="1" xfId="0" applyFont="true" applyBorder="true" applyAlignment="false" applyProtection="false">
      <alignment horizontal="general" vertical="bottom" textRotation="0" wrapText="false" indent="0" shrinkToFit="false"/>
      <protection locked="true" hidden="false"/>
    </xf>
    <xf numFmtId="164" fontId="9" fillId="5" borderId="1" xfId="0" applyFont="true" applyBorder="true" applyAlignment="true" applyProtection="false">
      <alignment horizontal="general" vertical="center" textRotation="0" wrapText="true" indent="0" shrinkToFit="false"/>
      <protection locked="true" hidden="false"/>
    </xf>
    <xf numFmtId="164" fontId="9" fillId="5"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8" fontId="7" fillId="4" borderId="1" xfId="0" applyFont="true" applyBorder="true" applyAlignment="false" applyProtection="false">
      <alignment horizontal="general" vertical="bottom" textRotation="0" wrapText="false" indent="0" shrinkToFit="false"/>
      <protection locked="true" hidden="false"/>
    </xf>
    <xf numFmtId="168" fontId="6" fillId="4" borderId="1" xfId="0" applyFont="true" applyBorder="true" applyAlignment="false" applyProtection="false">
      <alignment horizontal="general" vertical="bottom" textRotation="0" wrapText="false" indent="0" shrinkToFit="false"/>
      <protection locked="true" hidden="false"/>
    </xf>
    <xf numFmtId="170" fontId="6" fillId="4" borderId="1" xfId="0" applyFont="true" applyBorder="true" applyAlignment="false" applyProtection="false">
      <alignment horizontal="general" vertical="bottom" textRotation="0" wrapText="false" indent="0" shrinkToFit="false"/>
      <protection locked="true" hidden="false"/>
    </xf>
    <xf numFmtId="169" fontId="8" fillId="3" borderId="1" xfId="0" applyFont="true" applyBorder="true" applyAlignment="false" applyProtection="false">
      <alignment horizontal="general" vertical="bottom" textRotation="0" wrapText="false" indent="0" shrinkToFit="false"/>
      <protection locked="true" hidden="false"/>
    </xf>
    <xf numFmtId="171" fontId="8" fillId="3" borderId="1" xfId="0" applyFont="true" applyBorder="true" applyAlignment="false" applyProtection="false">
      <alignment horizontal="general" vertical="bottom" textRotation="0" wrapText="false" indent="0" shrinkToFit="false"/>
      <protection locked="true" hidden="false"/>
    </xf>
    <xf numFmtId="171" fontId="6" fillId="4" borderId="1" xfId="0" applyFont="true" applyBorder="true" applyAlignment="false" applyProtection="false">
      <alignment horizontal="general" vertical="bottom" textRotation="0" wrapText="false" indent="0" shrinkToFit="false"/>
      <protection locked="true" hidden="false"/>
    </xf>
    <xf numFmtId="172" fontId="6" fillId="4" borderId="1" xfId="0" applyFont="true" applyBorder="true" applyAlignment="false" applyProtection="false">
      <alignment horizontal="general" vertical="bottom" textRotation="0" wrapText="false" indent="0" shrinkToFit="false"/>
      <protection locked="true" hidden="false"/>
    </xf>
    <xf numFmtId="165" fontId="6" fillId="4" borderId="1" xfId="0" applyFont="true" applyBorder="true" applyAlignment="false" applyProtection="false">
      <alignment horizontal="general" vertical="bottom" textRotation="0" wrapText="false" indent="0" shrinkToFit="false"/>
      <protection locked="true" hidden="false"/>
    </xf>
    <xf numFmtId="173" fontId="8" fillId="3" borderId="1" xfId="0" applyFont="true" applyBorder="true" applyAlignment="false" applyProtection="false">
      <alignment horizontal="general" vertical="bottom" textRotation="0" wrapText="false" indent="0" shrinkToFit="false"/>
      <protection locked="true" hidden="false"/>
    </xf>
    <xf numFmtId="174" fontId="8" fillId="3" borderId="1" xfId="0" applyFont="true" applyBorder="true" applyAlignment="false" applyProtection="false">
      <alignment horizontal="general" vertical="bottom" textRotation="0" wrapText="false" indent="0" shrinkToFit="false"/>
      <protection locked="true" hidden="false"/>
    </xf>
    <xf numFmtId="172" fontId="8" fillId="3" borderId="1" xfId="0" applyFont="true" applyBorder="true" applyAlignment="false" applyProtection="false">
      <alignment horizontal="general" vertical="bottom" textRotation="0" wrapText="false" indent="0" shrinkToFit="false"/>
      <protection locked="true" hidden="false"/>
    </xf>
    <xf numFmtId="166" fontId="6" fillId="4" borderId="1" xfId="0" applyFont="true" applyBorder="true" applyAlignment="false" applyProtection="false">
      <alignment horizontal="general" vertical="bottom" textRotation="0" wrapText="false" indent="0" shrinkToFit="false"/>
      <protection locked="true" hidden="false"/>
    </xf>
    <xf numFmtId="175" fontId="7" fillId="2" borderId="1" xfId="0" applyFont="true" applyBorder="true" applyAlignment="true" applyProtection="false">
      <alignment horizontal="center" vertical="bottom" textRotation="0" wrapText="false" indent="0" shrinkToFit="false"/>
      <protection locked="true" hidden="false"/>
    </xf>
    <xf numFmtId="170" fontId="8" fillId="3" borderId="1" xfId="0" applyFont="true" applyBorder="true" applyAlignment="false" applyProtection="false">
      <alignment horizontal="general" vertical="bottom" textRotation="0" wrapText="false" indent="0" shrinkToFit="false"/>
      <protection locked="true" hidden="false"/>
    </xf>
    <xf numFmtId="174" fontId="6" fillId="4" borderId="1" xfId="0" applyFont="true" applyBorder="true" applyAlignment="false" applyProtection="false">
      <alignment horizontal="general" vertical="bottom" textRotation="0" wrapText="false" indent="0" shrinkToFit="false"/>
      <protection locked="true" hidden="false"/>
    </xf>
    <xf numFmtId="174" fontId="7" fillId="4" borderId="1" xfId="0" applyFont="true" applyBorder="true" applyAlignment="false" applyProtection="false">
      <alignment horizontal="general" vertical="bottom" textRotation="0" wrapText="false" indent="0" shrinkToFit="false"/>
      <protection locked="true" hidden="false"/>
    </xf>
    <xf numFmtId="172" fontId="7" fillId="4" borderId="1" xfId="0" applyFont="true" applyBorder="true" applyAlignment="false" applyProtection="false">
      <alignment horizontal="general" vertical="bottom" textRotation="0" wrapText="false" indent="0" shrinkToFit="false"/>
      <protection locked="true" hidden="false"/>
    </xf>
    <xf numFmtId="173" fontId="6" fillId="4" borderId="1" xfId="0" applyFont="true" applyBorder="true" applyAlignment="false" applyProtection="false">
      <alignment horizontal="general" vertical="bottom" textRotation="0" wrapText="false" indent="0" shrinkToFit="false"/>
      <protection locked="true" hidden="false"/>
    </xf>
    <xf numFmtId="176" fontId="6" fillId="4" borderId="1" xfId="0" applyFont="true" applyBorder="true" applyAlignment="false" applyProtection="false">
      <alignment horizontal="general" vertical="bottom" textRotation="0" wrapText="false" indent="0" shrinkToFit="false"/>
      <protection locked="true" hidden="false"/>
    </xf>
    <xf numFmtId="177" fontId="6" fillId="4" borderId="1" xfId="0" applyFont="true" applyBorder="true" applyAlignment="false" applyProtection="false">
      <alignment horizontal="general" vertical="bottom" textRotation="0" wrapText="false" indent="0" shrinkToFit="false"/>
      <protection locked="true" hidden="false"/>
    </xf>
    <xf numFmtId="178" fontId="6" fillId="4" borderId="1" xfId="0" applyFont="true" applyBorder="true" applyAlignment="false" applyProtection="false">
      <alignment horizontal="general" vertical="bottom" textRotation="0" wrapText="false" indent="0" shrinkToFit="false"/>
      <protection locked="true" hidden="false"/>
    </xf>
    <xf numFmtId="178" fontId="7" fillId="4" borderId="1" xfId="0" applyFont="true" applyBorder="true" applyAlignment="false" applyProtection="false">
      <alignment horizontal="general" vertical="bottom" textRotation="0" wrapText="false" indent="0" shrinkToFit="false"/>
      <protection locked="true" hidden="false"/>
    </xf>
    <xf numFmtId="167" fontId="6" fillId="4" borderId="1" xfId="0" applyFont="true" applyBorder="true" applyAlignment="false" applyProtection="false">
      <alignment horizontal="general" vertical="bottom" textRotation="0" wrapText="false" indent="0" shrinkToFit="false"/>
      <protection locked="true" hidden="false"/>
    </xf>
    <xf numFmtId="165" fontId="7" fillId="4" borderId="1" xfId="0" applyFont="true" applyBorder="true" applyAlignment="false" applyProtection="false">
      <alignment horizontal="general" vertical="bottom" textRotation="0" wrapText="false" indent="0" shrinkToFit="false"/>
      <protection locked="true" hidden="false"/>
    </xf>
    <xf numFmtId="173" fontId="7" fillId="4" borderId="1" xfId="0" applyFont="true" applyBorder="true" applyAlignment="false" applyProtection="false">
      <alignment horizontal="general" vertical="bottom" textRotation="0" wrapText="false" indent="0" shrinkToFit="false"/>
      <protection locked="true" hidden="false"/>
    </xf>
    <xf numFmtId="164" fontId="7" fillId="4" borderId="1" xfId="0" applyFont="true" applyBorder="true" applyAlignment="true" applyProtection="false">
      <alignment horizontal="center" vertical="bottom" textRotation="0" wrapText="false" indent="0" shrinkToFit="false"/>
      <protection locked="true" hidden="false"/>
    </xf>
    <xf numFmtId="164" fontId="6" fillId="0" borderId="1" xfId="0" applyFont="true" applyBorder="true" applyAlignment="true" applyProtection="false">
      <alignment horizontal="center" vertical="bottom"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right" vertical="bottom" textRotation="0" wrapText="false" indent="0" shrinkToFit="false"/>
      <protection locked="true" hidden="false"/>
    </xf>
    <xf numFmtId="164" fontId="6" fillId="4" borderId="1" xfId="0" applyFont="true" applyBorder="true" applyAlignment="true" applyProtection="false">
      <alignment horizontal="right" vertical="bottom" textRotation="0" wrapText="false" indent="0" shrinkToFit="false"/>
      <protection locked="true" hidden="false"/>
    </xf>
    <xf numFmtId="179" fontId="8" fillId="3" borderId="1" xfId="0" applyFont="true" applyBorder="true" applyAlignment="false" applyProtection="false">
      <alignment horizontal="general" vertical="bottom" textRotation="0" wrapText="false" indent="0" shrinkToFit="false"/>
      <protection locked="true" hidden="false"/>
    </xf>
    <xf numFmtId="180" fontId="6" fillId="4" borderId="1" xfId="0" applyFont="true" applyBorder="true" applyAlignment="false" applyProtection="false">
      <alignment horizontal="general" vertical="bottom" textRotation="0" wrapText="false" indent="0" shrinkToFit="false"/>
      <protection locked="true" hidden="false"/>
    </xf>
    <xf numFmtId="180" fontId="8" fillId="3" borderId="1" xfId="0" applyFont="true" applyBorder="true" applyAlignment="false" applyProtection="false">
      <alignment horizontal="general" vertical="bottom" textRotation="0" wrapText="false" indent="0" shrinkToFit="false"/>
      <protection locked="true" hidden="false"/>
    </xf>
    <xf numFmtId="181" fontId="6" fillId="4" borderId="1" xfId="0" applyFont="true" applyBorder="true" applyAlignment="false" applyProtection="false">
      <alignment horizontal="general" vertical="bottom" textRotation="0" wrapText="false" indent="0" shrinkToFit="false"/>
      <protection locked="true" hidden="false"/>
    </xf>
    <xf numFmtId="176" fontId="8" fillId="3" borderId="1" xfId="0" applyFont="true" applyBorder="true" applyAlignment="false" applyProtection="false">
      <alignment horizontal="general" vertical="bottom" textRotation="0" wrapText="false" indent="0" shrinkToFit="false"/>
      <protection locked="true" hidden="false"/>
    </xf>
    <xf numFmtId="182" fontId="6" fillId="4" borderId="1" xfId="0" applyFont="true" applyBorder="true" applyAlignment="false" applyProtection="false">
      <alignment horizontal="general" vertical="bottom" textRotation="0" wrapText="false" indent="0" shrinkToFit="false"/>
      <protection locked="true" hidden="false"/>
    </xf>
    <xf numFmtId="177" fontId="8" fillId="3" borderId="1" xfId="0" applyFont="true" applyBorder="true" applyAlignment="false" applyProtection="false">
      <alignment horizontal="general" vertical="bottom" textRotation="0" wrapText="false" indent="0" shrinkToFit="false"/>
      <protection locked="true" hidden="false"/>
    </xf>
    <xf numFmtId="183" fontId="6" fillId="4" borderId="1" xfId="0" applyFont="true" applyBorder="true" applyAlignment="false" applyProtection="false">
      <alignment horizontal="general" vertical="bottom" textRotation="0" wrapText="false" indent="0" shrinkToFit="false"/>
      <protection locked="true" hidden="false"/>
    </xf>
    <xf numFmtId="184" fontId="6" fillId="4" borderId="1" xfId="0" applyFont="true" applyBorder="true" applyAlignment="false" applyProtection="false">
      <alignment horizontal="general" vertical="bottom" textRotation="0" wrapText="false" indent="0" shrinkToFit="false"/>
      <protection locked="true" hidden="false"/>
    </xf>
    <xf numFmtId="183" fontId="8" fillId="3" borderId="1" xfId="0" applyFont="true" applyBorder="true" applyAlignment="false" applyProtection="false">
      <alignment horizontal="general" vertical="bottom" textRotation="0" wrapText="false" indent="0" shrinkToFit="false"/>
      <protection locked="true" hidden="false"/>
    </xf>
    <xf numFmtId="185" fontId="6" fillId="4"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Calibri"/>
        <charset val="1"/>
        <family val="0"/>
        <b val="1"/>
        <color rgb="FFC00000"/>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EFF3F8"/>
      <rgbColor rgb="FF660066"/>
      <rgbColor rgb="FFFF8080"/>
      <rgbColor rgb="FF0066CC"/>
      <rgbColor rgb="FFDCE3E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B6475"/>
      <rgbColor rgb="FF9AA3B2"/>
      <rgbColor rgb="FF003366"/>
      <rgbColor rgb="FF339966"/>
      <rgbColor rgb="FF003300"/>
      <rgbColor rgb="FF333300"/>
      <rgbColor rgb="FF993300"/>
      <rgbColor rgb="FF993366"/>
      <rgbColor rgb="FF1F4FB4"/>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B1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120"/>
  </cols>
  <sheetData>
    <row r="1" customFormat="false" ht="6" hidden="false" customHeight="true" outlineLevel="0" collapsed="false"/>
    <row r="2" customFormat="false" ht="18.65" hidden="false" customHeight="false" outlineLevel="0" collapsed="false">
      <c r="B2" s="1" t="s">
        <v>0</v>
      </c>
    </row>
    <row r="3" customFormat="false" ht="28.35" hidden="false" customHeight="false" outlineLevel="0" collapsed="false">
      <c r="B3" s="2" t="s">
        <v>1</v>
      </c>
    </row>
    <row r="4" customFormat="false" ht="15" hidden="false" customHeight="false" outlineLevel="0" collapsed="false">
      <c r="B4" s="3"/>
    </row>
    <row r="5" customFormat="false" ht="15" hidden="false" customHeight="false" outlineLevel="0" collapsed="false">
      <c r="B5" s="4" t="s">
        <v>2</v>
      </c>
    </row>
    <row r="6" customFormat="false" ht="45" hidden="false" customHeight="true" outlineLevel="0" collapsed="false">
      <c r="B6" s="3" t="s">
        <v>3</v>
      </c>
    </row>
    <row r="7" customFormat="false" ht="15" hidden="false" customHeight="false" outlineLevel="0" collapsed="false">
      <c r="B7" s="4" t="s">
        <v>4</v>
      </c>
    </row>
    <row r="8" customFormat="false" ht="45" hidden="false" customHeight="true" outlineLevel="0" collapsed="false">
      <c r="B8" s="3" t="s">
        <v>5</v>
      </c>
    </row>
    <row r="9" customFormat="false" ht="15" hidden="false" customHeight="false" outlineLevel="0" collapsed="false">
      <c r="B9" s="4" t="s">
        <v>6</v>
      </c>
    </row>
    <row r="10" customFormat="false" ht="30" hidden="false" customHeight="true" outlineLevel="0" collapsed="false">
      <c r="B10" s="3" t="s">
        <v>7</v>
      </c>
    </row>
    <row r="11" customFormat="false" ht="15" hidden="false" customHeight="false" outlineLevel="0" collapsed="false">
      <c r="B11" s="4" t="s">
        <v>8</v>
      </c>
    </row>
    <row r="12" customFormat="false" ht="75" hidden="false" customHeight="true" outlineLevel="0" collapsed="false">
      <c r="B12" s="3" t="s">
        <v>9</v>
      </c>
    </row>
    <row r="13" customFormat="false" ht="30" hidden="false" customHeight="true" outlineLevel="0" collapsed="false">
      <c r="B13" s="3" t="s">
        <v>10</v>
      </c>
    </row>
    <row r="14" customFormat="false" ht="45" hidden="false" customHeight="true" outlineLevel="0" collapsed="false">
      <c r="B14" s="3" t="s">
        <v>11</v>
      </c>
    </row>
    <row r="15" customFormat="false" ht="15" hidden="false" customHeight="false" outlineLevel="0" collapsed="false">
      <c r="B15" s="4" t="s">
        <v>12</v>
      </c>
    </row>
    <row r="16" customFormat="false" ht="30" hidden="false" customHeight="true" outlineLevel="0" collapsed="false">
      <c r="B16" s="3" t="s">
        <v>13</v>
      </c>
    </row>
    <row r="17" customFormat="false" ht="15" hidden="false" customHeight="false" outlineLevel="0" collapsed="false">
      <c r="B17" s="3"/>
    </row>
    <row r="18" customFormat="false" ht="15" hidden="false" customHeight="true" outlineLevel="0" collapsed="false">
      <c r="B18" s="3" t="s">
        <v>14</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L17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8"/>
    <col collapsed="false" customWidth="true" hidden="false" outlineLevel="0" max="3" min="3" style="0" width="12"/>
    <col collapsed="false" customWidth="true" hidden="false" outlineLevel="0" max="4" min="4" style="0" width="14"/>
    <col collapsed="false" customWidth="true" hidden="false" outlineLevel="0" max="12" min="5" style="0" width="12"/>
    <col collapsed="false" customWidth="true" hidden="false" outlineLevel="0" max="13" min="13" style="0" width="14"/>
  </cols>
  <sheetData>
    <row r="1" customFormat="false" ht="6" hidden="false" customHeight="true" outlineLevel="0" collapsed="false"/>
    <row r="2" customFormat="false" ht="17.35" hidden="false" customHeight="false" outlineLevel="0" collapsed="false">
      <c r="B2" s="5" t="s">
        <v>15</v>
      </c>
    </row>
    <row r="3" customFormat="false" ht="15" hidden="false" customHeight="false" outlineLevel="0" collapsed="false">
      <c r="B3" s="6" t="s">
        <v>16</v>
      </c>
    </row>
    <row r="5" customFormat="false" ht="15" hidden="false" customHeight="false" outlineLevel="0" collapsed="false">
      <c r="B5" s="7" t="s">
        <v>17</v>
      </c>
      <c r="C5" s="8"/>
      <c r="D5" s="8"/>
      <c r="E5" s="8"/>
      <c r="F5" s="8"/>
      <c r="G5" s="8"/>
      <c r="H5" s="8"/>
      <c r="I5" s="8"/>
      <c r="J5" s="8"/>
      <c r="K5" s="8"/>
      <c r="L5" s="8"/>
    </row>
    <row r="6" customFormat="false" ht="15" hidden="false" customHeight="false" outlineLevel="0" collapsed="false">
      <c r="B6" s="9" t="s">
        <v>18</v>
      </c>
      <c r="D6" s="10" t="n">
        <v>0.04</v>
      </c>
    </row>
    <row r="7" customFormat="false" ht="15" hidden="false" customHeight="false" outlineLevel="0" collapsed="false">
      <c r="B7" s="9" t="s">
        <v>19</v>
      </c>
      <c r="D7" s="11" t="n">
        <v>0.25</v>
      </c>
    </row>
    <row r="8" customFormat="false" ht="15" hidden="false" customHeight="false" outlineLevel="0" collapsed="false">
      <c r="B8" s="9" t="s">
        <v>20</v>
      </c>
      <c r="D8" s="11" t="n">
        <v>0.3</v>
      </c>
    </row>
    <row r="9" customFormat="false" ht="15" hidden="false" customHeight="false" outlineLevel="0" collapsed="false">
      <c r="B9" s="9" t="s">
        <v>21</v>
      </c>
      <c r="D9" s="10" t="n">
        <v>0.02</v>
      </c>
    </row>
    <row r="10" customFormat="false" ht="15" hidden="false" customHeight="false" outlineLevel="0" collapsed="false">
      <c r="B10" s="9" t="s">
        <v>22</v>
      </c>
      <c r="D10" s="12" t="n">
        <v>46203</v>
      </c>
    </row>
    <row r="12" customFormat="false" ht="15" hidden="false" customHeight="false" outlineLevel="0" collapsed="false">
      <c r="B12" s="7" t="s">
        <v>23</v>
      </c>
      <c r="C12" s="8"/>
      <c r="D12" s="8"/>
      <c r="E12" s="8"/>
      <c r="F12" s="8"/>
      <c r="G12" s="8"/>
      <c r="H12" s="8"/>
      <c r="I12" s="8"/>
      <c r="J12" s="8"/>
      <c r="K12" s="8"/>
      <c r="L12" s="8"/>
    </row>
    <row r="13" customFormat="false" ht="15" hidden="false" customHeight="false" outlineLevel="0" collapsed="false">
      <c r="B13" s="9" t="s">
        <v>24</v>
      </c>
      <c r="C13" s="6" t="s">
        <v>25</v>
      </c>
      <c r="D13" s="13" t="n">
        <v>320</v>
      </c>
    </row>
    <row r="14" customFormat="false" ht="15" hidden="false" customHeight="false" outlineLevel="0" collapsed="false">
      <c r="B14" s="9" t="s">
        <v>26</v>
      </c>
      <c r="C14" s="6" t="s">
        <v>25</v>
      </c>
      <c r="D14" s="13" t="n">
        <v>46.5</v>
      </c>
    </row>
    <row r="15" customFormat="false" ht="15" hidden="false" customHeight="false" outlineLevel="0" collapsed="false">
      <c r="B15" s="9" t="s">
        <v>27</v>
      </c>
      <c r="D15" s="14" t="n">
        <f aca="false">$D$14/$D$13</f>
        <v>0.1453125</v>
      </c>
    </row>
    <row r="16" customFormat="false" ht="30" hidden="false" customHeight="true" outlineLevel="0" collapsed="false">
      <c r="B16" s="15" t="s">
        <v>28</v>
      </c>
      <c r="C16" s="16"/>
      <c r="D16" s="16" t="s">
        <v>29</v>
      </c>
      <c r="E16" s="16" t="s">
        <v>30</v>
      </c>
    </row>
    <row r="17" customFormat="false" ht="15" hidden="false" customHeight="false" outlineLevel="0" collapsed="false">
      <c r="B17" s="9" t="s">
        <v>31</v>
      </c>
      <c r="D17" s="13" t="n">
        <v>2.5</v>
      </c>
      <c r="E17" s="13" t="n">
        <v>2.5</v>
      </c>
    </row>
    <row r="18" customFormat="false" ht="15" hidden="false" customHeight="false" outlineLevel="0" collapsed="false">
      <c r="B18" s="9" t="s">
        <v>32</v>
      </c>
      <c r="D18" s="13" t="n">
        <v>1</v>
      </c>
      <c r="E18" s="13" t="n">
        <v>1</v>
      </c>
    </row>
    <row r="19" customFormat="false" ht="15" hidden="false" customHeight="false" outlineLevel="0" collapsed="false">
      <c r="B19" s="9" t="s">
        <v>33</v>
      </c>
      <c r="D19" s="13" t="n">
        <v>3</v>
      </c>
      <c r="E19" s="13" t="n">
        <v>0</v>
      </c>
    </row>
    <row r="20" customFormat="false" ht="15" hidden="false" customHeight="false" outlineLevel="0" collapsed="false">
      <c r="B20" s="9" t="s">
        <v>34</v>
      </c>
      <c r="D20" s="13" t="n">
        <v>2</v>
      </c>
      <c r="E20" s="13" t="n">
        <v>0</v>
      </c>
    </row>
    <row r="21" customFormat="false" ht="15" hidden="false" customHeight="false" outlineLevel="0" collapsed="false">
      <c r="B21" s="17" t="s">
        <v>35</v>
      </c>
      <c r="D21" s="18" t="n">
        <f aca="false">SUM(D17:D20)</f>
        <v>8.5</v>
      </c>
      <c r="E21" s="18" t="n">
        <f aca="false">SUM(E17:E20)</f>
        <v>3.5</v>
      </c>
    </row>
    <row r="22" customFormat="false" ht="15" hidden="false" customHeight="false" outlineLevel="0" collapsed="false">
      <c r="B22" s="9" t="s">
        <v>36</v>
      </c>
      <c r="C22" s="6" t="s">
        <v>25</v>
      </c>
      <c r="D22" s="19" t="n">
        <f aca="false">$D$14+$D$21</f>
        <v>55</v>
      </c>
    </row>
    <row r="23" customFormat="false" ht="15" hidden="false" customHeight="false" outlineLevel="0" collapsed="false">
      <c r="B23" s="9" t="s">
        <v>37</v>
      </c>
      <c r="D23" s="14" t="n">
        <f aca="false">$D$22/$D$13</f>
        <v>0.171875</v>
      </c>
    </row>
    <row r="24" customFormat="false" ht="15" hidden="false" customHeight="false" outlineLevel="0" collapsed="false">
      <c r="B24" s="9" t="s">
        <v>38</v>
      </c>
      <c r="C24" s="6" t="s">
        <v>25</v>
      </c>
      <c r="D24" s="19" t="n">
        <f aca="false">$D$14+$E$21</f>
        <v>50</v>
      </c>
    </row>
    <row r="25" customFormat="false" ht="15" hidden="false" customHeight="false" outlineLevel="0" collapsed="false">
      <c r="B25" s="9" t="s">
        <v>39</v>
      </c>
      <c r="D25" s="20" t="n">
        <f aca="false">$D$24/$D$13</f>
        <v>0.15625</v>
      </c>
    </row>
    <row r="26" customFormat="false" ht="15" hidden="false" customHeight="false" outlineLevel="0" collapsed="false">
      <c r="B26" s="9" t="s">
        <v>40</v>
      </c>
      <c r="C26" s="6" t="s">
        <v>25</v>
      </c>
      <c r="D26" s="19" t="n">
        <f aca="false">$D$21-$E$21</f>
        <v>5</v>
      </c>
    </row>
    <row r="27" customFormat="false" ht="15" hidden="false" customHeight="false" outlineLevel="0" collapsed="false">
      <c r="B27" s="9" t="s">
        <v>41</v>
      </c>
      <c r="D27" s="11" t="n">
        <v>0.12</v>
      </c>
    </row>
    <row r="28" customFormat="false" ht="15" hidden="false" customHeight="false" outlineLevel="0" collapsed="false">
      <c r="B28" s="9" t="s">
        <v>42</v>
      </c>
      <c r="D28" s="11" t="n">
        <v>0.15</v>
      </c>
    </row>
    <row r="29" customFormat="false" ht="15" hidden="false" customHeight="false" outlineLevel="0" collapsed="false">
      <c r="B29" s="9" t="s">
        <v>43</v>
      </c>
      <c r="D29" s="21" t="n">
        <v>0.035</v>
      </c>
    </row>
    <row r="30" customFormat="false" ht="15" hidden="false" customHeight="false" outlineLevel="0" collapsed="false">
      <c r="B30" s="9" t="s">
        <v>44</v>
      </c>
      <c r="D30" s="21" t="n">
        <v>0.03</v>
      </c>
    </row>
    <row r="31" customFormat="false" ht="15" hidden="false" customHeight="false" outlineLevel="0" collapsed="false">
      <c r="B31" s="9" t="s">
        <v>45</v>
      </c>
      <c r="C31" s="6" t="s">
        <v>25</v>
      </c>
      <c r="D31" s="19" t="n">
        <f aca="false">$D$24-$D$30*$D$13</f>
        <v>40.4</v>
      </c>
    </row>
    <row r="32" customFormat="false" ht="15" hidden="false" customHeight="false" outlineLevel="0" collapsed="false">
      <c r="B32" s="9" t="s">
        <v>46</v>
      </c>
      <c r="D32" s="14" t="n">
        <f aca="false">$D$31/$D$24</f>
        <v>0.808</v>
      </c>
    </row>
    <row r="33" customFormat="false" ht="15" hidden="false" customHeight="false" outlineLevel="0" collapsed="false">
      <c r="B33" s="9" t="s">
        <v>47</v>
      </c>
      <c r="C33" s="6" t="s">
        <v>25</v>
      </c>
      <c r="D33" s="13" t="n">
        <v>40</v>
      </c>
    </row>
    <row r="34" customFormat="false" ht="15" hidden="false" customHeight="false" outlineLevel="0" collapsed="false">
      <c r="B34" s="9" t="s">
        <v>48</v>
      </c>
      <c r="C34" s="6" t="s">
        <v>25</v>
      </c>
      <c r="D34" s="13" t="n">
        <v>3</v>
      </c>
    </row>
    <row r="35" customFormat="false" ht="15" hidden="false" customHeight="false" outlineLevel="0" collapsed="false">
      <c r="B35" s="9" t="s">
        <v>49</v>
      </c>
      <c r="C35" s="6" t="s">
        <v>25</v>
      </c>
      <c r="D35" s="13" t="n">
        <v>2</v>
      </c>
    </row>
    <row r="36" customFormat="false" ht="15" hidden="false" customHeight="false" outlineLevel="0" collapsed="false">
      <c r="B36" s="9" t="s">
        <v>50</v>
      </c>
      <c r="C36" s="6" t="s">
        <v>25</v>
      </c>
      <c r="D36" s="13" t="n">
        <v>10</v>
      </c>
    </row>
    <row r="37" customFormat="false" ht="15" hidden="false" customHeight="false" outlineLevel="0" collapsed="false">
      <c r="B37" s="9" t="s">
        <v>51</v>
      </c>
      <c r="C37" s="6" t="s">
        <v>25</v>
      </c>
      <c r="D37" s="19" t="n">
        <f aca="false">$D$33+$D$34+$D$35-$D$36</f>
        <v>35</v>
      </c>
    </row>
    <row r="39" customFormat="false" ht="15" hidden="false" customHeight="false" outlineLevel="0" collapsed="false">
      <c r="B39" s="7" t="s">
        <v>52</v>
      </c>
      <c r="C39" s="8"/>
      <c r="D39" s="8"/>
      <c r="E39" s="8"/>
      <c r="F39" s="8"/>
      <c r="G39" s="8"/>
      <c r="H39" s="8"/>
      <c r="I39" s="8"/>
      <c r="J39" s="8"/>
      <c r="K39" s="8"/>
      <c r="L39" s="8"/>
    </row>
    <row r="40" customFormat="false" ht="15" hidden="false" customHeight="false" outlineLevel="0" collapsed="false">
      <c r="B40" s="9" t="s">
        <v>53</v>
      </c>
      <c r="D40" s="11" t="n">
        <v>0.38</v>
      </c>
    </row>
    <row r="41" customFormat="false" ht="15" hidden="false" customHeight="false" outlineLevel="0" collapsed="false">
      <c r="B41" s="9" t="s">
        <v>54</v>
      </c>
      <c r="D41" s="11" t="n">
        <v>0.45</v>
      </c>
    </row>
    <row r="42" customFormat="false" ht="15" hidden="false" customHeight="false" outlineLevel="0" collapsed="false">
      <c r="B42" s="9" t="s">
        <v>55</v>
      </c>
      <c r="D42" s="21" t="n">
        <v>0.03</v>
      </c>
    </row>
    <row r="43" customFormat="false" ht="15" hidden="false" customHeight="false" outlineLevel="0" collapsed="false">
      <c r="B43" s="9" t="s">
        <v>56</v>
      </c>
      <c r="D43" s="21" t="n">
        <v>0.015</v>
      </c>
    </row>
    <row r="44" customFormat="false" ht="15" hidden="false" customHeight="false" outlineLevel="0" collapsed="false">
      <c r="B44" s="9" t="s">
        <v>57</v>
      </c>
      <c r="D44" s="14" t="n">
        <f aca="false">$D$42+$D$43</f>
        <v>0.045</v>
      </c>
    </row>
    <row r="45" customFormat="false" ht="21.75" hidden="false" customHeight="true" outlineLevel="0" collapsed="false">
      <c r="B45" s="15" t="s">
        <v>58</v>
      </c>
      <c r="C45" s="16"/>
      <c r="D45" s="16" t="s">
        <v>59</v>
      </c>
    </row>
    <row r="46" customFormat="false" ht="15" hidden="false" customHeight="false" outlineLevel="0" collapsed="false">
      <c r="B46" s="9" t="s">
        <v>60</v>
      </c>
      <c r="D46" s="22" t="n">
        <v>10.6</v>
      </c>
    </row>
    <row r="47" customFormat="false" ht="15" hidden="false" customHeight="false" outlineLevel="0" collapsed="false">
      <c r="B47" s="9" t="s">
        <v>61</v>
      </c>
      <c r="D47" s="22" t="n">
        <v>9.4</v>
      </c>
    </row>
    <row r="48" customFormat="false" ht="15" hidden="false" customHeight="false" outlineLevel="0" collapsed="false">
      <c r="B48" s="9" t="s">
        <v>62</v>
      </c>
      <c r="D48" s="22" t="n">
        <v>8.2</v>
      </c>
    </row>
    <row r="49" customFormat="false" ht="15" hidden="false" customHeight="false" outlineLevel="0" collapsed="false">
      <c r="B49" s="9" t="s">
        <v>63</v>
      </c>
      <c r="D49" s="22" t="n">
        <v>10.1</v>
      </c>
    </row>
    <row r="50" customFormat="false" ht="15" hidden="false" customHeight="false" outlineLevel="0" collapsed="false">
      <c r="B50" s="9" t="s">
        <v>64</v>
      </c>
      <c r="D50" s="22" t="n">
        <v>8.8</v>
      </c>
    </row>
    <row r="51" customFormat="false" ht="15" hidden="false" customHeight="false" outlineLevel="0" collapsed="false">
      <c r="B51" s="9" t="s">
        <v>65</v>
      </c>
      <c r="D51" s="23" t="n">
        <f aca="false">MEDIAN(D46:D50)</f>
        <v>9.4</v>
      </c>
    </row>
    <row r="52" customFormat="false" ht="15" hidden="false" customHeight="false" outlineLevel="0" collapsed="false">
      <c r="B52" s="9" t="s">
        <v>66</v>
      </c>
      <c r="D52" s="23" t="n">
        <f aca="false">MIN(D46:D50)</f>
        <v>8.2</v>
      </c>
    </row>
    <row r="53" customFormat="false" ht="15" hidden="false" customHeight="false" outlineLevel="0" collapsed="false">
      <c r="B53" s="9" t="s">
        <v>67</v>
      </c>
      <c r="D53" s="23" t="n">
        <f aca="false">MAX(D46:D50)</f>
        <v>10.6</v>
      </c>
    </row>
    <row r="54" customFormat="false" ht="21.75" hidden="false" customHeight="true" outlineLevel="0" collapsed="false">
      <c r="B54" s="15" t="s">
        <v>68</v>
      </c>
      <c r="C54" s="16"/>
      <c r="D54" s="16" t="s">
        <v>69</v>
      </c>
    </row>
    <row r="55" customFormat="false" ht="15" hidden="false" customHeight="false" outlineLevel="0" collapsed="false">
      <c r="B55" s="9" t="s">
        <v>70</v>
      </c>
      <c r="D55" s="22" t="n">
        <v>9.6</v>
      </c>
    </row>
    <row r="56" customFormat="false" ht="15" hidden="false" customHeight="false" outlineLevel="0" collapsed="false">
      <c r="B56" s="9" t="s">
        <v>71</v>
      </c>
      <c r="D56" s="22" t="n">
        <v>8.5</v>
      </c>
    </row>
    <row r="57" customFormat="false" ht="15" hidden="false" customHeight="false" outlineLevel="0" collapsed="false">
      <c r="B57" s="9" t="s">
        <v>72</v>
      </c>
      <c r="D57" s="22" t="n">
        <v>10</v>
      </c>
    </row>
    <row r="58" customFormat="false" ht="15" hidden="false" customHeight="false" outlineLevel="0" collapsed="false">
      <c r="B58" s="9" t="s">
        <v>73</v>
      </c>
      <c r="D58" s="22" t="n">
        <v>8.9</v>
      </c>
    </row>
    <row r="59" customFormat="false" ht="15" hidden="false" customHeight="false" outlineLevel="0" collapsed="false">
      <c r="B59" s="9" t="s">
        <v>74</v>
      </c>
      <c r="D59" s="24" t="n">
        <f aca="false">MEDIAN(D55:D58)</f>
        <v>9.25</v>
      </c>
    </row>
    <row r="60" customFormat="false" ht="15" hidden="false" customHeight="false" outlineLevel="0" collapsed="false">
      <c r="B60" s="9" t="s">
        <v>75</v>
      </c>
      <c r="D60" s="23" t="n">
        <f aca="false">MIN(D55:D58)</f>
        <v>8.5</v>
      </c>
    </row>
    <row r="61" customFormat="false" ht="15" hidden="false" customHeight="false" outlineLevel="0" collapsed="false">
      <c r="B61" s="9" t="s">
        <v>76</v>
      </c>
      <c r="D61" s="23" t="n">
        <f aca="false">MAX(D55:D58)</f>
        <v>10</v>
      </c>
    </row>
    <row r="63" customFormat="false" ht="15" hidden="false" customHeight="false" outlineLevel="0" collapsed="false">
      <c r="B63" s="7" t="s">
        <v>77</v>
      </c>
      <c r="C63" s="8"/>
      <c r="D63" s="8"/>
      <c r="E63" s="8"/>
      <c r="F63" s="8"/>
      <c r="G63" s="8"/>
      <c r="H63" s="8"/>
      <c r="I63" s="8"/>
      <c r="J63" s="8"/>
      <c r="K63" s="8"/>
      <c r="L63" s="8"/>
    </row>
    <row r="64" customFormat="false" ht="15" hidden="false" customHeight="false" outlineLevel="0" collapsed="false">
      <c r="B64" s="9" t="s">
        <v>78</v>
      </c>
      <c r="C64" s="6" t="s">
        <v>79</v>
      </c>
      <c r="D64" s="22" t="n">
        <v>9</v>
      </c>
    </row>
    <row r="65" customFormat="false" ht="15" hidden="false" customHeight="false" outlineLevel="0" collapsed="false">
      <c r="B65" s="9" t="s">
        <v>80</v>
      </c>
      <c r="C65" s="6" t="s">
        <v>25</v>
      </c>
      <c r="D65" s="19" t="n">
        <f aca="false">$D$64*$D$24</f>
        <v>450</v>
      </c>
    </row>
    <row r="66" customFormat="false" ht="15" hidden="false" customHeight="false" outlineLevel="0" collapsed="false">
      <c r="B66" s="9" t="s">
        <v>81</v>
      </c>
      <c r="C66" s="6" t="s">
        <v>25</v>
      </c>
      <c r="D66" s="19" t="n">
        <f aca="false">$D$65-$D$37</f>
        <v>415</v>
      </c>
    </row>
    <row r="67" customFormat="false" ht="15" hidden="false" customHeight="false" outlineLevel="0" collapsed="false">
      <c r="B67" s="9" t="s">
        <v>82</v>
      </c>
      <c r="D67" s="23" t="n">
        <f aca="false">$D$65/$D$22</f>
        <v>8.18181818181818</v>
      </c>
    </row>
    <row r="68" customFormat="false" ht="15" hidden="false" customHeight="false" outlineLevel="0" collapsed="false">
      <c r="B68" s="9" t="s">
        <v>83</v>
      </c>
      <c r="C68" s="6" t="s">
        <v>25</v>
      </c>
      <c r="D68" s="19" t="n">
        <f aca="false">$D$64*$D$22</f>
        <v>495</v>
      </c>
    </row>
    <row r="69" customFormat="false" ht="15" hidden="false" customHeight="false" outlineLevel="0" collapsed="false">
      <c r="B69" s="9" t="s">
        <v>84</v>
      </c>
      <c r="C69" s="6" t="s">
        <v>25</v>
      </c>
      <c r="D69" s="19" t="n">
        <f aca="false">$D$68-$D$65</f>
        <v>45</v>
      </c>
    </row>
    <row r="70" customFormat="false" ht="15" hidden="false" customHeight="false" outlineLevel="0" collapsed="false">
      <c r="B70" s="9" t="s">
        <v>85</v>
      </c>
      <c r="C70" s="6" t="s">
        <v>25</v>
      </c>
      <c r="D70" s="13" t="n">
        <v>1</v>
      </c>
    </row>
    <row r="71" customFormat="false" ht="15" hidden="false" customHeight="false" outlineLevel="0" collapsed="false">
      <c r="B71" s="9" t="s">
        <v>86</v>
      </c>
      <c r="C71" s="6" t="s">
        <v>25</v>
      </c>
      <c r="D71" s="19" t="n">
        <f aca="false">$D$64*$D$70</f>
        <v>9</v>
      </c>
    </row>
    <row r="72" customFormat="false" ht="15" hidden="false" customHeight="false" outlineLevel="0" collapsed="false">
      <c r="B72" s="9" t="s">
        <v>87</v>
      </c>
      <c r="C72" s="6" t="s">
        <v>79</v>
      </c>
      <c r="D72" s="22" t="n">
        <v>10</v>
      </c>
    </row>
    <row r="73" customFormat="false" ht="15" hidden="false" customHeight="false" outlineLevel="0" collapsed="false">
      <c r="B73" s="9" t="s">
        <v>88</v>
      </c>
      <c r="C73" s="6" t="s">
        <v>25</v>
      </c>
      <c r="D73" s="13" t="n">
        <v>4.5</v>
      </c>
    </row>
    <row r="74" customFormat="false" ht="15" hidden="false" customHeight="false" outlineLevel="0" collapsed="false">
      <c r="B74" s="9" t="s">
        <v>89</v>
      </c>
      <c r="C74" s="6" t="s">
        <v>25</v>
      </c>
      <c r="D74" s="13" t="n">
        <v>3</v>
      </c>
    </row>
    <row r="75" customFormat="false" ht="15" hidden="false" customHeight="false" outlineLevel="0" collapsed="false">
      <c r="B75" s="9" t="s">
        <v>90</v>
      </c>
      <c r="C75" s="6" t="s">
        <v>25</v>
      </c>
      <c r="D75" s="13" t="n">
        <v>2</v>
      </c>
    </row>
    <row r="76" customFormat="false" ht="15" hidden="false" customHeight="false" outlineLevel="0" collapsed="false">
      <c r="B76" s="9" t="s">
        <v>91</v>
      </c>
      <c r="C76" s="6" t="s">
        <v>25</v>
      </c>
      <c r="D76" s="19" t="n">
        <f aca="false">$D$73+$D$74+$D$75</f>
        <v>9.5</v>
      </c>
    </row>
    <row r="77" customFormat="false" ht="15" hidden="false" customHeight="false" outlineLevel="0" collapsed="false">
      <c r="B77" s="9" t="s">
        <v>92</v>
      </c>
      <c r="D77" s="21" t="n">
        <v>0.02</v>
      </c>
    </row>
    <row r="78" customFormat="false" ht="15" hidden="false" customHeight="false" outlineLevel="0" collapsed="false">
      <c r="B78" s="9" t="s">
        <v>93</v>
      </c>
      <c r="C78" s="6" t="s">
        <v>25</v>
      </c>
      <c r="D78" s="13" t="n">
        <v>10</v>
      </c>
    </row>
    <row r="79" customFormat="false" ht="15" hidden="false" customHeight="false" outlineLevel="0" collapsed="false">
      <c r="B79" s="9" t="s">
        <v>94</v>
      </c>
      <c r="C79" s="6" t="s">
        <v>25</v>
      </c>
      <c r="D79" s="13" t="n">
        <v>10</v>
      </c>
    </row>
    <row r="81" customFormat="false" ht="15" hidden="false" customHeight="false" outlineLevel="0" collapsed="false">
      <c r="B81" s="7" t="s">
        <v>95</v>
      </c>
      <c r="C81" s="8"/>
      <c r="D81" s="8"/>
      <c r="E81" s="8"/>
      <c r="F81" s="8"/>
      <c r="G81" s="8"/>
      <c r="H81" s="8"/>
      <c r="I81" s="8"/>
      <c r="J81" s="8"/>
      <c r="K81" s="8"/>
      <c r="L81" s="8"/>
    </row>
    <row r="82" customFormat="false" ht="15" hidden="false" customHeight="false" outlineLevel="0" collapsed="false">
      <c r="B82" s="9" t="s">
        <v>96</v>
      </c>
      <c r="C82" s="6" t="s">
        <v>79</v>
      </c>
      <c r="D82" s="22" t="n">
        <v>4.5</v>
      </c>
    </row>
    <row r="83" customFormat="false" ht="15" hidden="false" customHeight="false" outlineLevel="0" collapsed="false">
      <c r="B83" s="9" t="s">
        <v>97</v>
      </c>
      <c r="D83" s="10" t="n">
        <v>0.045</v>
      </c>
    </row>
    <row r="84" customFormat="false" ht="15" hidden="false" customHeight="false" outlineLevel="0" collapsed="false">
      <c r="B84" s="9" t="s">
        <v>98</v>
      </c>
      <c r="D84" s="25" t="n">
        <f aca="false">$D$6+$D$83</f>
        <v>0.085</v>
      </c>
    </row>
    <row r="85" customFormat="false" ht="15" hidden="false" customHeight="false" outlineLevel="0" collapsed="false">
      <c r="B85" s="9" t="s">
        <v>99</v>
      </c>
      <c r="D85" s="11" t="n">
        <v>0.01</v>
      </c>
    </row>
    <row r="86" customFormat="false" ht="15" hidden="false" customHeight="false" outlineLevel="0" collapsed="false">
      <c r="B86" s="9" t="s">
        <v>100</v>
      </c>
      <c r="C86" s="6" t="s">
        <v>101</v>
      </c>
      <c r="D86" s="26" t="n">
        <v>7</v>
      </c>
    </row>
    <row r="87" customFormat="false" ht="15" hidden="false" customHeight="false" outlineLevel="0" collapsed="false">
      <c r="B87" s="9" t="s">
        <v>102</v>
      </c>
      <c r="C87" s="6" t="s">
        <v>79</v>
      </c>
      <c r="D87" s="22" t="n">
        <v>1</v>
      </c>
    </row>
    <row r="88" customFormat="false" ht="15" hidden="false" customHeight="false" outlineLevel="0" collapsed="false">
      <c r="B88" s="9" t="s">
        <v>103</v>
      </c>
      <c r="D88" s="10" t="n">
        <v>0.11</v>
      </c>
    </row>
    <row r="89" customFormat="false" ht="15" hidden="false" customHeight="false" outlineLevel="0" collapsed="false">
      <c r="B89" s="9" t="s">
        <v>104</v>
      </c>
      <c r="C89" s="6" t="s">
        <v>101</v>
      </c>
      <c r="D89" s="26" t="n">
        <v>8</v>
      </c>
    </row>
    <row r="90" customFormat="false" ht="15" hidden="false" customHeight="false" outlineLevel="0" collapsed="false">
      <c r="B90" s="9" t="s">
        <v>105</v>
      </c>
      <c r="C90" s="6" t="s">
        <v>25</v>
      </c>
      <c r="D90" s="13" t="n">
        <v>40</v>
      </c>
    </row>
    <row r="91" customFormat="false" ht="15" hidden="false" customHeight="false" outlineLevel="0" collapsed="false">
      <c r="B91" s="9" t="s">
        <v>106</v>
      </c>
      <c r="D91" s="10" t="n">
        <v>0.04</v>
      </c>
    </row>
    <row r="92" customFormat="false" ht="15" hidden="false" customHeight="false" outlineLevel="0" collapsed="false">
      <c r="B92" s="9" t="s">
        <v>107</v>
      </c>
      <c r="D92" s="10" t="n">
        <v>0.005</v>
      </c>
    </row>
    <row r="93" customFormat="false" ht="15" hidden="false" customHeight="false" outlineLevel="0" collapsed="false">
      <c r="B93" s="9" t="s">
        <v>108</v>
      </c>
      <c r="C93" s="6" t="s">
        <v>101</v>
      </c>
      <c r="D93" s="26" t="n">
        <v>6</v>
      </c>
    </row>
    <row r="94" customFormat="false" ht="15" hidden="false" customHeight="false" outlineLevel="0" collapsed="false">
      <c r="B94" s="9" t="s">
        <v>109</v>
      </c>
      <c r="D94" s="11" t="n">
        <v>0.35</v>
      </c>
    </row>
    <row r="95" customFormat="false" ht="15" hidden="false" customHeight="false" outlineLevel="0" collapsed="false">
      <c r="B95" s="9" t="s">
        <v>110</v>
      </c>
      <c r="D95" s="10" t="n">
        <v>0.06</v>
      </c>
    </row>
    <row r="96" customFormat="false" ht="15" hidden="false" customHeight="false" outlineLevel="0" collapsed="false">
      <c r="B96" s="9" t="s">
        <v>111</v>
      </c>
      <c r="D96" s="25" t="n">
        <f aca="false">$D$6+$D$95</f>
        <v>0.1</v>
      </c>
    </row>
    <row r="97" customFormat="false" ht="15" hidden="false" customHeight="false" outlineLevel="0" collapsed="false">
      <c r="B97" s="9" t="s">
        <v>112</v>
      </c>
      <c r="C97" s="6" t="s">
        <v>79</v>
      </c>
      <c r="D97" s="23" t="n">
        <f aca="false">$D$82+$D$87</f>
        <v>5.5</v>
      </c>
    </row>
    <row r="98" customFormat="false" ht="15" hidden="false" customHeight="false" outlineLevel="0" collapsed="false">
      <c r="B98" s="9" t="s">
        <v>113</v>
      </c>
      <c r="D98" s="26" t="n">
        <v>1</v>
      </c>
    </row>
    <row r="99" customFormat="false" ht="30" hidden="false" customHeight="true" outlineLevel="0" collapsed="false">
      <c r="B99" s="15" t="s">
        <v>114</v>
      </c>
      <c r="C99" s="16"/>
      <c r="D99" s="16" t="s">
        <v>115</v>
      </c>
      <c r="E99" s="16" t="s">
        <v>116</v>
      </c>
    </row>
    <row r="100" customFormat="false" ht="15" hidden="false" customHeight="false" outlineLevel="0" collapsed="false">
      <c r="B100" s="9" t="s">
        <v>117</v>
      </c>
      <c r="D100" s="22" t="n">
        <v>4.5</v>
      </c>
      <c r="E100" s="11" t="n">
        <v>0.5</v>
      </c>
    </row>
    <row r="101" customFormat="false" ht="15" hidden="false" customHeight="false" outlineLevel="0" collapsed="false">
      <c r="B101" s="9" t="s">
        <v>118</v>
      </c>
      <c r="D101" s="22" t="n">
        <v>3.5</v>
      </c>
      <c r="E101" s="11" t="n">
        <v>0.25</v>
      </c>
    </row>
    <row r="102" customFormat="false" ht="15" hidden="false" customHeight="false" outlineLevel="0" collapsed="false">
      <c r="B102" s="9" t="s">
        <v>119</v>
      </c>
      <c r="D102" s="22" t="n">
        <v>0</v>
      </c>
      <c r="E102" s="11" t="n">
        <v>0</v>
      </c>
    </row>
    <row r="103" customFormat="false" ht="15" hidden="false" customHeight="false" outlineLevel="0" collapsed="false">
      <c r="B103" s="9" t="s">
        <v>120</v>
      </c>
      <c r="D103" s="11" t="n">
        <v>0.2</v>
      </c>
    </row>
    <row r="104" customFormat="false" ht="15" hidden="false" customHeight="false" outlineLevel="0" collapsed="false">
      <c r="B104" s="9" t="s">
        <v>121</v>
      </c>
      <c r="C104" s="6" t="s">
        <v>25</v>
      </c>
      <c r="D104" s="13" t="n">
        <v>3</v>
      </c>
    </row>
    <row r="106" customFormat="false" ht="15" hidden="false" customHeight="false" outlineLevel="0" collapsed="false">
      <c r="B106" s="7" t="s">
        <v>122</v>
      </c>
      <c r="C106" s="8"/>
      <c r="D106" s="8"/>
      <c r="E106" s="8"/>
      <c r="F106" s="8"/>
      <c r="G106" s="8"/>
      <c r="H106" s="8"/>
      <c r="I106" s="8"/>
      <c r="J106" s="8"/>
      <c r="K106" s="8"/>
      <c r="L106" s="8"/>
    </row>
    <row r="107" customFormat="false" ht="15" hidden="false" customHeight="false" outlineLevel="0" collapsed="false">
      <c r="B107" s="9" t="s">
        <v>123</v>
      </c>
      <c r="C107" s="6" t="s">
        <v>25</v>
      </c>
      <c r="D107" s="13" t="n">
        <v>10</v>
      </c>
    </row>
    <row r="108" customFormat="false" ht="15" hidden="false" customHeight="false" outlineLevel="0" collapsed="false">
      <c r="B108" s="9" t="s">
        <v>124</v>
      </c>
      <c r="C108" s="6" t="s">
        <v>125</v>
      </c>
      <c r="D108" s="27" t="n">
        <v>1</v>
      </c>
    </row>
    <row r="109" customFormat="false" ht="15" hidden="false" customHeight="false" outlineLevel="0" collapsed="false">
      <c r="B109" s="9" t="s">
        <v>126</v>
      </c>
      <c r="D109" s="11" t="n">
        <v>0.08</v>
      </c>
    </row>
    <row r="110" customFormat="false" ht="15" hidden="false" customHeight="false" outlineLevel="0" collapsed="false">
      <c r="B110" s="9" t="s">
        <v>127</v>
      </c>
      <c r="C110" s="6" t="s">
        <v>79</v>
      </c>
      <c r="D110" s="22" t="n">
        <v>2</v>
      </c>
    </row>
    <row r="111" customFormat="false" ht="15" hidden="false" customHeight="false" outlineLevel="0" collapsed="false">
      <c r="B111" s="9" t="s">
        <v>128</v>
      </c>
      <c r="C111" s="6" t="s">
        <v>25</v>
      </c>
      <c r="D111" s="13" t="n">
        <v>4</v>
      </c>
    </row>
    <row r="112" customFormat="false" ht="15" hidden="false" customHeight="false" outlineLevel="0" collapsed="false">
      <c r="B112" s="9" t="s">
        <v>129</v>
      </c>
      <c r="D112" s="11" t="n">
        <v>0.35</v>
      </c>
    </row>
    <row r="114" customFormat="false" ht="15" hidden="false" customHeight="false" outlineLevel="0" collapsed="false">
      <c r="B114" s="7" t="s">
        <v>130</v>
      </c>
      <c r="C114" s="8"/>
      <c r="D114" s="8"/>
      <c r="E114" s="8"/>
      <c r="F114" s="8"/>
      <c r="G114" s="8"/>
      <c r="H114" s="8"/>
      <c r="I114" s="8"/>
      <c r="J114" s="8"/>
      <c r="K114" s="8"/>
      <c r="L114" s="8"/>
    </row>
    <row r="115" customFormat="false" ht="15" hidden="false" customHeight="false" outlineLevel="0" collapsed="false">
      <c r="B115" s="9" t="s">
        <v>131</v>
      </c>
      <c r="D115" s="26" t="n">
        <v>1</v>
      </c>
    </row>
    <row r="116" customFormat="false" ht="15" hidden="false" customHeight="false" outlineLevel="0" collapsed="false">
      <c r="B116" s="9" t="s">
        <v>132</v>
      </c>
      <c r="C116" s="6" t="s">
        <v>133</v>
      </c>
      <c r="D116" s="26" t="n">
        <v>2</v>
      </c>
    </row>
    <row r="117" customFormat="false" ht="15" hidden="false" customHeight="false" outlineLevel="0" collapsed="false">
      <c r="B117" s="9" t="s">
        <v>134</v>
      </c>
      <c r="C117" s="6" t="s">
        <v>25</v>
      </c>
      <c r="D117" s="13" t="n">
        <v>60</v>
      </c>
    </row>
    <row r="118" customFormat="false" ht="15" hidden="false" customHeight="false" outlineLevel="0" collapsed="false">
      <c r="B118" s="9" t="s">
        <v>135</v>
      </c>
      <c r="C118" s="6" t="s">
        <v>25</v>
      </c>
      <c r="D118" s="13" t="n">
        <v>8</v>
      </c>
    </row>
    <row r="119" customFormat="false" ht="15" hidden="false" customHeight="false" outlineLevel="0" collapsed="false">
      <c r="B119" s="9" t="s">
        <v>136</v>
      </c>
      <c r="D119" s="14" t="n">
        <f aca="false">$D$118/$D$117</f>
        <v>0.133333333333333</v>
      </c>
    </row>
    <row r="120" customFormat="false" ht="15" hidden="false" customHeight="false" outlineLevel="0" collapsed="false">
      <c r="B120" s="9" t="s">
        <v>137</v>
      </c>
      <c r="C120" s="6" t="s">
        <v>79</v>
      </c>
      <c r="D120" s="22" t="n">
        <v>6.5</v>
      </c>
    </row>
    <row r="121" customFormat="false" ht="15" hidden="false" customHeight="false" outlineLevel="0" collapsed="false">
      <c r="B121" s="9" t="s">
        <v>138</v>
      </c>
      <c r="C121" s="6" t="s">
        <v>25</v>
      </c>
      <c r="D121" s="19" t="n">
        <f aca="false">$D$120*$D$118</f>
        <v>52</v>
      </c>
    </row>
    <row r="122" customFormat="false" ht="15" hidden="false" customHeight="false" outlineLevel="0" collapsed="false">
      <c r="B122" s="9" t="s">
        <v>139</v>
      </c>
      <c r="C122" s="6" t="s">
        <v>25</v>
      </c>
      <c r="D122" s="13" t="n">
        <v>1.5</v>
      </c>
    </row>
    <row r="123" customFormat="false" ht="15" hidden="false" customHeight="false" outlineLevel="0" collapsed="false">
      <c r="B123" s="9" t="s">
        <v>140</v>
      </c>
      <c r="D123" s="21" t="n">
        <v>0.04</v>
      </c>
    </row>
    <row r="124" customFormat="false" ht="15" hidden="false" customHeight="false" outlineLevel="0" collapsed="false">
      <c r="B124" s="9" t="s">
        <v>141</v>
      </c>
      <c r="D124" s="11" t="n">
        <v>0.1</v>
      </c>
    </row>
    <row r="125" customFormat="false" ht="15" hidden="false" customHeight="false" outlineLevel="0" collapsed="false">
      <c r="B125" s="9" t="s">
        <v>142</v>
      </c>
      <c r="C125" s="6" t="s">
        <v>25</v>
      </c>
      <c r="D125" s="13" t="n">
        <v>40</v>
      </c>
    </row>
    <row r="126" customFormat="false" ht="15" hidden="false" customHeight="false" outlineLevel="0" collapsed="false">
      <c r="B126" s="9" t="s">
        <v>143</v>
      </c>
      <c r="C126" s="6" t="s">
        <v>25</v>
      </c>
      <c r="D126" s="19" t="n">
        <f aca="false">$D$77*$D$125</f>
        <v>0.8</v>
      </c>
    </row>
    <row r="127" customFormat="false" ht="15" hidden="false" customHeight="false" outlineLevel="0" collapsed="false">
      <c r="B127" s="9" t="s">
        <v>144</v>
      </c>
      <c r="C127" s="6" t="s">
        <v>25</v>
      </c>
      <c r="D127" s="19" t="n">
        <f aca="false">$D$121+$D$122+$D$126-$D$125</f>
        <v>14.3</v>
      </c>
    </row>
    <row r="128" customFormat="false" ht="15" hidden="false" customHeight="false" outlineLevel="0" collapsed="false">
      <c r="B128" s="9" t="s">
        <v>145</v>
      </c>
      <c r="C128" s="6" t="s">
        <v>25</v>
      </c>
      <c r="D128" s="19" t="n">
        <f aca="false">$D$122+$D$126</f>
        <v>2.3</v>
      </c>
    </row>
    <row r="130" customFormat="false" ht="15" hidden="false" customHeight="false" outlineLevel="0" collapsed="false">
      <c r="B130" s="7" t="s">
        <v>146</v>
      </c>
      <c r="C130" s="8"/>
      <c r="D130" s="8"/>
      <c r="E130" s="8"/>
      <c r="F130" s="8"/>
      <c r="G130" s="8"/>
      <c r="H130" s="8"/>
      <c r="I130" s="8"/>
      <c r="J130" s="8"/>
      <c r="K130" s="8"/>
      <c r="L130" s="8"/>
    </row>
    <row r="131" customFormat="false" ht="15" hidden="false" customHeight="false" outlineLevel="0" collapsed="false">
      <c r="B131" s="9" t="s">
        <v>147</v>
      </c>
      <c r="C131" s="6" t="s">
        <v>79</v>
      </c>
      <c r="D131" s="22" t="n">
        <v>9</v>
      </c>
    </row>
    <row r="132" customFormat="false" ht="15" hidden="false" customHeight="false" outlineLevel="0" collapsed="false">
      <c r="B132" s="9" t="s">
        <v>148</v>
      </c>
      <c r="D132" s="21" t="n">
        <v>0.015</v>
      </c>
    </row>
    <row r="133" customFormat="false" ht="15" hidden="false" customHeight="false" outlineLevel="0" collapsed="false">
      <c r="B133" s="9" t="s">
        <v>149</v>
      </c>
      <c r="C133" s="6" t="s">
        <v>133</v>
      </c>
      <c r="D133" s="26" t="n">
        <v>5</v>
      </c>
    </row>
    <row r="135" customFormat="false" ht="15" hidden="false" customHeight="false" outlineLevel="0" collapsed="false">
      <c r="B135" s="7" t="s">
        <v>150</v>
      </c>
      <c r="C135" s="8"/>
      <c r="D135" s="8"/>
      <c r="E135" s="8"/>
      <c r="F135" s="8"/>
      <c r="G135" s="8"/>
      <c r="H135" s="8"/>
      <c r="I135" s="8"/>
      <c r="J135" s="8"/>
      <c r="K135" s="8"/>
      <c r="L135" s="8"/>
    </row>
    <row r="136" customFormat="false" ht="15" hidden="false" customHeight="false" outlineLevel="0" collapsed="false">
      <c r="B136" s="9" t="s">
        <v>151</v>
      </c>
      <c r="D136" s="11" t="n">
        <v>1</v>
      </c>
    </row>
    <row r="137" customFormat="false" ht="15" hidden="false" customHeight="false" outlineLevel="0" collapsed="false">
      <c r="B137" s="9" t="s">
        <v>152</v>
      </c>
      <c r="D137" s="26" t="n">
        <v>0</v>
      </c>
    </row>
    <row r="138" customFormat="false" ht="15" hidden="false" customHeight="false" outlineLevel="0" collapsed="false">
      <c r="B138" s="9" t="s">
        <v>153</v>
      </c>
      <c r="C138" s="6" t="s">
        <v>133</v>
      </c>
      <c r="D138" s="26" t="n">
        <v>4</v>
      </c>
    </row>
    <row r="139" customFormat="false" ht="15" hidden="false" customHeight="false" outlineLevel="0" collapsed="false">
      <c r="B139" s="9" t="s">
        <v>154</v>
      </c>
      <c r="C139" s="6" t="s">
        <v>25</v>
      </c>
      <c r="D139" s="13" t="n">
        <v>35</v>
      </c>
    </row>
    <row r="140" customFormat="false" ht="15" hidden="false" customHeight="false" outlineLevel="0" collapsed="false">
      <c r="B140" s="9" t="s">
        <v>155</v>
      </c>
      <c r="D140" s="21" t="n">
        <v>0.02</v>
      </c>
    </row>
    <row r="141" customFormat="false" ht="15" hidden="false" customHeight="false" outlineLevel="0" collapsed="false">
      <c r="B141" s="9" t="s">
        <v>156</v>
      </c>
      <c r="C141" s="6" t="s">
        <v>79</v>
      </c>
      <c r="D141" s="28" t="n">
        <v>4.25</v>
      </c>
    </row>
    <row r="142" customFormat="false" ht="15" hidden="false" customHeight="false" outlineLevel="0" collapsed="false">
      <c r="B142" s="9" t="s">
        <v>157</v>
      </c>
      <c r="D142" s="26" t="n">
        <v>0</v>
      </c>
    </row>
    <row r="143" customFormat="false" ht="15" hidden="false" customHeight="false" outlineLevel="0" collapsed="false">
      <c r="B143" s="9" t="s">
        <v>158</v>
      </c>
      <c r="C143" s="6" t="s">
        <v>25</v>
      </c>
      <c r="D143" s="13" t="n">
        <v>0</v>
      </c>
    </row>
    <row r="144" customFormat="false" ht="15" hidden="false" customHeight="false" outlineLevel="0" collapsed="false">
      <c r="B144" s="9" t="s">
        <v>159</v>
      </c>
      <c r="C144" s="6" t="s">
        <v>133</v>
      </c>
      <c r="D144" s="26" t="n">
        <v>0</v>
      </c>
    </row>
    <row r="145" customFormat="false" ht="15" hidden="false" customHeight="false" outlineLevel="0" collapsed="false">
      <c r="B145" s="9" t="s">
        <v>160</v>
      </c>
      <c r="D145" s="26" t="n">
        <v>0</v>
      </c>
    </row>
    <row r="146" customFormat="false" ht="15" hidden="false" customHeight="false" outlineLevel="0" collapsed="false">
      <c r="B146" s="9" t="s">
        <v>161</v>
      </c>
      <c r="C146" s="6" t="s">
        <v>133</v>
      </c>
      <c r="D146" s="26" t="n">
        <v>3</v>
      </c>
    </row>
    <row r="147" customFormat="false" ht="15" hidden="false" customHeight="false" outlineLevel="0" collapsed="false">
      <c r="B147" s="9" t="s">
        <v>162</v>
      </c>
      <c r="D147" s="21" t="n">
        <v>0.01</v>
      </c>
    </row>
    <row r="148" customFormat="false" ht="15" hidden="false" customHeight="false" outlineLevel="0" collapsed="false">
      <c r="B148" s="9" t="s">
        <v>163</v>
      </c>
      <c r="D148" s="10" t="n">
        <v>0.01</v>
      </c>
    </row>
    <row r="149" customFormat="false" ht="15" hidden="false" customHeight="false" outlineLevel="0" collapsed="false">
      <c r="B149" s="9" t="s">
        <v>164</v>
      </c>
      <c r="C149" s="6" t="s">
        <v>79</v>
      </c>
      <c r="D149" s="28" t="n">
        <v>0.75</v>
      </c>
    </row>
    <row r="150" customFormat="false" ht="15" hidden="false" customHeight="false" outlineLevel="0" collapsed="false">
      <c r="B150" s="9" t="s">
        <v>165</v>
      </c>
      <c r="D150" s="21" t="n">
        <v>-0.12</v>
      </c>
    </row>
    <row r="151" customFormat="false" ht="15" hidden="false" customHeight="false" outlineLevel="0" collapsed="false">
      <c r="B151" s="9" t="s">
        <v>166</v>
      </c>
      <c r="D151" s="21" t="n">
        <v>-0.045</v>
      </c>
    </row>
    <row r="152" customFormat="false" ht="15" hidden="false" customHeight="false" outlineLevel="0" collapsed="false">
      <c r="B152" s="9" t="s">
        <v>167</v>
      </c>
      <c r="D152" s="21" t="n">
        <v>0</v>
      </c>
    </row>
    <row r="153" customFormat="false" ht="15" hidden="false" customHeight="false" outlineLevel="0" collapsed="false">
      <c r="B153" s="9" t="s">
        <v>168</v>
      </c>
      <c r="D153" s="10" t="n">
        <v>0.06</v>
      </c>
    </row>
    <row r="155" customFormat="false" ht="15" hidden="false" customHeight="false" outlineLevel="0" collapsed="false">
      <c r="B155" s="7" t="s">
        <v>169</v>
      </c>
      <c r="C155" s="8"/>
      <c r="D155" s="8"/>
      <c r="E155" s="8"/>
      <c r="F155" s="8"/>
      <c r="G155" s="8"/>
      <c r="H155" s="8"/>
      <c r="I155" s="8"/>
      <c r="J155" s="8"/>
      <c r="K155" s="8"/>
      <c r="L155" s="8"/>
    </row>
    <row r="156" customFormat="false" ht="15" hidden="false" customHeight="false" outlineLevel="0" collapsed="false">
      <c r="B156" s="9" t="s">
        <v>170</v>
      </c>
      <c r="D156" s="21" t="n">
        <v>0.02</v>
      </c>
    </row>
    <row r="157" customFormat="false" ht="15" hidden="false" customHeight="false" outlineLevel="0" collapsed="false">
      <c r="B157" s="9" t="s">
        <v>171</v>
      </c>
      <c r="D157" s="11" t="n">
        <v>0.2</v>
      </c>
    </row>
    <row r="158" customFormat="false" ht="15" hidden="false" customHeight="false" outlineLevel="0" collapsed="false">
      <c r="B158" s="9" t="s">
        <v>172</v>
      </c>
      <c r="D158" s="29" t="n">
        <f aca="false">1-$D$157</f>
        <v>0.8</v>
      </c>
    </row>
    <row r="159" customFormat="false" ht="15" hidden="false" customHeight="false" outlineLevel="0" collapsed="false">
      <c r="B159" s="9" t="s">
        <v>173</v>
      </c>
      <c r="D159" s="11" t="n">
        <v>0.08</v>
      </c>
    </row>
    <row r="160" customFormat="false" ht="15" hidden="false" customHeight="false" outlineLevel="0" collapsed="false">
      <c r="B160" s="9" t="s">
        <v>174</v>
      </c>
      <c r="D160" s="10" t="n">
        <v>0.065</v>
      </c>
    </row>
    <row r="161" customFormat="false" ht="15" hidden="false" customHeight="false" outlineLevel="0" collapsed="false">
      <c r="B161" s="9" t="s">
        <v>175</v>
      </c>
      <c r="C161" s="6" t="s">
        <v>176</v>
      </c>
      <c r="D161" s="26" t="n">
        <v>12</v>
      </c>
    </row>
    <row r="163" customFormat="false" ht="15" hidden="false" customHeight="false" outlineLevel="0" collapsed="false">
      <c r="B163" s="7" t="s">
        <v>177</v>
      </c>
      <c r="C163" s="8"/>
      <c r="D163" s="8"/>
      <c r="E163" s="8"/>
      <c r="F163" s="8"/>
      <c r="G163" s="8"/>
      <c r="H163" s="8"/>
      <c r="I163" s="8"/>
      <c r="J163" s="8"/>
      <c r="K163" s="8"/>
      <c r="L163" s="8"/>
    </row>
    <row r="164" customFormat="false" ht="15" hidden="false" customHeight="false" outlineLevel="0" collapsed="false">
      <c r="B164" s="7" t="s">
        <v>178</v>
      </c>
      <c r="F164" s="30" t="n">
        <v>1</v>
      </c>
      <c r="G164" s="30" t="n">
        <v>2</v>
      </c>
      <c r="H164" s="30" t="n">
        <v>3</v>
      </c>
      <c r="I164" s="30" t="n">
        <v>4</v>
      </c>
      <c r="J164" s="30" t="n">
        <v>5</v>
      </c>
      <c r="K164" s="30" t="n">
        <v>6</v>
      </c>
      <c r="L164" s="30" t="n">
        <v>7</v>
      </c>
    </row>
    <row r="165" customFormat="false" ht="15" hidden="false" customHeight="false" outlineLevel="0" collapsed="false">
      <c r="B165" s="9" t="s">
        <v>179</v>
      </c>
      <c r="F165" s="21" t="n">
        <v>0.05</v>
      </c>
      <c r="G165" s="21" t="n">
        <v>0.06</v>
      </c>
      <c r="H165" s="21" t="n">
        <v>-0.06</v>
      </c>
      <c r="I165" s="21" t="n">
        <v>0.07</v>
      </c>
      <c r="J165" s="21" t="n">
        <v>0.05</v>
      </c>
      <c r="K165" s="21" t="n">
        <v>0.04</v>
      </c>
      <c r="L165" s="21" t="n">
        <v>0.04</v>
      </c>
    </row>
    <row r="166" customFormat="false" ht="15" hidden="false" customHeight="false" outlineLevel="0" collapsed="false">
      <c r="B166" s="9" t="s">
        <v>180</v>
      </c>
      <c r="F166" s="31" t="n">
        <v>0.00625</v>
      </c>
      <c r="G166" s="31" t="n">
        <v>0.01375</v>
      </c>
      <c r="H166" s="31" t="n">
        <v>0.01875</v>
      </c>
      <c r="I166" s="31" t="n">
        <v>0.01875</v>
      </c>
      <c r="J166" s="31" t="n">
        <v>0.01875</v>
      </c>
      <c r="K166" s="31" t="n">
        <v>0.01875</v>
      </c>
      <c r="L166" s="31" t="n">
        <v>0.01875</v>
      </c>
    </row>
    <row r="167" customFormat="false" ht="15" hidden="false" customHeight="false" outlineLevel="0" collapsed="false">
      <c r="B167" s="9" t="s">
        <v>181</v>
      </c>
      <c r="F167" s="21" t="n">
        <v>0</v>
      </c>
      <c r="G167" s="21" t="n">
        <v>0</v>
      </c>
      <c r="H167" s="21" t="n">
        <v>-0.03</v>
      </c>
      <c r="I167" s="21" t="n">
        <v>-0.01</v>
      </c>
      <c r="J167" s="21" t="n">
        <v>0</v>
      </c>
      <c r="K167" s="21" t="n">
        <v>0</v>
      </c>
      <c r="L167" s="21" t="n">
        <v>0</v>
      </c>
    </row>
    <row r="168" customFormat="false" ht="15" hidden="false" customHeight="false" outlineLevel="0" collapsed="false">
      <c r="B168" s="9" t="s">
        <v>182</v>
      </c>
      <c r="F168" s="13" t="n">
        <v>0</v>
      </c>
      <c r="G168" s="13" t="n">
        <v>0</v>
      </c>
      <c r="H168" s="13" t="n">
        <v>1</v>
      </c>
      <c r="I168" s="13" t="n">
        <v>2.5</v>
      </c>
      <c r="J168" s="13" t="n">
        <v>3</v>
      </c>
      <c r="K168" s="13" t="n">
        <v>3</v>
      </c>
      <c r="L168" s="13" t="n">
        <v>3</v>
      </c>
    </row>
    <row r="169" customFormat="false" ht="15" hidden="false" customHeight="false" outlineLevel="0" collapsed="false">
      <c r="B169" s="9" t="s">
        <v>183</v>
      </c>
      <c r="F169" s="28" t="n">
        <v>5.75</v>
      </c>
      <c r="G169" s="28" t="n">
        <v>5.25</v>
      </c>
      <c r="H169" s="28" t="n">
        <v>4.75</v>
      </c>
      <c r="I169" s="28" t="n">
        <v>4.25</v>
      </c>
      <c r="J169" s="28" t="n">
        <v>4</v>
      </c>
      <c r="K169" s="28" t="n">
        <v>4</v>
      </c>
      <c r="L169" s="28" t="n">
        <v>4</v>
      </c>
    </row>
    <row r="170" customFormat="false" ht="15" hidden="false" customHeight="false" outlineLevel="0" collapsed="false">
      <c r="B170" s="9" t="s">
        <v>184</v>
      </c>
      <c r="D170" s="14" t="n">
        <f aca="false">$D$25+$H$166</f>
        <v>0.175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L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0"/>
    <col collapsed="false" customWidth="true" hidden="false" outlineLevel="0" max="3" min="3" style="0" width="12"/>
    <col collapsed="false" customWidth="true" hidden="false" outlineLevel="0" max="4" min="4" style="0" width="14"/>
    <col collapsed="false" customWidth="true" hidden="false" outlineLevel="0" max="12" min="5" style="0" width="12"/>
  </cols>
  <sheetData>
    <row r="1" customFormat="false" ht="6" hidden="false" customHeight="true" outlineLevel="0" collapsed="false"/>
    <row r="2" customFormat="false" ht="17.35" hidden="false" customHeight="false" outlineLevel="0" collapsed="false">
      <c r="B2" s="5" t="s">
        <v>185</v>
      </c>
    </row>
    <row r="3" customFormat="false" ht="15" hidden="false" customHeight="false" outlineLevel="0" collapsed="false">
      <c r="B3" s="6" t="s">
        <v>186</v>
      </c>
    </row>
    <row r="5" customFormat="false" ht="15" hidden="false" customHeight="false" outlineLevel="0" collapsed="false">
      <c r="B5" s="7" t="s">
        <v>187</v>
      </c>
      <c r="C5" s="8"/>
      <c r="D5" s="8"/>
      <c r="E5" s="8"/>
      <c r="F5" s="8"/>
      <c r="G5" s="8"/>
      <c r="H5" s="8"/>
      <c r="I5" s="8"/>
      <c r="J5" s="8"/>
      <c r="K5" s="8"/>
      <c r="L5" s="8"/>
    </row>
    <row r="6" customFormat="false" ht="15" hidden="false" customHeight="false" outlineLevel="0" collapsed="false">
      <c r="B6" s="9" t="s">
        <v>188</v>
      </c>
      <c r="D6" s="19" t="n">
        <f aca="false">Assumptions!$D$24</f>
        <v>50</v>
      </c>
    </row>
    <row r="7" customFormat="false" ht="15" hidden="false" customHeight="false" outlineLevel="0" collapsed="false">
      <c r="B7" s="17" t="s">
        <v>189</v>
      </c>
      <c r="D7" s="18" t="n">
        <f aca="false">Assumptions!$D$64*$D$6</f>
        <v>450</v>
      </c>
    </row>
    <row r="8" customFormat="false" ht="15" hidden="false" customHeight="false" outlineLevel="0" collapsed="false">
      <c r="B8" s="9" t="s">
        <v>190</v>
      </c>
      <c r="D8" s="19" t="n">
        <f aca="false">IF(Assumptions!$D$152&gt;0,Assumptions!$D$152*($D$7+Assumptions!$D$76+Assumptions!$D$78)/(1-Assumptions!$D$77*Assumptions!$D$152),0)</f>
        <v>0</v>
      </c>
    </row>
    <row r="9" customFormat="false" ht="15" hidden="false" customHeight="false" outlineLevel="0" collapsed="false">
      <c r="B9" s="9" t="s">
        <v>191</v>
      </c>
      <c r="D9" s="19" t="n">
        <f aca="false">IF(Assumptions!$D$152&gt;0,Assumptions!$D$87*$D$6,IF(Assumptions!$D$142=1,0,Assumptions!$D$87*$D$6))</f>
        <v>50</v>
      </c>
    </row>
    <row r="10" customFormat="false" ht="15" hidden="false" customHeight="false" outlineLevel="0" collapsed="false">
      <c r="B10" s="9" t="s">
        <v>192</v>
      </c>
      <c r="D10" s="19" t="n">
        <f aca="false">IF(Assumptions!$D$152&gt;0,$D$8-$D$9,IF(Assumptions!$D$142=1,0,Assumptions!$D$82*$D$6))</f>
        <v>225</v>
      </c>
    </row>
    <row r="11" customFormat="false" ht="15" hidden="false" customHeight="false" outlineLevel="0" collapsed="false">
      <c r="B11" s="9" t="s">
        <v>193</v>
      </c>
      <c r="D11" s="19" t="n">
        <f aca="false">Assumptions!$D$77*($D$10+$D$9)</f>
        <v>5.5</v>
      </c>
    </row>
    <row r="13" customFormat="false" ht="15" hidden="false" customHeight="false" outlineLevel="0" collapsed="false">
      <c r="B13" s="7" t="s">
        <v>194</v>
      </c>
      <c r="C13" s="8"/>
      <c r="D13" s="8"/>
      <c r="E13" s="8"/>
      <c r="F13" s="8"/>
      <c r="G13" s="8"/>
      <c r="H13" s="8"/>
      <c r="I13" s="8"/>
      <c r="J13" s="8"/>
      <c r="K13" s="8"/>
      <c r="L13" s="8"/>
    </row>
    <row r="14" customFormat="false" ht="15" hidden="false" customHeight="false" outlineLevel="0" collapsed="false">
      <c r="B14" s="9" t="s">
        <v>195</v>
      </c>
      <c r="D14" s="19" t="n">
        <f aca="false">$D$7-Assumptions!$D$37</f>
        <v>415</v>
      </c>
    </row>
    <row r="15" customFormat="false" ht="15" hidden="false" customHeight="false" outlineLevel="0" collapsed="false">
      <c r="B15" s="9" t="s">
        <v>196</v>
      </c>
      <c r="D15" s="19" t="n">
        <f aca="false">Assumptions!$D$37</f>
        <v>35</v>
      </c>
    </row>
    <row r="16" customFormat="false" ht="15" hidden="false" customHeight="false" outlineLevel="0" collapsed="false">
      <c r="B16" s="9" t="s">
        <v>197</v>
      </c>
      <c r="D16" s="19" t="n">
        <f aca="false">Assumptions!$D$76</f>
        <v>9.5</v>
      </c>
    </row>
    <row r="17" customFormat="false" ht="15" hidden="false" customHeight="false" outlineLevel="0" collapsed="false">
      <c r="B17" s="9" t="s">
        <v>198</v>
      </c>
      <c r="D17" s="19" t="n">
        <f aca="false">$D$11</f>
        <v>5.5</v>
      </c>
    </row>
    <row r="18" customFormat="false" ht="15" hidden="false" customHeight="false" outlineLevel="0" collapsed="false">
      <c r="B18" s="9" t="s">
        <v>199</v>
      </c>
      <c r="D18" s="19" t="n">
        <f aca="false">Assumptions!$D$78</f>
        <v>10</v>
      </c>
    </row>
    <row r="19" customFormat="false" ht="15" hidden="false" customHeight="false" outlineLevel="0" collapsed="false">
      <c r="B19" s="17" t="s">
        <v>200</v>
      </c>
      <c r="D19" s="18" t="n">
        <f aca="false">$D$14+$D$15+$D$16+$D$17+$D$18</f>
        <v>475</v>
      </c>
    </row>
    <row r="20" customFormat="false" ht="15" hidden="false" customHeight="false" outlineLevel="0" collapsed="false">
      <c r="B20" s="7" t="s">
        <v>201</v>
      </c>
      <c r="C20" s="8"/>
      <c r="D20" s="8"/>
      <c r="E20" s="8"/>
      <c r="F20" s="8"/>
      <c r="G20" s="8"/>
      <c r="H20" s="8"/>
      <c r="I20" s="8"/>
      <c r="J20" s="8"/>
      <c r="K20" s="8"/>
      <c r="L20" s="8"/>
    </row>
    <row r="21" customFormat="false" ht="15" hidden="false" customHeight="false" outlineLevel="0" collapsed="false">
      <c r="B21" s="9" t="s">
        <v>192</v>
      </c>
      <c r="D21" s="19" t="n">
        <f aca="false">$D$10</f>
        <v>225</v>
      </c>
    </row>
    <row r="22" customFormat="false" ht="15" hidden="false" customHeight="false" outlineLevel="0" collapsed="false">
      <c r="B22" s="9" t="s">
        <v>191</v>
      </c>
      <c r="D22" s="19" t="n">
        <f aca="false">$D$9</f>
        <v>50</v>
      </c>
    </row>
    <row r="23" customFormat="false" ht="15" hidden="false" customHeight="false" outlineLevel="0" collapsed="false">
      <c r="B23" s="9" t="s">
        <v>202</v>
      </c>
      <c r="D23" s="19" t="n">
        <f aca="false">0</f>
        <v>0</v>
      </c>
    </row>
    <row r="24" customFormat="false" ht="15" hidden="false" customHeight="false" outlineLevel="0" collapsed="false">
      <c r="B24" s="9" t="s">
        <v>203</v>
      </c>
      <c r="D24" s="19" t="n">
        <f aca="false">$D$19-$D$21-$D$22-$D$23</f>
        <v>200</v>
      </c>
    </row>
    <row r="25" customFormat="false" ht="15" hidden="false" customHeight="false" outlineLevel="0" collapsed="false">
      <c r="B25" s="9" t="s">
        <v>204</v>
      </c>
      <c r="D25" s="19" t="n">
        <f aca="false">Assumptions!$D$107</f>
        <v>10</v>
      </c>
    </row>
    <row r="26" customFormat="false" ht="15" hidden="false" customHeight="false" outlineLevel="0" collapsed="false">
      <c r="B26" s="17" t="s">
        <v>205</v>
      </c>
      <c r="D26" s="18" t="n">
        <f aca="false">$D$24-$D$25</f>
        <v>190</v>
      </c>
    </row>
    <row r="27" customFormat="false" ht="15" hidden="false" customHeight="false" outlineLevel="0" collapsed="false">
      <c r="B27" s="17" t="s">
        <v>206</v>
      </c>
      <c r="D27" s="18" t="n">
        <f aca="false">$D$21+$D$22+$D$23+$D$26+$D$25</f>
        <v>475</v>
      </c>
    </row>
    <row r="28" customFormat="false" ht="15" hidden="false" customHeight="false" outlineLevel="0" collapsed="false">
      <c r="B28" s="9" t="s">
        <v>207</v>
      </c>
      <c r="D28" s="19" t="n">
        <f aca="false">$D$27-$D$19</f>
        <v>0</v>
      </c>
    </row>
    <row r="29" customFormat="false" ht="15" hidden="false" customHeight="false" outlineLevel="0" collapsed="false">
      <c r="B29" s="7" t="s">
        <v>208</v>
      </c>
      <c r="C29" s="8"/>
      <c r="D29" s="8"/>
      <c r="E29" s="8"/>
      <c r="F29" s="8"/>
      <c r="G29" s="8"/>
      <c r="H29" s="8"/>
      <c r="I29" s="8"/>
      <c r="J29" s="8"/>
      <c r="K29" s="8"/>
      <c r="L29" s="8"/>
    </row>
    <row r="30" customFormat="false" ht="15" hidden="false" customHeight="false" outlineLevel="0" collapsed="false">
      <c r="B30" s="9" t="s">
        <v>209</v>
      </c>
      <c r="D30" s="19" t="n">
        <f aca="false">$D$21+$D$22+$D$23</f>
        <v>275</v>
      </c>
    </row>
    <row r="31" customFormat="false" ht="15" hidden="false" customHeight="false" outlineLevel="0" collapsed="false">
      <c r="B31" s="9" t="s">
        <v>210</v>
      </c>
      <c r="C31" s="6" t="s">
        <v>79</v>
      </c>
      <c r="D31" s="23" t="n">
        <f aca="false">$D$30/$D$6</f>
        <v>5.5</v>
      </c>
    </row>
    <row r="32" customFormat="false" ht="15" hidden="false" customHeight="false" outlineLevel="0" collapsed="false">
      <c r="B32" s="9" t="s">
        <v>211</v>
      </c>
      <c r="D32" s="19" t="n">
        <f aca="false">$D$30-$D$18</f>
        <v>265</v>
      </c>
    </row>
    <row r="33" customFormat="false" ht="15" hidden="false" customHeight="false" outlineLevel="0" collapsed="false">
      <c r="B33" s="9" t="s">
        <v>212</v>
      </c>
      <c r="C33" s="6" t="s">
        <v>79</v>
      </c>
      <c r="D33" s="24" t="n">
        <f aca="false">$D$32/$D$6</f>
        <v>5.3</v>
      </c>
    </row>
    <row r="34" customFormat="false" ht="15" hidden="false" customHeight="false" outlineLevel="0" collapsed="false">
      <c r="B34" s="9" t="s">
        <v>213</v>
      </c>
      <c r="D34" s="14" t="n">
        <f aca="false">$D$24/$D$19</f>
        <v>0.421052631578947</v>
      </c>
    </row>
    <row r="35" customFormat="false" ht="15" hidden="false" customHeight="false" outlineLevel="0" collapsed="false">
      <c r="B35" s="9" t="s">
        <v>214</v>
      </c>
      <c r="D35" s="14" t="n">
        <f aca="false">$D$30/$D$19</f>
        <v>0.578947368421053</v>
      </c>
    </row>
    <row r="36" customFormat="false" ht="15" hidden="false" customHeight="false" outlineLevel="0" collapsed="false">
      <c r="B36" s="9" t="s">
        <v>215</v>
      </c>
      <c r="D36" s="14" t="n">
        <f aca="false">$D$30/$D$7</f>
        <v>0.611111111111111</v>
      </c>
    </row>
    <row r="37" customFormat="false" ht="15" hidden="false" customHeight="false" outlineLevel="0" collapsed="false">
      <c r="B37" s="9" t="s">
        <v>216</v>
      </c>
      <c r="D37" s="19" t="n">
        <f aca="false">$D$16+$D$17</f>
        <v>15</v>
      </c>
    </row>
    <row r="38" customFormat="false" ht="15" hidden="false" customHeight="false" outlineLevel="0" collapsed="false">
      <c r="B38" s="9" t="s">
        <v>217</v>
      </c>
      <c r="D38" s="25" t="n">
        <f aca="false">$D$37/$D$7</f>
        <v>0.0333333333333333</v>
      </c>
    </row>
    <row r="39" customFormat="false" ht="15" hidden="false" customHeight="false" outlineLevel="0" collapsed="false">
      <c r="B39" s="9" t="s">
        <v>218</v>
      </c>
      <c r="D39" s="25" t="n">
        <f aca="false">$D$37/$D$24</f>
        <v>0.075</v>
      </c>
    </row>
    <row r="40" customFormat="false" ht="15" hidden="false" customHeight="false" outlineLevel="0" collapsed="false">
      <c r="B40" s="9" t="s">
        <v>219</v>
      </c>
      <c r="D40" s="19" t="n">
        <f aca="false">$D$24+(Assumptions!$D$72-Assumptions!$D$64)*$D$6</f>
        <v>250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L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0"/>
    <col collapsed="false" customWidth="true" hidden="false" outlineLevel="0" max="3" min="3" style="0" width="12"/>
    <col collapsed="false" customWidth="true" hidden="false" outlineLevel="0" max="4" min="4" style="0" width="14"/>
    <col collapsed="false" customWidth="true" hidden="false" outlineLevel="0" max="12" min="5" style="0" width="12"/>
  </cols>
  <sheetData>
    <row r="1" customFormat="false" ht="6" hidden="false" customHeight="true" outlineLevel="0" collapsed="false"/>
    <row r="2" customFormat="false" ht="17.35" hidden="false" customHeight="false" outlineLevel="0" collapsed="false">
      <c r="B2" s="5" t="s">
        <v>220</v>
      </c>
    </row>
    <row r="3" customFormat="false" ht="15" hidden="false" customHeight="false" outlineLevel="0" collapsed="false">
      <c r="B3" s="6" t="s">
        <v>221</v>
      </c>
    </row>
    <row r="5" customFormat="false" ht="15" hidden="false" customHeight="false" outlineLevel="0" collapsed="false">
      <c r="B5" s="7" t="s">
        <v>222</v>
      </c>
      <c r="C5" s="8"/>
      <c r="D5" s="8"/>
      <c r="E5" s="8"/>
      <c r="F5" s="8"/>
      <c r="G5" s="8"/>
      <c r="H5" s="8"/>
      <c r="I5" s="8"/>
      <c r="J5" s="8"/>
      <c r="K5" s="8"/>
      <c r="L5" s="8"/>
    </row>
    <row r="6" customFormat="false" ht="15" hidden="false" customHeight="false" outlineLevel="0" collapsed="false">
      <c r="B6" s="7" t="s">
        <v>178</v>
      </c>
      <c r="E6" s="30" t="n">
        <v>0</v>
      </c>
      <c r="F6" s="30" t="n">
        <v>1</v>
      </c>
      <c r="G6" s="30" t="n">
        <v>2</v>
      </c>
      <c r="H6" s="30" t="n">
        <v>3</v>
      </c>
      <c r="I6" s="30" t="n">
        <v>4</v>
      </c>
      <c r="J6" s="30" t="n">
        <v>5</v>
      </c>
      <c r="K6" s="30" t="n">
        <v>6</v>
      </c>
      <c r="L6" s="30" t="n">
        <v>7</v>
      </c>
    </row>
    <row r="7" customFormat="false" ht="15" hidden="false" customHeight="false" outlineLevel="0" collapsed="false">
      <c r="B7" s="9" t="s">
        <v>223</v>
      </c>
      <c r="E7" s="19" t="n">
        <f aca="false">Assumptions!$D$13</f>
        <v>320</v>
      </c>
      <c r="F7" s="19" t="n">
        <f aca="false">$E$7*(1+Assumptions!$F$165)</f>
        <v>336</v>
      </c>
      <c r="G7" s="19" t="n">
        <f aca="false">$F$7*(1+Assumptions!$G$165)</f>
        <v>356.16</v>
      </c>
      <c r="H7" s="19" t="n">
        <f aca="false">$G$7*(1+Assumptions!$H$165)</f>
        <v>334.7904</v>
      </c>
      <c r="I7" s="19" t="n">
        <f aca="false">$H$7*(1+Assumptions!$I$165)</f>
        <v>358.225728</v>
      </c>
      <c r="J7" s="19" t="n">
        <f aca="false">$I$7*(1+Assumptions!$J$165)</f>
        <v>376.1370144</v>
      </c>
      <c r="K7" s="19" t="n">
        <f aca="false">$J$7*(1+Assumptions!$K$165)</f>
        <v>391.182494976</v>
      </c>
      <c r="L7" s="19" t="n">
        <f aca="false">$K$7*(1+Assumptions!$L$165)</f>
        <v>406.82979477504</v>
      </c>
    </row>
    <row r="8" customFormat="false" ht="15" hidden="false" customHeight="false" outlineLevel="0" collapsed="false">
      <c r="B8" s="9" t="s">
        <v>224</v>
      </c>
      <c r="E8" s="25" t="n">
        <f aca="false">Assumptions!$D$25</f>
        <v>0.15625</v>
      </c>
      <c r="F8" s="25" t="n">
        <f aca="false">Assumptions!$D$25+Assumptions!$D$136*Assumptions!$F$166+Assumptions!$F$167</f>
        <v>0.1625</v>
      </c>
      <c r="G8" s="25" t="n">
        <f aca="false">Assumptions!$D$25+Assumptions!$D$136*Assumptions!$G$166+Assumptions!$G$167</f>
        <v>0.17</v>
      </c>
      <c r="H8" s="25" t="n">
        <f aca="false">Assumptions!$D$25+Assumptions!$D$136*Assumptions!$H$166+Assumptions!$H$167</f>
        <v>0.145</v>
      </c>
      <c r="I8" s="25" t="n">
        <f aca="false">Assumptions!$D$25+Assumptions!$D$136*Assumptions!$I$166+Assumptions!$I$167</f>
        <v>0.165</v>
      </c>
      <c r="J8" s="25" t="n">
        <f aca="false">Assumptions!$D$25+Assumptions!$D$136*Assumptions!$J$166+Assumptions!$J$167</f>
        <v>0.175</v>
      </c>
      <c r="K8" s="25" t="n">
        <f aca="false">Assumptions!$D$25+Assumptions!$D$136*Assumptions!$K$166+Assumptions!$K$167</f>
        <v>0.175</v>
      </c>
      <c r="L8" s="25" t="n">
        <f aca="false">Assumptions!$D$25+Assumptions!$D$136*Assumptions!$L$166+Assumptions!$L$167</f>
        <v>0.175</v>
      </c>
    </row>
    <row r="9" customFormat="false" ht="15" hidden="false" customHeight="false" outlineLevel="0" collapsed="false">
      <c r="B9" s="9" t="s">
        <v>225</v>
      </c>
      <c r="E9" s="19" t="n">
        <f aca="false">$E$7*$E$8</f>
        <v>50</v>
      </c>
      <c r="F9" s="19" t="n">
        <f aca="false">$F$7*$F$8</f>
        <v>54.6</v>
      </c>
      <c r="G9" s="19" t="n">
        <f aca="false">$G$7*$G$8</f>
        <v>60.5472</v>
      </c>
      <c r="H9" s="19" t="n">
        <f aca="false">$H$7*$H$8</f>
        <v>48.544608</v>
      </c>
      <c r="I9" s="19" t="n">
        <f aca="false">$I$7*$I$8</f>
        <v>59.10724512</v>
      </c>
      <c r="J9" s="19" t="n">
        <f aca="false">$J$7*$J$8</f>
        <v>65.82397752</v>
      </c>
      <c r="K9" s="19" t="n">
        <f aca="false">$K$7*$K$8</f>
        <v>68.4569366208</v>
      </c>
      <c r="L9" s="19" t="n">
        <f aca="false">$L$7*$L$8</f>
        <v>71.195214085632</v>
      </c>
    </row>
    <row r="10" customFormat="false" ht="15" hidden="false" customHeight="false" outlineLevel="0" collapsed="false">
      <c r="B10" s="9" t="s">
        <v>226</v>
      </c>
      <c r="E10" s="19" t="n">
        <f aca="false">IF(AND(Assumptions!$D$115=1,$E$6&gt;=Assumptions!$D$116),Assumptions!$D$117*(1+Assumptions!$D$123)^($E$6-Assumptions!$D$116),0)</f>
        <v>0</v>
      </c>
      <c r="F10" s="19" t="n">
        <f aca="false">IF(AND(Assumptions!$D$115=1,$F$6&gt;=Assumptions!$D$116),Assumptions!$D$117*(1+Assumptions!$D$123)^($F$6-Assumptions!$D$116),0)</f>
        <v>0</v>
      </c>
      <c r="G10" s="19" t="n">
        <f aca="false">IF(AND(Assumptions!$D$115=1,$G$6&gt;=Assumptions!$D$116),Assumptions!$D$117*(1+Assumptions!$D$123)^($G$6-Assumptions!$D$116),0)</f>
        <v>60</v>
      </c>
      <c r="H10" s="19" t="n">
        <f aca="false">IF(AND(Assumptions!$D$115=1,$H$6&gt;=Assumptions!$D$116),Assumptions!$D$117*(1+Assumptions!$D$123)^($H$6-Assumptions!$D$116),0)</f>
        <v>62.4</v>
      </c>
      <c r="I10" s="19" t="n">
        <f aca="false">IF(AND(Assumptions!$D$115=1,$I$6&gt;=Assumptions!$D$116),Assumptions!$D$117*(1+Assumptions!$D$123)^($I$6-Assumptions!$D$116),0)</f>
        <v>64.896</v>
      </c>
      <c r="J10" s="19" t="n">
        <f aca="false">IF(AND(Assumptions!$D$115=1,$J$6&gt;=Assumptions!$D$116),Assumptions!$D$117*(1+Assumptions!$D$123)^($J$6-Assumptions!$D$116),0)</f>
        <v>67.49184</v>
      </c>
      <c r="K10" s="19" t="n">
        <f aca="false">IF(AND(Assumptions!$D$115=1,$K$6&gt;=Assumptions!$D$116),Assumptions!$D$117*(1+Assumptions!$D$123)^($K$6-Assumptions!$D$116),0)</f>
        <v>70.1915136</v>
      </c>
      <c r="L10" s="19" t="n">
        <f aca="false">IF(AND(Assumptions!$D$115=1,$L$6&gt;=Assumptions!$D$116),Assumptions!$D$117*(1+Assumptions!$D$123)^($L$6-Assumptions!$D$116),0)</f>
        <v>72.999174144</v>
      </c>
    </row>
    <row r="11" customFormat="false" ht="15" hidden="false" customHeight="false" outlineLevel="0" collapsed="false">
      <c r="B11" s="9" t="s">
        <v>227</v>
      </c>
      <c r="E11" s="19" t="n">
        <f aca="false">$E$10*Assumptions!$D$118/Assumptions!$D$117</f>
        <v>0</v>
      </c>
      <c r="F11" s="19" t="n">
        <f aca="false">$F$10*Assumptions!$D$118/Assumptions!$D$117</f>
        <v>0</v>
      </c>
      <c r="G11" s="19" t="n">
        <f aca="false">$G$10*Assumptions!$D$118/Assumptions!$D$117</f>
        <v>8</v>
      </c>
      <c r="H11" s="19" t="n">
        <f aca="false">$H$10*Assumptions!$D$118/Assumptions!$D$117</f>
        <v>8.32</v>
      </c>
      <c r="I11" s="19" t="n">
        <f aca="false">$I$10*Assumptions!$D$118/Assumptions!$D$117</f>
        <v>8.6528</v>
      </c>
      <c r="J11" s="19" t="n">
        <f aca="false">$J$10*Assumptions!$D$118/Assumptions!$D$117</f>
        <v>8.998912</v>
      </c>
      <c r="K11" s="19" t="n">
        <f aca="false">$K$10*Assumptions!$D$118/Assumptions!$D$117</f>
        <v>9.35886848</v>
      </c>
      <c r="L11" s="19" t="n">
        <f aca="false">$L$10*Assumptions!$D$118/Assumptions!$D$117</f>
        <v>9.7332232192</v>
      </c>
    </row>
    <row r="12" customFormat="false" ht="15" hidden="false" customHeight="false" outlineLevel="0" collapsed="false">
      <c r="B12" s="9" t="s">
        <v>228</v>
      </c>
      <c r="E12" s="19" t="n">
        <f aca="false">0</f>
        <v>0</v>
      </c>
      <c r="F12" s="19" t="n">
        <f aca="false">IF(AND(Assumptions!$D$115=1,$F$6&gt;Assumptions!$D$116),Assumptions!$F$168,0)</f>
        <v>0</v>
      </c>
      <c r="G12" s="19" t="n">
        <f aca="false">IF(AND(Assumptions!$D$115=1,$G$6&gt;Assumptions!$D$116),Assumptions!$G$168,0)</f>
        <v>0</v>
      </c>
      <c r="H12" s="19" t="n">
        <f aca="false">IF(AND(Assumptions!$D$115=1,$H$6&gt;Assumptions!$D$116),Assumptions!$H$168,0)</f>
        <v>1</v>
      </c>
      <c r="I12" s="19" t="n">
        <f aca="false">IF(AND(Assumptions!$D$115=1,$I$6&gt;Assumptions!$D$116),Assumptions!$I$168,0)</f>
        <v>2.5</v>
      </c>
      <c r="J12" s="19" t="n">
        <f aca="false">IF(AND(Assumptions!$D$115=1,$J$6&gt;Assumptions!$D$116),Assumptions!$J$168,0)</f>
        <v>3</v>
      </c>
      <c r="K12" s="19" t="n">
        <f aca="false">IF(AND(Assumptions!$D$115=1,$K$6&gt;Assumptions!$D$116),Assumptions!$K$168,0)</f>
        <v>3</v>
      </c>
      <c r="L12" s="19" t="n">
        <f aca="false">IF(AND(Assumptions!$D$115=1,$L$6&gt;Assumptions!$D$116),Assumptions!$L$168,0)</f>
        <v>3</v>
      </c>
    </row>
    <row r="13" customFormat="false" ht="15" hidden="false" customHeight="false" outlineLevel="0" collapsed="false">
      <c r="B13" s="17" t="s">
        <v>229</v>
      </c>
      <c r="E13" s="18" t="n">
        <f aca="false">$E$7+IF(AND(Assumptions!$D$115=1,$E$6&gt;Assumptions!$D$116),$E$10,0)</f>
        <v>320</v>
      </c>
      <c r="F13" s="18" t="n">
        <f aca="false">$F$7+IF(AND(Assumptions!$D$115=1,$F$6&gt;Assumptions!$D$116),$F$10,0)</f>
        <v>336</v>
      </c>
      <c r="G13" s="18" t="n">
        <f aca="false">$G$7+IF(AND(Assumptions!$D$115=1,$G$6&gt;Assumptions!$D$116),$G$10,0)</f>
        <v>356.16</v>
      </c>
      <c r="H13" s="18" t="n">
        <f aca="false">$H$7+IF(AND(Assumptions!$D$115=1,$H$6&gt;Assumptions!$D$116),$H$10,0)</f>
        <v>397.1904</v>
      </c>
      <c r="I13" s="18" t="n">
        <f aca="false">$I$7+IF(AND(Assumptions!$D$115=1,$I$6&gt;Assumptions!$D$116),$I$10,0)</f>
        <v>423.121728</v>
      </c>
      <c r="J13" s="18" t="n">
        <f aca="false">$J$7+IF(AND(Assumptions!$D$115=1,$J$6&gt;Assumptions!$D$116),$J$10,0)</f>
        <v>443.6288544</v>
      </c>
      <c r="K13" s="18" t="n">
        <f aca="false">$K$7+IF(AND(Assumptions!$D$115=1,$K$6&gt;Assumptions!$D$116),$K$10,0)</f>
        <v>461.374008576</v>
      </c>
      <c r="L13" s="18" t="n">
        <f aca="false">$L$7+IF(AND(Assumptions!$D$115=1,$L$6&gt;Assumptions!$D$116),$L$10,0)</f>
        <v>479.82896891904</v>
      </c>
    </row>
    <row r="14" customFormat="false" ht="15" hidden="false" customHeight="false" outlineLevel="0" collapsed="false">
      <c r="B14" s="17" t="s">
        <v>230</v>
      </c>
      <c r="E14" s="18" t="n">
        <f aca="false">$E$9+IF(AND(Assumptions!$D$115=1,$E$6&gt;Assumptions!$D$116),$E$11+$E$12,0)</f>
        <v>50</v>
      </c>
      <c r="F14" s="18" t="n">
        <f aca="false">$F$9+IF(AND(Assumptions!$D$115=1,$F$6&gt;Assumptions!$D$116),$F$11+$F$12,0)</f>
        <v>54.6</v>
      </c>
      <c r="G14" s="18" t="n">
        <f aca="false">$G$9+IF(AND(Assumptions!$D$115=1,$G$6&gt;Assumptions!$D$116),$G$11+$G$12,0)</f>
        <v>60.5472</v>
      </c>
      <c r="H14" s="18" t="n">
        <f aca="false">$H$9+IF(AND(Assumptions!$D$115=1,$H$6&gt;Assumptions!$D$116),$H$11+$H$12,0)</f>
        <v>57.864608</v>
      </c>
      <c r="I14" s="18" t="n">
        <f aca="false">$I$9+IF(AND(Assumptions!$D$115=1,$I$6&gt;Assumptions!$D$116),$I$11+$I$12,0)</f>
        <v>70.26004512</v>
      </c>
      <c r="J14" s="18" t="n">
        <f aca="false">$J$9+IF(AND(Assumptions!$D$115=1,$J$6&gt;Assumptions!$D$116),$J$11+$J$12,0)</f>
        <v>77.82288952</v>
      </c>
      <c r="K14" s="18" t="n">
        <f aca="false">$K$9+IF(AND(Assumptions!$D$115=1,$K$6&gt;Assumptions!$D$116),$K$11+$K$12,0)</f>
        <v>80.8158051008</v>
      </c>
      <c r="L14" s="18" t="n">
        <f aca="false">$L$9+IF(AND(Assumptions!$D$115=1,$L$6&gt;Assumptions!$D$116),$L$11+$L$12,0)</f>
        <v>83.928437304832</v>
      </c>
    </row>
    <row r="15" customFormat="false" ht="15" hidden="false" customHeight="false" outlineLevel="0" collapsed="false">
      <c r="B15" s="9" t="s">
        <v>231</v>
      </c>
      <c r="E15" s="14" t="n">
        <f aca="false">$E$14/$E$13</f>
        <v>0.15625</v>
      </c>
      <c r="F15" s="14" t="n">
        <f aca="false">$F$14/$F$13</f>
        <v>0.1625</v>
      </c>
      <c r="G15" s="14" t="n">
        <f aca="false">$G$14/$G$13</f>
        <v>0.17</v>
      </c>
      <c r="H15" s="14" t="n">
        <f aca="false">$H$14/$H$13</f>
        <v>0.145684810106186</v>
      </c>
      <c r="I15" s="14" t="n">
        <f aca="false">$I$14/$I$13</f>
        <v>0.166051612267948</v>
      </c>
      <c r="J15" s="14" t="n">
        <f aca="false">$J$14/$J$13</f>
        <v>0.175423417003058</v>
      </c>
      <c r="K15" s="14" t="n">
        <f aca="false">$K$14/$K$13</f>
        <v>0.175163324328201</v>
      </c>
      <c r="L15" s="14" t="n">
        <f aca="false">$L$14/$L$13</f>
        <v>0.174913235217761</v>
      </c>
    </row>
    <row r="16" customFormat="false" ht="15" hidden="false" customHeight="false" outlineLevel="0" collapsed="false">
      <c r="B16" s="9" t="s">
        <v>232</v>
      </c>
      <c r="E16" s="19" t="n">
        <f aca="false">Assumptions!$D$29*$E$13</f>
        <v>11.2</v>
      </c>
      <c r="F16" s="19" t="n">
        <f aca="false">Assumptions!$D$29*$F$13</f>
        <v>11.76</v>
      </c>
      <c r="G16" s="19" t="n">
        <f aca="false">Assumptions!$D$29*$G$13</f>
        <v>12.4656</v>
      </c>
      <c r="H16" s="19" t="n">
        <f aca="false">Assumptions!$D$29*$H$13</f>
        <v>13.901664</v>
      </c>
      <c r="I16" s="19" t="n">
        <f aca="false">Assumptions!$D$29*$I$13</f>
        <v>14.80926048</v>
      </c>
      <c r="J16" s="19" t="n">
        <f aca="false">Assumptions!$D$29*$J$13</f>
        <v>15.527009904</v>
      </c>
      <c r="K16" s="19" t="n">
        <f aca="false">Assumptions!$D$29*$K$13</f>
        <v>16.14809030016</v>
      </c>
      <c r="L16" s="19" t="n">
        <f aca="false">Assumptions!$D$29*$L$13</f>
        <v>16.7940139121664</v>
      </c>
    </row>
    <row r="17" customFormat="false" ht="15" hidden="false" customHeight="false" outlineLevel="0" collapsed="false">
      <c r="B17" s="9" t="s">
        <v>233</v>
      </c>
      <c r="E17" s="19" t="n">
        <f aca="false">Assumptions!$D$30*$E$13</f>
        <v>9.6</v>
      </c>
      <c r="F17" s="19" t="n">
        <f aca="false">Assumptions!$D$30*$F$13</f>
        <v>10.08</v>
      </c>
      <c r="G17" s="19" t="n">
        <f aca="false">Assumptions!$D$30*$G$13</f>
        <v>10.6848</v>
      </c>
      <c r="H17" s="19" t="n">
        <f aca="false">Assumptions!$D$30*$H$13</f>
        <v>11.915712</v>
      </c>
      <c r="I17" s="19" t="n">
        <f aca="false">Assumptions!$D$30*$I$13</f>
        <v>12.69365184</v>
      </c>
      <c r="J17" s="19" t="n">
        <f aca="false">Assumptions!$D$30*$J$13</f>
        <v>13.308865632</v>
      </c>
      <c r="K17" s="19" t="n">
        <f aca="false">Assumptions!$D$30*$K$13</f>
        <v>13.84122025728</v>
      </c>
      <c r="L17" s="19" t="n">
        <f aca="false">Assumptions!$D$30*$L$13</f>
        <v>14.3948690675712</v>
      </c>
    </row>
    <row r="18" customFormat="false" ht="15" hidden="false" customHeight="false" outlineLevel="0" collapsed="false">
      <c r="B18" s="9" t="s">
        <v>234</v>
      </c>
      <c r="E18" s="19" t="n">
        <f aca="false">Assumptions!$D$27*$E$13</f>
        <v>38.4</v>
      </c>
      <c r="F18" s="19" t="n">
        <f aca="false">Assumptions!$D$27*$F$13</f>
        <v>40.32</v>
      </c>
      <c r="G18" s="19" t="n">
        <f aca="false">Assumptions!$D$27*$G$13</f>
        <v>42.7392</v>
      </c>
      <c r="H18" s="19" t="n">
        <f aca="false">Assumptions!$D$27*$H$13</f>
        <v>47.662848</v>
      </c>
      <c r="I18" s="19" t="n">
        <f aca="false">Assumptions!$D$27*$I$13</f>
        <v>50.77460736</v>
      </c>
      <c r="J18" s="19" t="n">
        <f aca="false">Assumptions!$D$27*$J$13</f>
        <v>53.235462528</v>
      </c>
      <c r="K18" s="19" t="n">
        <f aca="false">Assumptions!$D$27*$K$13</f>
        <v>55.36488102912</v>
      </c>
      <c r="L18" s="19" t="n">
        <f aca="false">Assumptions!$D$27*$L$13</f>
        <v>57.5794762702848</v>
      </c>
    </row>
    <row r="19" customFormat="false" ht="15" hidden="false" customHeight="false" outlineLevel="0" collapsed="false">
      <c r="B19" s="9" t="s">
        <v>235</v>
      </c>
      <c r="E19" s="19" t="n">
        <f aca="false">0</f>
        <v>0</v>
      </c>
      <c r="F19" s="19" t="n">
        <f aca="false">IF(AND(Assumptions!$D$115=1,$F$6=Assumptions!$D$116),Assumptions!$D$117*Assumptions!$D$27,0)</f>
        <v>0</v>
      </c>
      <c r="G19" s="19" t="n">
        <f aca="false">IF(AND(Assumptions!$D$115=1,$G$6=Assumptions!$D$116),Assumptions!$D$117*Assumptions!$D$27,0)</f>
        <v>7.2</v>
      </c>
      <c r="H19" s="19" t="n">
        <f aca="false">IF(AND(Assumptions!$D$115=1,$H$6=Assumptions!$D$116),Assumptions!$D$117*Assumptions!$D$27,0)</f>
        <v>0</v>
      </c>
      <c r="I19" s="19" t="n">
        <f aca="false">IF(AND(Assumptions!$D$115=1,$I$6=Assumptions!$D$116),Assumptions!$D$117*Assumptions!$D$27,0)</f>
        <v>0</v>
      </c>
      <c r="J19" s="19" t="n">
        <f aca="false">IF(AND(Assumptions!$D$115=1,$J$6=Assumptions!$D$116),Assumptions!$D$117*Assumptions!$D$27,0)</f>
        <v>0</v>
      </c>
      <c r="K19" s="19" t="n">
        <f aca="false">IF(AND(Assumptions!$D$115=1,$K$6=Assumptions!$D$116),Assumptions!$D$117*Assumptions!$D$27,0)</f>
        <v>0</v>
      </c>
      <c r="L19" s="19" t="n">
        <f aca="false">IF(AND(Assumptions!$D$115=1,$L$6=Assumptions!$D$116),Assumptions!$D$117*Assumptions!$D$27,0)</f>
        <v>0</v>
      </c>
    </row>
    <row r="20" customFormat="false" ht="15" hidden="false" customHeight="false" outlineLevel="0" collapsed="false">
      <c r="B20" s="9" t="s">
        <v>236</v>
      </c>
      <c r="E20" s="19" t="n">
        <f aca="false">$E$18+$E$19</f>
        <v>38.4</v>
      </c>
      <c r="F20" s="19" t="n">
        <f aca="false">$F$18+$F$19</f>
        <v>40.32</v>
      </c>
      <c r="G20" s="19" t="n">
        <f aca="false">$G$18+$G$19</f>
        <v>49.9392</v>
      </c>
      <c r="H20" s="19" t="n">
        <f aca="false">$H$18+$H$19</f>
        <v>47.662848</v>
      </c>
      <c r="I20" s="19" t="n">
        <f aca="false">$I$18+$I$19</f>
        <v>50.77460736</v>
      </c>
      <c r="J20" s="19" t="n">
        <f aca="false">$J$18+$J$19</f>
        <v>53.235462528</v>
      </c>
      <c r="K20" s="19" t="n">
        <f aca="false">$K$18+$K$19</f>
        <v>55.36488102912</v>
      </c>
      <c r="L20" s="19" t="n">
        <f aca="false">$L$18+$L$19</f>
        <v>57.5794762702848</v>
      </c>
    </row>
    <row r="21" customFormat="false" ht="15" hidden="false" customHeight="false" outlineLevel="0" collapsed="false">
      <c r="B21" s="9" t="s">
        <v>237</v>
      </c>
      <c r="F21" s="19" t="n">
        <f aca="false">$F$20-$E$20-$F$19</f>
        <v>1.92</v>
      </c>
      <c r="G21" s="19" t="n">
        <f aca="false">$G$20-$F$20-$G$19</f>
        <v>2.4192</v>
      </c>
      <c r="H21" s="19" t="n">
        <f aca="false">$H$20-$G$20-$H$19</f>
        <v>-2.27635200000001</v>
      </c>
      <c r="I21" s="19" t="n">
        <f aca="false">$I$20-$H$20-$I$19</f>
        <v>3.11175936000001</v>
      </c>
      <c r="J21" s="19" t="n">
        <f aca="false">$J$20-$I$20-$J$19</f>
        <v>2.460855168</v>
      </c>
      <c r="K21" s="19" t="n">
        <f aca="false">$K$20-$J$20-$K$19</f>
        <v>2.12941850112</v>
      </c>
      <c r="L21" s="19" t="n">
        <f aca="false">$L$20-$K$20-$L$19</f>
        <v>2.2145952411648</v>
      </c>
    </row>
    <row r="23" customFormat="false" ht="15" hidden="false" customHeight="false" outlineLevel="0" collapsed="false">
      <c r="B23" s="7" t="s">
        <v>238</v>
      </c>
      <c r="C23" s="8"/>
      <c r="D23" s="8"/>
      <c r="E23" s="8"/>
      <c r="F23" s="8"/>
      <c r="G23" s="8"/>
      <c r="H23" s="8"/>
      <c r="I23" s="8"/>
      <c r="J23" s="8"/>
      <c r="K23" s="8"/>
      <c r="L23" s="8"/>
    </row>
    <row r="24" customFormat="false" ht="15" hidden="false" customHeight="false" outlineLevel="0" collapsed="false">
      <c r="B24" s="9" t="s">
        <v>239</v>
      </c>
      <c r="D24" s="19" t="n">
        <f aca="false">0.01*INDEX($E$13:$L$13,1,Exit!$D$6+1)</f>
        <v>4.436288544</v>
      </c>
    </row>
    <row r="25" customFormat="false" ht="15" hidden="false" customHeight="false" outlineLevel="0" collapsed="false">
      <c r="B25" s="9" t="s">
        <v>240</v>
      </c>
      <c r="D25" s="19" t="n">
        <f aca="false">$D$24*Assumptions!$D$131</f>
        <v>39.926596896</v>
      </c>
    </row>
    <row r="26" customFormat="false" ht="15" hidden="false" customHeight="false" outlineLevel="0" collapsed="false">
      <c r="B26" s="9" t="s">
        <v>241</v>
      </c>
      <c r="D26" s="14" t="n">
        <f aca="false">$H$9/$G$9-1</f>
        <v>-0.198235294117647</v>
      </c>
    </row>
    <row r="27" customFormat="false" ht="15" hidden="false" customHeight="false" outlineLevel="0" collapsed="false">
      <c r="B27" s="9" t="s">
        <v>242</v>
      </c>
      <c r="D27" s="19" t="n">
        <f aca="false">-$H$21</f>
        <v>2.27635200000001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L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0"/>
    <col collapsed="false" customWidth="true" hidden="false" outlineLevel="0" max="3" min="3" style="0" width="12"/>
    <col collapsed="false" customWidth="true" hidden="false" outlineLevel="0" max="4" min="4" style="0" width="14"/>
    <col collapsed="false" customWidth="true" hidden="false" outlineLevel="0" max="12" min="5" style="0" width="12"/>
  </cols>
  <sheetData>
    <row r="1" customFormat="false" ht="6" hidden="false" customHeight="true" outlineLevel="0" collapsed="false"/>
    <row r="2" customFormat="false" ht="17.35" hidden="false" customHeight="false" outlineLevel="0" collapsed="false">
      <c r="B2" s="5" t="s">
        <v>243</v>
      </c>
    </row>
    <row r="3" customFormat="false" ht="15" hidden="false" customHeight="false" outlineLevel="0" collapsed="false">
      <c r="B3" s="6" t="s">
        <v>244</v>
      </c>
    </row>
    <row r="5" customFormat="false" ht="15" hidden="false" customHeight="false" outlineLevel="0" collapsed="false">
      <c r="B5" s="7" t="s">
        <v>245</v>
      </c>
      <c r="C5" s="8"/>
      <c r="D5" s="8"/>
      <c r="E5" s="8"/>
      <c r="F5" s="8"/>
      <c r="G5" s="8"/>
      <c r="H5" s="8"/>
      <c r="I5" s="8"/>
      <c r="J5" s="8"/>
      <c r="K5" s="8"/>
      <c r="L5" s="8"/>
    </row>
    <row r="6" customFormat="false" ht="15" hidden="false" customHeight="false" outlineLevel="0" collapsed="false">
      <c r="B6" s="7" t="s">
        <v>178</v>
      </c>
      <c r="E6" s="30" t="n">
        <v>0</v>
      </c>
      <c r="F6" s="30" t="n">
        <v>1</v>
      </c>
      <c r="G6" s="30" t="n">
        <v>2</v>
      </c>
      <c r="H6" s="30" t="n">
        <v>3</v>
      </c>
      <c r="I6" s="30" t="n">
        <v>4</v>
      </c>
      <c r="J6" s="30" t="n">
        <v>5</v>
      </c>
      <c r="K6" s="30" t="n">
        <v>6</v>
      </c>
      <c r="L6" s="30" t="n">
        <v>7</v>
      </c>
    </row>
    <row r="7" customFormat="false" ht="15" hidden="false" customHeight="false" outlineLevel="0" collapsed="false">
      <c r="B7" s="9" t="s">
        <v>246</v>
      </c>
      <c r="F7" s="25" t="n">
        <f aca="false">Assumptions!$D$83+IF(AND(Assumptions!$D$145=1,Operating!$F$6&gt;Assumptions!$D$146),Assumptions!$D$148,0)</f>
        <v>0.045</v>
      </c>
      <c r="G7" s="25" t="n">
        <f aca="false">Assumptions!$D$83+IF(AND(Assumptions!$D$145=1,Operating!$G$6&gt;Assumptions!$D$146),Assumptions!$D$148,0)</f>
        <v>0.045</v>
      </c>
      <c r="H7" s="25" t="n">
        <f aca="false">Assumptions!$D$83+IF(AND(Assumptions!$D$145=1,Operating!$H$6&gt;Assumptions!$D$146),Assumptions!$D$148,0)</f>
        <v>0.045</v>
      </c>
      <c r="I7" s="25" t="n">
        <f aca="false">Assumptions!$D$83+IF(AND(Assumptions!$D$145=1,Operating!$I$6&gt;Assumptions!$D$146),Assumptions!$D$148,0)</f>
        <v>0.045</v>
      </c>
      <c r="J7" s="25" t="n">
        <f aca="false">Assumptions!$D$83+IF(AND(Assumptions!$D$145=1,Operating!$J$6&gt;Assumptions!$D$146),Assumptions!$D$148,0)</f>
        <v>0.045</v>
      </c>
      <c r="K7" s="25" t="n">
        <f aca="false">Assumptions!$D$83+IF(AND(Assumptions!$D$145=1,Operating!$K$6&gt;Assumptions!$D$146),Assumptions!$D$148,0)</f>
        <v>0.045</v>
      </c>
      <c r="L7" s="25" t="n">
        <f aca="false">Assumptions!$D$83+IF(AND(Assumptions!$D$145=1,Operating!$L$6&gt;Assumptions!$D$146),Assumptions!$D$148,0)</f>
        <v>0.045</v>
      </c>
    </row>
    <row r="8" customFormat="false" ht="15" hidden="false" customHeight="false" outlineLevel="0" collapsed="false">
      <c r="B8" s="9" t="s">
        <v>247</v>
      </c>
      <c r="F8" s="25" t="n">
        <f aca="false">Assumptions!$D$6+$F$7</f>
        <v>0.085</v>
      </c>
      <c r="G8" s="25" t="n">
        <f aca="false">Assumptions!$D$6+$G$7</f>
        <v>0.085</v>
      </c>
      <c r="H8" s="25" t="n">
        <f aca="false">Assumptions!$D$6+$H$7</f>
        <v>0.085</v>
      </c>
      <c r="I8" s="25" t="n">
        <f aca="false">Assumptions!$D$6+$I$7</f>
        <v>0.085</v>
      </c>
      <c r="J8" s="25" t="n">
        <f aca="false">Assumptions!$D$6+$J$7</f>
        <v>0.085</v>
      </c>
      <c r="K8" s="25" t="n">
        <f aca="false">Assumptions!$D$6+$K$7</f>
        <v>0.085</v>
      </c>
      <c r="L8" s="25" t="n">
        <f aca="false">Assumptions!$D$6+$L$7</f>
        <v>0.085</v>
      </c>
    </row>
    <row r="9" customFormat="false" ht="15" hidden="false" customHeight="false" outlineLevel="0" collapsed="false">
      <c r="B9" s="9" t="s">
        <v>248</v>
      </c>
      <c r="F9" s="32" t="n">
        <f aca="false">$E$26*$F$8</f>
        <v>19.125</v>
      </c>
      <c r="G9" s="32" t="n">
        <f aca="false">$F$26*$G$8</f>
        <v>18.546575</v>
      </c>
      <c r="H9" s="32" t="n">
        <f aca="false">$G$26*$H$8</f>
        <v>21.5688194875</v>
      </c>
      <c r="I9" s="32" t="n">
        <f aca="false">$H$26*$I$8</f>
        <v>20.7445913063437</v>
      </c>
      <c r="J9" s="32" t="n">
        <f aca="false">$I$26*$J$8</f>
        <v>19.4927713158537</v>
      </c>
      <c r="K9" s="32" t="n">
        <f aca="false">$J$26*$K$8</f>
        <v>18.4814416537281</v>
      </c>
      <c r="L9" s="32" t="n">
        <f aca="false">$K$26*$L$8</f>
        <v>18.2561916537281</v>
      </c>
    </row>
    <row r="10" customFormat="false" ht="15" hidden="false" customHeight="false" outlineLevel="0" collapsed="false">
      <c r="B10" s="9" t="s">
        <v>249</v>
      </c>
      <c r="F10" s="32" t="n">
        <f aca="false">$E$28*Assumptions!$D$88</f>
        <v>5.5</v>
      </c>
      <c r="G10" s="32" t="n">
        <f aca="false">$F$28*Assumptions!$D$88</f>
        <v>5.5</v>
      </c>
      <c r="H10" s="32" t="n">
        <f aca="false">$G$28*Assumptions!$D$88</f>
        <v>5.5</v>
      </c>
      <c r="I10" s="32" t="n">
        <f aca="false">$H$28*Assumptions!$D$88</f>
        <v>5.5</v>
      </c>
      <c r="J10" s="32" t="n">
        <f aca="false">$I$28*Assumptions!$D$88</f>
        <v>5.5</v>
      </c>
      <c r="K10" s="32" t="n">
        <f aca="false">$J$28*Assumptions!$D$88</f>
        <v>5.5</v>
      </c>
      <c r="L10" s="32" t="n">
        <f aca="false">$K$28*Assumptions!$D$88</f>
        <v>5.5</v>
      </c>
    </row>
    <row r="11" customFormat="false" ht="15" hidden="false" customHeight="false" outlineLevel="0" collapsed="false">
      <c r="B11" s="9" t="s">
        <v>250</v>
      </c>
      <c r="F11" s="32" t="n">
        <f aca="false">$E$29*(Assumptions!$D$6+Assumptions!$D$91)+(Assumptions!$D$90-$E$29)*Assumptions!$D$92</f>
        <v>0.2</v>
      </c>
      <c r="G11" s="32" t="n">
        <f aca="false">$F$29*(Assumptions!$D$6+Assumptions!$D$91)+(Assumptions!$D$90-$F$29)*Assumptions!$D$92</f>
        <v>0.2</v>
      </c>
      <c r="H11" s="32" t="n">
        <f aca="false">$G$29*(Assumptions!$D$6+Assumptions!$D$91)+(Assumptions!$D$90-$G$29)*Assumptions!$D$92</f>
        <v>0.2</v>
      </c>
      <c r="I11" s="32" t="n">
        <f aca="false">$H$29*(Assumptions!$D$6+Assumptions!$D$91)+(Assumptions!$D$90-$H$29)*Assumptions!$D$92</f>
        <v>0.2</v>
      </c>
      <c r="J11" s="32" t="n">
        <f aca="false">$I$29*(Assumptions!$D$6+Assumptions!$D$91)+(Assumptions!$D$90-$I$29)*Assumptions!$D$92</f>
        <v>0.2</v>
      </c>
      <c r="K11" s="32" t="n">
        <f aca="false">$J$29*(Assumptions!$D$6+Assumptions!$D$91)+(Assumptions!$D$90-$J$29)*Assumptions!$D$92</f>
        <v>0.2</v>
      </c>
      <c r="L11" s="32" t="n">
        <f aca="false">$K$29*(Assumptions!$D$6+Assumptions!$D$91)+(Assumptions!$D$90-$K$29)*Assumptions!$D$92</f>
        <v>0.2</v>
      </c>
    </row>
    <row r="12" customFormat="false" ht="15" hidden="false" customHeight="false" outlineLevel="0" collapsed="false">
      <c r="B12" s="9" t="s">
        <v>251</v>
      </c>
      <c r="F12" s="32" t="n">
        <f aca="false">$E$31*Assumptions!$D$9</f>
        <v>0.2</v>
      </c>
      <c r="G12" s="32" t="n">
        <f aca="false">$F$31*Assumptions!$D$9</f>
        <v>0.2911</v>
      </c>
      <c r="H12" s="32" t="n">
        <f aca="false">$G$31*Assumptions!$D$9</f>
        <v>0.24388365</v>
      </c>
      <c r="I12" s="32" t="n">
        <f aca="false">$H$31*Assumptions!$D$9</f>
        <v>0.340936042625</v>
      </c>
      <c r="J12" s="32" t="n">
        <f aca="false">$I$31*Assumptions!$D$9</f>
        <v>0.441545880115313</v>
      </c>
      <c r="K12" s="32" t="n">
        <f aca="false">$J$31*Assumptions!$D$9</f>
        <v>0.754879761500409</v>
      </c>
      <c r="L12" s="32" t="n">
        <f aca="false">$K$31*Assumptions!$D$9</f>
        <v>1.32813698415186</v>
      </c>
    </row>
    <row r="13" customFormat="false" ht="15" hidden="false" customHeight="false" outlineLevel="0" collapsed="false">
      <c r="B13" s="17" t="s">
        <v>252</v>
      </c>
      <c r="F13" s="33" t="n">
        <f aca="false">$F$9+$F$10+$F$11-$F$12</f>
        <v>24.625</v>
      </c>
      <c r="G13" s="33" t="n">
        <f aca="false">$G$9+$G$10+$G$11-$G$12</f>
        <v>23.955475</v>
      </c>
      <c r="H13" s="33" t="n">
        <f aca="false">$H$9+$H$10+$H$11-$H$12</f>
        <v>27.0249358375</v>
      </c>
      <c r="I13" s="33" t="n">
        <f aca="false">$I$9+$I$10+$I$11-$I$12</f>
        <v>26.1036552637187</v>
      </c>
      <c r="J13" s="33" t="n">
        <f aca="false">$J$9+$J$10+$J$11-$J$12</f>
        <v>24.7512254357384</v>
      </c>
      <c r="K13" s="33" t="n">
        <f aca="false">$K$9+$K$10+$K$11-$K$12</f>
        <v>23.4265618922277</v>
      </c>
      <c r="L13" s="33" t="n">
        <f aca="false">$L$9+$L$10+$L$11-$L$12</f>
        <v>22.6280546695762</v>
      </c>
    </row>
    <row r="14" customFormat="false" ht="15" hidden="false" customHeight="false" outlineLevel="0" collapsed="false">
      <c r="B14" s="9" t="s">
        <v>253</v>
      </c>
      <c r="F14" s="32" t="n">
        <f aca="false">IF(Balance_Sheet!$E$11&gt;0,Balance_Sheet!$E$11/MAX(1,Assumptions!$D$86-(Operating!$F$6-1)),0)</f>
        <v>0.785714285714286</v>
      </c>
      <c r="G14" s="32" t="n">
        <f aca="false">IF(Balance_Sheet!$F$11&gt;0,Balance_Sheet!$F$11/MAX(1,Assumptions!$D$86-(Operating!$G$6-1)),0)</f>
        <v>0.785714285714286</v>
      </c>
      <c r="H14" s="32" t="n">
        <f aca="false">IF(Balance_Sheet!$G$11&gt;0,Balance_Sheet!$G$11/MAX(1,Assumptions!$D$86-(Operating!$H$6-1)),0)</f>
        <v>0.945714285714286</v>
      </c>
      <c r="I14" s="32" t="n">
        <f aca="false">IF(Balance_Sheet!$H$11&gt;0,Balance_Sheet!$H$11/MAX(1,Assumptions!$D$86-(Operating!$I$6-1)),0)</f>
        <v>0.945714285714286</v>
      </c>
      <c r="J14" s="32" t="n">
        <f aca="false">IF(Balance_Sheet!$I$11&gt;0,Balance_Sheet!$I$11/MAX(1,Assumptions!$D$86-(Operating!$J$6-1)),0)</f>
        <v>0.945714285714286</v>
      </c>
      <c r="K14" s="32" t="n">
        <f aca="false">IF(Balance_Sheet!$J$11&gt;0,Balance_Sheet!$J$11/MAX(1,Assumptions!$D$86-(Operating!$K$6-1)),0)</f>
        <v>0.945714285714286</v>
      </c>
      <c r="L14" s="32" t="n">
        <f aca="false">IF(Balance_Sheet!$K$11&gt;0,Balance_Sheet!$K$11/MAX(1,Assumptions!$D$86-(Operating!$L$6-1)),0)</f>
        <v>0.945714285714286</v>
      </c>
    </row>
    <row r="15" customFormat="false" ht="15" hidden="false" customHeight="false" outlineLevel="0" collapsed="false">
      <c r="B15" s="9" t="s">
        <v>254</v>
      </c>
      <c r="F15" s="24" t="n">
        <f aca="false">IF($F$13&lt;&gt;0,Operating!$F$14/$F$13,0)</f>
        <v>2.21725888324873</v>
      </c>
      <c r="G15" s="24" t="n">
        <f aca="false">IF($G$13&lt;&gt;0,Operating!$G$14/$G$13,0)</f>
        <v>2.52748901868988</v>
      </c>
      <c r="H15" s="24" t="n">
        <f aca="false">IF($H$13&lt;&gt;0,Operating!$H$14/$H$13,0)</f>
        <v>2.14115616584394</v>
      </c>
      <c r="I15" s="24" t="n">
        <f aca="false">IF($I$13&lt;&gt;0,Operating!$I$14/$I$13,0)</f>
        <v>2.6915788003703</v>
      </c>
      <c r="J15" s="24" t="n">
        <f aca="false">IF($J$13&lt;&gt;0,Operating!$J$14/$J$13,0)</f>
        <v>3.14420349497651</v>
      </c>
      <c r="K15" s="24" t="n">
        <f aca="false">IF($K$13&lt;&gt;0,Operating!$K$14/$K$13,0)</f>
        <v>3.44975099088751</v>
      </c>
      <c r="L15" s="24" t="n">
        <f aca="false">IF($L$13&lt;&gt;0,Operating!$L$14/$L$13,0)</f>
        <v>3.70904342111543</v>
      </c>
    </row>
    <row r="16" customFormat="false" ht="15" hidden="false" customHeight="false" outlineLevel="0" collapsed="false">
      <c r="B16" s="7" t="s">
        <v>255</v>
      </c>
      <c r="C16" s="8"/>
      <c r="D16" s="8"/>
      <c r="E16" s="8"/>
      <c r="F16" s="8"/>
      <c r="G16" s="8"/>
      <c r="H16" s="8"/>
      <c r="I16" s="8"/>
      <c r="J16" s="8"/>
      <c r="K16" s="8"/>
      <c r="L16" s="8"/>
    </row>
    <row r="17" customFormat="false" ht="15" hidden="false" customHeight="false" outlineLevel="0" collapsed="false">
      <c r="B17" s="9" t="s">
        <v>256</v>
      </c>
      <c r="F17" s="32" t="n">
        <f aca="false">IF(Assumptions!$D$142=1,0,MIN($E$26,Assumptions!$D$85*$E$27))</f>
        <v>2.25</v>
      </c>
      <c r="G17" s="32" t="n">
        <f aca="false">IF(Assumptions!$D$142=1,0,MIN($F$26,Assumptions!$D$85*$F$27))</f>
        <v>2.25</v>
      </c>
      <c r="H17" s="32" t="n">
        <f aca="false">IF(Assumptions!$D$142=1,0,MIN($G$26,Assumptions!$D$85*$G$27))</f>
        <v>2.65</v>
      </c>
      <c r="I17" s="32" t="n">
        <f aca="false">IF(Assumptions!$D$142=1,0,MIN($H$26,Assumptions!$D$85*$H$27))</f>
        <v>2.65</v>
      </c>
      <c r="J17" s="32" t="n">
        <f aca="false">IF(Assumptions!$D$142=1,0,MIN($I$26,Assumptions!$D$85*$I$27))</f>
        <v>2.65</v>
      </c>
      <c r="K17" s="32" t="n">
        <f aca="false">IF(Assumptions!$D$142=1,0,MIN($J$26,Assumptions!$D$85*$J$27))</f>
        <v>2.65</v>
      </c>
      <c r="L17" s="32" t="n">
        <f aca="false">IF(Assumptions!$D$142=1,0,MIN($K$26,Assumptions!$D$85*$K$27))</f>
        <v>2.65</v>
      </c>
    </row>
    <row r="18" customFormat="false" ht="15" hidden="false" customHeight="false" outlineLevel="0" collapsed="false">
      <c r="B18" s="9" t="s">
        <v>257</v>
      </c>
      <c r="F18" s="19" t="n">
        <f aca="false">IF(AND(Cash_Flow!$F$20&lt;Assumptions!$D$79,Assumptions!$D$142=0),MIN(Assumptions!$D$90-$E$29,Assumptions!$D$79-Cash_Flow!$F$20),0)</f>
        <v>0</v>
      </c>
      <c r="G18" s="19" t="n">
        <f aca="false">IF(AND(Cash_Flow!$G$20&lt;Assumptions!$D$79,Assumptions!$D$142=0),MIN(Assumptions!$D$90-$F$29,Assumptions!$D$79-Cash_Flow!$G$20),0)</f>
        <v>0</v>
      </c>
      <c r="H18" s="19" t="n">
        <f aca="false">IF(AND(Cash_Flow!$H$20&lt;Assumptions!$D$79,Assumptions!$D$142=0),MIN(Assumptions!$D$90-$G$29,Assumptions!$D$79-Cash_Flow!$H$20),0)</f>
        <v>0</v>
      </c>
      <c r="I18" s="19" t="n">
        <f aca="false">IF(AND(Cash_Flow!$I$20&lt;Assumptions!$D$79,Assumptions!$D$142=0),MIN(Assumptions!$D$90-$H$29,Assumptions!$D$79-Cash_Flow!$I$20),0)</f>
        <v>0</v>
      </c>
      <c r="J18" s="19" t="n">
        <f aca="false">IF(AND(Cash_Flow!$J$20&lt;Assumptions!$D$79,Assumptions!$D$142=0),MIN(Assumptions!$D$90-$I$29,Assumptions!$D$79-Cash_Flow!$J$20),0)</f>
        <v>0</v>
      </c>
      <c r="K18" s="19" t="n">
        <f aca="false">IF(AND(Cash_Flow!$K$20&lt;Assumptions!$D$79,Assumptions!$D$142=0),MIN(Assumptions!$D$90-$J$29,Assumptions!$D$79-Cash_Flow!$K$20),0)</f>
        <v>0</v>
      </c>
      <c r="L18" s="19" t="n">
        <f aca="false">IF(AND(Cash_Flow!$L$20&lt;Assumptions!$D$79,Assumptions!$D$142=0),MIN(Assumptions!$D$90-$K$29,Assumptions!$D$79-Cash_Flow!$L$20),0)</f>
        <v>0</v>
      </c>
    </row>
    <row r="19" customFormat="false" ht="15" hidden="false" customHeight="false" outlineLevel="0" collapsed="false">
      <c r="B19" s="9" t="s">
        <v>258</v>
      </c>
      <c r="F19" s="19" t="n">
        <f aca="false">IF(Cash_Flow!$F$20&gt;=Assumptions!$D$79,MIN($E$29,MAX(0,Cash_Flow!$F$20-Assumptions!$D$79)),0)</f>
        <v>0</v>
      </c>
      <c r="G19" s="19" t="n">
        <f aca="false">IF(Cash_Flow!$G$20&gt;=Assumptions!$D$79,MIN($F$29,MAX(0,Cash_Flow!$G$20-Assumptions!$D$79)),0)</f>
        <v>0</v>
      </c>
      <c r="H19" s="19" t="n">
        <f aca="false">IF(Cash_Flow!$H$20&gt;=Assumptions!$D$79,MIN($G$29,MAX(0,Cash_Flow!$H$20-Assumptions!$D$79)),0)</f>
        <v>0</v>
      </c>
      <c r="I19" s="19" t="n">
        <f aca="false">IF(Cash_Flow!$I$20&gt;=Assumptions!$D$79,MIN($H$29,MAX(0,Cash_Flow!$I$20-Assumptions!$D$79)),0)</f>
        <v>0</v>
      </c>
      <c r="J19" s="19" t="n">
        <f aca="false">IF(Cash_Flow!$J$20&gt;=Assumptions!$D$79,MIN($I$29,MAX(0,Cash_Flow!$J$20-Assumptions!$D$79)),0)</f>
        <v>0</v>
      </c>
      <c r="K19" s="19" t="n">
        <f aca="false">IF(Cash_Flow!$K$20&gt;=Assumptions!$D$79,MIN($J$29,MAX(0,Cash_Flow!$K$20-Assumptions!$D$79)),0)</f>
        <v>0</v>
      </c>
      <c r="L19" s="19" t="n">
        <f aca="false">IF(Cash_Flow!$L$20&gt;=Assumptions!$D$79,MIN($K$29,MAX(0,Cash_Flow!$L$20-Assumptions!$D$79)),0)</f>
        <v>0</v>
      </c>
    </row>
    <row r="20" customFormat="false" ht="15" hidden="false" customHeight="false" outlineLevel="0" collapsed="false">
      <c r="B20" s="9" t="s">
        <v>259</v>
      </c>
      <c r="F20" s="19" t="n">
        <f aca="false">Cash_Flow!$F$20+$F$18-$F$19</f>
        <v>19.11</v>
      </c>
      <c r="G20" s="19" t="n">
        <f aca="false">Cash_Flow!$G$20+$G$18-$G$19</f>
        <v>14.388365</v>
      </c>
      <c r="H20" s="19" t="n">
        <f aca="false">Cash_Flow!$H$20+$H$18-$H$19</f>
        <v>24.0936042625</v>
      </c>
      <c r="I20" s="19" t="n">
        <f aca="false">Cash_Flow!$I$20+$I$18-$I$19</f>
        <v>34.1545880115313</v>
      </c>
      <c r="J20" s="19" t="n">
        <f aca="false">Cash_Flow!$J$20+$J$18-$J$19</f>
        <v>46.9919841000273</v>
      </c>
      <c r="K20" s="19" t="n">
        <f aca="false">Cash_Flow!$K$20+$K$18-$K$19</f>
        <v>66.4068492075928</v>
      </c>
      <c r="L20" s="19" t="n">
        <f aca="false">Cash_Flow!$L$20+$L$18-$L$19</f>
        <v>97.9587944838085</v>
      </c>
    </row>
    <row r="21" customFormat="false" ht="15" hidden="false" customHeight="false" outlineLevel="0" collapsed="false">
      <c r="B21" s="9" t="s">
        <v>260</v>
      </c>
      <c r="F21" s="29" t="n">
        <f aca="false">IF($E$33&gt;Assumptions!$D$100,Assumptions!$E$100,IF($E$33&gt;Assumptions!$D$101,Assumptions!$E$101,IF($E$33&gt;Assumptions!$D$102,Assumptions!$E$102,0)))</f>
        <v>0.5</v>
      </c>
      <c r="G21" s="29" t="n">
        <f aca="false">IF($F$33&gt;Assumptions!$D$100,Assumptions!$E$100,IF($F$33&gt;Assumptions!$D$101,Assumptions!$E$101,IF($F$33&gt;Assumptions!$D$102,Assumptions!$E$102,0)))</f>
        <v>0.5</v>
      </c>
      <c r="H21" s="29" t="n">
        <f aca="false">IF($G$33&gt;Assumptions!$D$100,Assumptions!$E$100,IF($G$33&gt;Assumptions!$D$101,Assumptions!$E$101,IF($G$33&gt;Assumptions!$D$102,Assumptions!$E$102,0)))</f>
        <v>0.5</v>
      </c>
      <c r="I21" s="29" t="n">
        <f aca="false">IF($H$33&gt;Assumptions!$D$100,Assumptions!$E$100,IF($H$33&gt;Assumptions!$D$101,Assumptions!$E$101,IF($H$33&gt;Assumptions!$D$102,Assumptions!$E$102,0)))</f>
        <v>0.5</v>
      </c>
      <c r="J21" s="29" t="n">
        <f aca="false">IF($I$33&gt;Assumptions!$D$100,Assumptions!$E$100,IF($I$33&gt;Assumptions!$D$101,Assumptions!$E$101,IF($I$33&gt;Assumptions!$D$102,Assumptions!$E$102,0)))</f>
        <v>0.25</v>
      </c>
      <c r="K21" s="29" t="n">
        <f aca="false">IF($J$33&gt;Assumptions!$D$100,Assumptions!$E$100,IF($J$33&gt;Assumptions!$D$101,Assumptions!$E$101,IF($J$33&gt;Assumptions!$D$102,Assumptions!$E$102,0)))</f>
        <v>0</v>
      </c>
      <c r="L21" s="29" t="n">
        <f aca="false">IF($K$33&gt;Assumptions!$D$100,Assumptions!$E$100,IF($K$33&gt;Assumptions!$D$101,Assumptions!$E$101,IF($K$33&gt;Assumptions!$D$102,Assumptions!$E$102,0)))</f>
        <v>0</v>
      </c>
    </row>
    <row r="22" customFormat="false" ht="15" hidden="false" customHeight="false" outlineLevel="0" collapsed="false">
      <c r="B22" s="9" t="s">
        <v>261</v>
      </c>
      <c r="F22" s="19" t="n">
        <f aca="false">MAX(0,$F$20-Assumptions!$D$79)</f>
        <v>9.11</v>
      </c>
      <c r="G22" s="19" t="n">
        <f aca="false">MAX(0,$G$20-Assumptions!$D$79)</f>
        <v>4.38836500000001</v>
      </c>
      <c r="H22" s="19" t="n">
        <f aca="false">MAX(0,$H$20-Assumptions!$D$79)</f>
        <v>14.0936042625</v>
      </c>
      <c r="I22" s="19" t="n">
        <f aca="false">MAX(0,$I$20-Assumptions!$D$79)</f>
        <v>24.1545880115313</v>
      </c>
      <c r="J22" s="19" t="n">
        <f aca="false">MAX(0,$J$20-Assumptions!$D$79)</f>
        <v>36.9919841000273</v>
      </c>
      <c r="K22" s="19" t="n">
        <f aca="false">MAX(0,$K$20-Assumptions!$D$79)</f>
        <v>56.4068492075928</v>
      </c>
      <c r="L22" s="19" t="n">
        <f aca="false">MAX(0,$L$20-Assumptions!$D$79)</f>
        <v>87.9587944838085</v>
      </c>
    </row>
    <row r="23" customFormat="false" ht="15" hidden="false" customHeight="false" outlineLevel="0" collapsed="false">
      <c r="B23" s="17" t="s">
        <v>262</v>
      </c>
      <c r="F23" s="18" t="n">
        <f aca="false">IF(AND(Assumptions!$D$98=1,Assumptions!$D$142=0,$E$29-$F$19+$F$18=0),MIN($E$26-$F$17+Cash_Flow!$F$9,$F$21*$F$22),0)</f>
        <v>4.555</v>
      </c>
      <c r="G23" s="18" t="n">
        <f aca="false">IF(AND(Assumptions!$D$98=1,Assumptions!$D$142=0,$F$29-$G$19+$G$18=0),MIN($F$26-$G$17+Cash_Flow!$G$9,$G$21*$G$22),0)</f>
        <v>2.19418250000001</v>
      </c>
      <c r="H23" s="18" t="n">
        <f aca="false">IF(AND(Assumptions!$D$98=1,Assumptions!$D$142=0,$G$29-$H$19+$H$18=0),MIN($G$26-$H$17+Cash_Flow!$H$9,$H$21*$H$22),0)</f>
        <v>7.04680213125001</v>
      </c>
      <c r="I23" s="18" t="n">
        <f aca="false">IF(AND(Assumptions!$D$98=1,Assumptions!$D$142=0,$H$29-$I$19+$I$18=0),MIN($H$26-$I$17+Cash_Flow!$I$9,$I$21*$I$22),0)</f>
        <v>12.0772940057656</v>
      </c>
      <c r="J23" s="18" t="n">
        <f aca="false">IF(AND(Assumptions!$D$98=1,Assumptions!$D$142=0,$I$29-$J$19+$J$18=0),MIN($I$26-$J$17+Cash_Flow!$J$9,$J$21*$J$22),0)</f>
        <v>9.24799602500682</v>
      </c>
      <c r="K23" s="18" t="n">
        <f aca="false">IF(AND(Assumptions!$D$98=1,Assumptions!$D$142=0,$J$29-$K$19+$K$18=0),MIN($J$26-$K$17+Cash_Flow!$K$9,$K$21*$K$22),0)</f>
        <v>0</v>
      </c>
      <c r="L23" s="18" t="n">
        <f aca="false">IF(AND(Assumptions!$D$98=1,Assumptions!$D$142=0,$K$29-$L$19+$L$18=0),MIN($K$26-$L$17+Cash_Flow!$L$9,$L$21*$L$22),0)</f>
        <v>0</v>
      </c>
    </row>
    <row r="24" customFormat="false" ht="15" hidden="false" customHeight="false" outlineLevel="0" collapsed="false">
      <c r="B24" s="9" t="s">
        <v>263</v>
      </c>
      <c r="F24" s="19" t="n">
        <f aca="false">MAX(0,$F$23-$F$22)</f>
        <v>0</v>
      </c>
      <c r="G24" s="19" t="n">
        <f aca="false">MAX(0,$G$23-$G$22)</f>
        <v>0</v>
      </c>
      <c r="H24" s="19" t="n">
        <f aca="false">MAX(0,$H$23-$H$22)</f>
        <v>0</v>
      </c>
      <c r="I24" s="19" t="n">
        <f aca="false">MAX(0,$I$23-$I$22)</f>
        <v>0</v>
      </c>
      <c r="J24" s="19" t="n">
        <f aca="false">MAX(0,$J$23-$J$22)</f>
        <v>0</v>
      </c>
      <c r="K24" s="19" t="n">
        <f aca="false">MAX(0,$K$23-$K$22)</f>
        <v>0</v>
      </c>
      <c r="L24" s="19" t="n">
        <f aca="false">MAX(0,$L$23-$L$22)</f>
        <v>0</v>
      </c>
    </row>
    <row r="25" customFormat="false" ht="15" hidden="false" customHeight="false" outlineLevel="0" collapsed="false">
      <c r="B25" s="7" t="s">
        <v>264</v>
      </c>
      <c r="C25" s="8"/>
      <c r="D25" s="8"/>
      <c r="E25" s="8"/>
      <c r="F25" s="8"/>
      <c r="G25" s="8"/>
      <c r="H25" s="8"/>
      <c r="I25" s="8"/>
      <c r="J25" s="8"/>
      <c r="K25" s="8"/>
      <c r="L25" s="8"/>
    </row>
    <row r="26" customFormat="false" ht="15" hidden="false" customHeight="false" outlineLevel="0" collapsed="false">
      <c r="B26" s="9" t="s">
        <v>192</v>
      </c>
      <c r="E26" s="19" t="n">
        <f aca="false">Sources_Uses!$D$10</f>
        <v>225</v>
      </c>
      <c r="F26" s="19" t="n">
        <f aca="false">$E$26-$F$17-$F$23+Cash_Flow!$F$9+Cash_Flow!$F$11</f>
        <v>218.195</v>
      </c>
      <c r="G26" s="19" t="n">
        <f aca="false">$F$26-$G$17-$G$23+Cash_Flow!$G$9+Cash_Flow!$G$11</f>
        <v>253.7508175</v>
      </c>
      <c r="H26" s="19" t="n">
        <f aca="false">$G$26-$H$17-$H$23+Cash_Flow!$H$9+Cash_Flow!$H$11</f>
        <v>244.05401536875</v>
      </c>
      <c r="I26" s="19" t="n">
        <f aca="false">$H$26-$I$17-$I$23+Cash_Flow!$I$9+Cash_Flow!$I$11</f>
        <v>229.326721362984</v>
      </c>
      <c r="J26" s="19" t="n">
        <f aca="false">$I$26-$J$17-$J$23+Cash_Flow!$J$9+Cash_Flow!$J$11</f>
        <v>217.428725337978</v>
      </c>
      <c r="K26" s="19" t="n">
        <f aca="false">$J$26-$K$17-$K$23+Cash_Flow!$K$9+Cash_Flow!$K$11</f>
        <v>214.778725337978</v>
      </c>
      <c r="L26" s="19" t="n">
        <f aca="false">$K$26-$L$17-$L$23+Cash_Flow!$L$9+Cash_Flow!$L$11</f>
        <v>212.128725337978</v>
      </c>
    </row>
    <row r="27" customFormat="false" ht="15" hidden="false" customHeight="false" outlineLevel="0" collapsed="false">
      <c r="B27" s="9" t="s">
        <v>265</v>
      </c>
      <c r="E27" s="19" t="n">
        <f aca="false">Sources_Uses!$D$10</f>
        <v>225</v>
      </c>
      <c r="F27" s="19" t="n">
        <f aca="false">$E$27+Cash_Flow!$F$9+Cash_Flow!$F$11</f>
        <v>225</v>
      </c>
      <c r="G27" s="19" t="n">
        <f aca="false">$F$27+Cash_Flow!$G$9+Cash_Flow!$G$11</f>
        <v>265</v>
      </c>
      <c r="H27" s="19" t="n">
        <f aca="false">$G$27+Cash_Flow!$H$9+Cash_Flow!$H$11</f>
        <v>265</v>
      </c>
      <c r="I27" s="19" t="n">
        <f aca="false">$H$27+Cash_Flow!$I$9+Cash_Flow!$I$11</f>
        <v>265</v>
      </c>
      <c r="J27" s="19" t="n">
        <f aca="false">$I$27+Cash_Flow!$J$9+Cash_Flow!$J$11</f>
        <v>265</v>
      </c>
      <c r="K27" s="19" t="n">
        <f aca="false">$J$27+Cash_Flow!$K$9+Cash_Flow!$K$11</f>
        <v>265</v>
      </c>
      <c r="L27" s="19" t="n">
        <f aca="false">$K$27+Cash_Flow!$L$9+Cash_Flow!$L$11</f>
        <v>265</v>
      </c>
    </row>
    <row r="28" customFormat="false" ht="15" hidden="false" customHeight="false" outlineLevel="0" collapsed="false">
      <c r="B28" s="9" t="s">
        <v>191</v>
      </c>
      <c r="E28" s="19" t="n">
        <f aca="false">Sources_Uses!$D$9</f>
        <v>50</v>
      </c>
      <c r="F28" s="19" t="n">
        <f aca="false">$E$28</f>
        <v>50</v>
      </c>
      <c r="G28" s="19" t="n">
        <f aca="false">$F$28</f>
        <v>50</v>
      </c>
      <c r="H28" s="19" t="n">
        <f aca="false">$G$28</f>
        <v>50</v>
      </c>
      <c r="I28" s="19" t="n">
        <f aca="false">$H$28</f>
        <v>50</v>
      </c>
      <c r="J28" s="19" t="n">
        <f aca="false">$I$28</f>
        <v>50</v>
      </c>
      <c r="K28" s="19" t="n">
        <f aca="false">$J$28</f>
        <v>50</v>
      </c>
      <c r="L28" s="19" t="n">
        <f aca="false">$K$28</f>
        <v>50</v>
      </c>
    </row>
    <row r="29" customFormat="false" ht="15" hidden="false" customHeight="false" outlineLevel="0" collapsed="false">
      <c r="B29" s="9" t="s">
        <v>266</v>
      </c>
      <c r="E29" s="19" t="n">
        <f aca="false">0</f>
        <v>0</v>
      </c>
      <c r="F29" s="19" t="n">
        <f aca="false">$E$29+$F$18-$F$19</f>
        <v>0</v>
      </c>
      <c r="G29" s="19" t="n">
        <f aca="false">$F$29+$G$18-$G$19</f>
        <v>0</v>
      </c>
      <c r="H29" s="19" t="n">
        <f aca="false">$G$29+$H$18-$H$19</f>
        <v>0</v>
      </c>
      <c r="I29" s="19" t="n">
        <f aca="false">$H$29+$I$18-$I$19</f>
        <v>0</v>
      </c>
      <c r="J29" s="19" t="n">
        <f aca="false">$I$29+$J$18-$J$19</f>
        <v>0</v>
      </c>
      <c r="K29" s="19" t="n">
        <f aca="false">$J$29+$K$18-$K$19</f>
        <v>0</v>
      </c>
      <c r="L29" s="19" t="n">
        <f aca="false">$K$29+$L$18-$L$19</f>
        <v>0</v>
      </c>
    </row>
    <row r="30" customFormat="false" ht="15" hidden="false" customHeight="false" outlineLevel="0" collapsed="false">
      <c r="B30" s="17" t="s">
        <v>209</v>
      </c>
      <c r="E30" s="18" t="n">
        <f aca="false">$E$26+$E$28+$E$29</f>
        <v>275</v>
      </c>
      <c r="F30" s="18" t="n">
        <f aca="false">$F$26+$F$28+$F$29</f>
        <v>268.195</v>
      </c>
      <c r="G30" s="18" t="n">
        <f aca="false">$G$26+$G$28+$G$29</f>
        <v>303.7508175</v>
      </c>
      <c r="H30" s="18" t="n">
        <f aca="false">$H$26+$H$28+$H$29</f>
        <v>294.05401536875</v>
      </c>
      <c r="I30" s="18" t="n">
        <f aca="false">$I$26+$I$28+$I$29</f>
        <v>279.326721362984</v>
      </c>
      <c r="J30" s="18" t="n">
        <f aca="false">$J$26+$J$28+$J$29</f>
        <v>267.428725337978</v>
      </c>
      <c r="K30" s="18" t="n">
        <f aca="false">$K$26+$K$28+$K$29</f>
        <v>264.778725337978</v>
      </c>
      <c r="L30" s="18" t="n">
        <f aca="false">$L$26+$L$28+$L$29</f>
        <v>262.128725337977</v>
      </c>
    </row>
    <row r="31" customFormat="false" ht="15" hidden="false" customHeight="false" outlineLevel="0" collapsed="false">
      <c r="B31" s="9" t="s">
        <v>267</v>
      </c>
      <c r="E31" s="19" t="n">
        <f aca="false">Assumptions!$D$78</f>
        <v>10</v>
      </c>
      <c r="F31" s="19" t="n">
        <f aca="false">$F$20-$F$23</f>
        <v>14.555</v>
      </c>
      <c r="G31" s="19" t="n">
        <f aca="false">$G$20-$G$23</f>
        <v>12.1941825</v>
      </c>
      <c r="H31" s="19" t="n">
        <f aca="false">$H$20-$H$23</f>
        <v>17.04680213125</v>
      </c>
      <c r="I31" s="19" t="n">
        <f aca="false">$I$20-$I$23</f>
        <v>22.0772940057656</v>
      </c>
      <c r="J31" s="19" t="n">
        <f aca="false">$J$20-$J$23</f>
        <v>37.7439880750205</v>
      </c>
      <c r="K31" s="19" t="n">
        <f aca="false">$K$20-$K$23</f>
        <v>66.4068492075928</v>
      </c>
      <c r="L31" s="19" t="n">
        <f aca="false">$L$20-$L$23</f>
        <v>97.9587944838085</v>
      </c>
    </row>
    <row r="32" customFormat="false" ht="15" hidden="false" customHeight="false" outlineLevel="0" collapsed="false">
      <c r="B32" s="17" t="s">
        <v>268</v>
      </c>
      <c r="E32" s="18" t="n">
        <f aca="false">$E$30-$E$31</f>
        <v>265</v>
      </c>
      <c r="F32" s="18" t="n">
        <f aca="false">$F$30-$F$31</f>
        <v>253.64</v>
      </c>
      <c r="G32" s="18" t="n">
        <f aca="false">$G$30-$G$31</f>
        <v>291.556635</v>
      </c>
      <c r="H32" s="18" t="n">
        <f aca="false">$H$30-$H$31</f>
        <v>277.0072132375</v>
      </c>
      <c r="I32" s="18" t="n">
        <f aca="false">$I$30-$I$31</f>
        <v>257.249427357219</v>
      </c>
      <c r="J32" s="18" t="n">
        <f aca="false">$J$30-$J$31</f>
        <v>229.684737262957</v>
      </c>
      <c r="K32" s="18" t="n">
        <f aca="false">$K$30-$K$31</f>
        <v>198.371876130385</v>
      </c>
      <c r="L32" s="18" t="n">
        <f aca="false">$L$30-$L$31</f>
        <v>164.169930854169</v>
      </c>
    </row>
    <row r="33" customFormat="false" ht="15" hidden="false" customHeight="false" outlineLevel="0" collapsed="false">
      <c r="B33" s="9" t="s">
        <v>212</v>
      </c>
      <c r="E33" s="24" t="n">
        <f aca="false">$E$32/Operating!$E$14</f>
        <v>5.3</v>
      </c>
      <c r="F33" s="24" t="n">
        <f aca="false">$F$32/Operating!$F$14</f>
        <v>4.64542124542125</v>
      </c>
      <c r="G33" s="24" t="n">
        <f aca="false">$G$32/Operating!$G$14</f>
        <v>4.81536115625495</v>
      </c>
      <c r="H33" s="24" t="n">
        <f aca="false">$H$32/Operating!$H$14</f>
        <v>4.7871613203964</v>
      </c>
      <c r="I33" s="24" t="n">
        <f aca="false">$I$32/Operating!$I$14</f>
        <v>3.66139001075009</v>
      </c>
      <c r="J33" s="24" t="n">
        <f aca="false">$J$32/Operating!$J$14</f>
        <v>2.9513776561063</v>
      </c>
      <c r="K33" s="24" t="n">
        <f aca="false">$K$32/Operating!$K$14</f>
        <v>2.45461733485126</v>
      </c>
      <c r="L33" s="24" t="n">
        <f aca="false">$L$32/Operating!$L$14</f>
        <v>1.95607038717874</v>
      </c>
    </row>
    <row r="34" customFormat="false" ht="15" hidden="false" customHeight="false" outlineLevel="0" collapsed="false">
      <c r="B34" s="9" t="s">
        <v>269</v>
      </c>
      <c r="F34" s="19" t="n">
        <f aca="false">$F$30-($E$30-$F$17-$F$23-$F$19+$F$18+Cash_Flow!$F$9+Cash_Flow!$F$11)</f>
        <v>0</v>
      </c>
      <c r="G34" s="19" t="n">
        <f aca="false">$G$30-($F$30-$G$17-$G$23-$G$19+$G$18+Cash_Flow!$G$9+Cash_Flow!$G$11)</f>
        <v>0</v>
      </c>
      <c r="H34" s="19" t="n">
        <f aca="false">$H$30-($G$30-$H$17-$H$23-$H$19+$H$18+Cash_Flow!$H$9+Cash_Flow!$H$11)</f>
        <v>0</v>
      </c>
      <c r="I34" s="19" t="n">
        <f aca="false">$I$30-($H$30-$I$17-$I$23-$I$19+$I$18+Cash_Flow!$I$9+Cash_Flow!$I$11)</f>
        <v>0</v>
      </c>
      <c r="J34" s="19" t="n">
        <f aca="false">$J$30-($I$30-$J$17-$J$23-$J$19+$J$18+Cash_Flow!$J$9+Cash_Flow!$J$11)</f>
        <v>0</v>
      </c>
      <c r="K34" s="19" t="n">
        <f aca="false">$K$30-($J$30-$K$17-$K$23-$K$19+$K$18+Cash_Flow!$K$9+Cash_Flow!$K$11)</f>
        <v>0</v>
      </c>
      <c r="L34" s="19" t="n">
        <f aca="false">$L$30-($K$30-$L$17-$L$23-$L$19+$L$18+Cash_Flow!$L$9+Cash_Flow!$L$11)</f>
        <v>0</v>
      </c>
    </row>
    <row r="36" customFormat="false" ht="15" hidden="false" customHeight="false" outlineLevel="0" collapsed="false">
      <c r="B36" s="7" t="s">
        <v>270</v>
      </c>
      <c r="C36" s="8"/>
      <c r="D36" s="8"/>
      <c r="E36" s="8"/>
      <c r="F36" s="8"/>
      <c r="G36" s="8"/>
      <c r="H36" s="8"/>
      <c r="I36" s="8"/>
      <c r="J36" s="8"/>
      <c r="K36" s="8"/>
      <c r="L36" s="8"/>
    </row>
    <row r="37" customFormat="false" ht="15" hidden="false" customHeight="false" outlineLevel="0" collapsed="false">
      <c r="B37" s="9" t="s">
        <v>271</v>
      </c>
      <c r="D37" s="25" t="n">
        <f aca="false">($F$9+$F$10)/Sources_Uses!$D$30</f>
        <v>0.0895454545454545</v>
      </c>
    </row>
    <row r="38" customFormat="false" ht="15" hidden="false" customHeight="false" outlineLevel="0" collapsed="false">
      <c r="B38" s="9" t="s">
        <v>272</v>
      </c>
      <c r="D38" s="14" t="n">
        <f aca="false">$F$13/Operating!$F$14</f>
        <v>0.451007326007326</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L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0"/>
    <col collapsed="false" customWidth="true" hidden="false" outlineLevel="0" max="3" min="3" style="0" width="12"/>
    <col collapsed="false" customWidth="true" hidden="false" outlineLevel="0" max="4" min="4" style="0" width="14"/>
    <col collapsed="false" customWidth="true" hidden="false" outlineLevel="0" max="12" min="5" style="0" width="12"/>
  </cols>
  <sheetData>
    <row r="1" customFormat="false" ht="6" hidden="false" customHeight="true" outlineLevel="0" collapsed="false"/>
    <row r="2" customFormat="false" ht="17.35" hidden="false" customHeight="false" outlineLevel="0" collapsed="false">
      <c r="B2" s="5" t="s">
        <v>273</v>
      </c>
    </row>
    <row r="3" customFormat="false" ht="15" hidden="false" customHeight="false" outlineLevel="0" collapsed="false">
      <c r="B3" s="6" t="s">
        <v>274</v>
      </c>
    </row>
    <row r="5" customFormat="false" ht="15" hidden="false" customHeight="false" outlineLevel="0" collapsed="false">
      <c r="B5" s="7" t="s">
        <v>275</v>
      </c>
      <c r="C5" s="8"/>
      <c r="D5" s="8"/>
      <c r="E5" s="8"/>
      <c r="F5" s="8"/>
      <c r="G5" s="8"/>
      <c r="H5" s="8"/>
      <c r="I5" s="8"/>
      <c r="J5" s="8"/>
      <c r="K5" s="8"/>
      <c r="L5" s="8"/>
    </row>
    <row r="6" customFormat="false" ht="15" hidden="false" customHeight="false" outlineLevel="0" collapsed="false">
      <c r="B6" s="7" t="s">
        <v>178</v>
      </c>
      <c r="E6" s="30" t="n">
        <v>0</v>
      </c>
      <c r="F6" s="30" t="n">
        <v>1</v>
      </c>
      <c r="G6" s="30" t="n">
        <v>2</v>
      </c>
      <c r="H6" s="30" t="n">
        <v>3</v>
      </c>
      <c r="I6" s="30" t="n">
        <v>4</v>
      </c>
      <c r="J6" s="30" t="n">
        <v>5</v>
      </c>
      <c r="K6" s="30" t="n">
        <v>6</v>
      </c>
      <c r="L6" s="30" t="n">
        <v>7</v>
      </c>
    </row>
    <row r="7" customFormat="false" ht="15" hidden="false" customHeight="false" outlineLevel="0" collapsed="false">
      <c r="B7" s="9" t="s">
        <v>276</v>
      </c>
      <c r="F7" s="32" t="n">
        <f aca="false">Operating!$F$14-Operating!$F$16</f>
        <v>42.84</v>
      </c>
      <c r="G7" s="32" t="n">
        <f aca="false">Operating!$G$14-Operating!$G$16</f>
        <v>48.0816</v>
      </c>
      <c r="H7" s="32" t="n">
        <f aca="false">Operating!$H$14-Operating!$H$16</f>
        <v>43.962944</v>
      </c>
      <c r="I7" s="32" t="n">
        <f aca="false">Operating!$I$14-Operating!$I$16</f>
        <v>55.45078464</v>
      </c>
      <c r="J7" s="32" t="n">
        <f aca="false">Operating!$J$14-Operating!$J$16</f>
        <v>62.295879616</v>
      </c>
      <c r="K7" s="32" t="n">
        <f aca="false">Operating!$K$14-Operating!$K$16</f>
        <v>64.66771480064</v>
      </c>
      <c r="L7" s="32" t="n">
        <f aca="false">Operating!$L$14-Operating!$L$16</f>
        <v>67.1344233926656</v>
      </c>
    </row>
    <row r="8" customFormat="false" ht="15" hidden="false" customHeight="false" outlineLevel="0" collapsed="false">
      <c r="B8" s="9" t="s">
        <v>277</v>
      </c>
      <c r="F8" s="32" t="n">
        <f aca="false">Debt!$F$13+Debt!$F$14</f>
        <v>25.4107142857143</v>
      </c>
      <c r="G8" s="32" t="n">
        <f aca="false">Debt!$G$13+Debt!$G$14</f>
        <v>24.7411892857143</v>
      </c>
      <c r="H8" s="32" t="n">
        <f aca="false">Debt!$H$13+Debt!$H$14</f>
        <v>27.9706501232143</v>
      </c>
      <c r="I8" s="32" t="n">
        <f aca="false">Debt!$I$13+Debt!$I$14</f>
        <v>27.049369549433</v>
      </c>
      <c r="J8" s="32" t="n">
        <f aca="false">Debt!$J$13+Debt!$J$14</f>
        <v>25.6969397214526</v>
      </c>
      <c r="K8" s="32" t="n">
        <f aca="false">Debt!$K$13+Debt!$K$14</f>
        <v>24.372276177942</v>
      </c>
      <c r="L8" s="32" t="n">
        <f aca="false">Debt!$L$13+Debt!$L$14</f>
        <v>23.5737689552905</v>
      </c>
    </row>
    <row r="9" customFormat="false" ht="15" hidden="false" customHeight="false" outlineLevel="0" collapsed="false">
      <c r="B9" s="9" t="s">
        <v>278</v>
      </c>
      <c r="F9" s="32" t="n">
        <f aca="false">$F$7-$F$8-Cash_Flow!$F$8-Cash_Flow!$F$12-Cash_Flow!$F$14</f>
        <v>17.4292857142857</v>
      </c>
      <c r="G9" s="32" t="n">
        <f aca="false">$G$7-$G$8-Cash_Flow!$G$8-Cash_Flow!$G$12-Cash_Flow!$G$14</f>
        <v>21.8404107142857</v>
      </c>
      <c r="H9" s="32" t="n">
        <f aca="false">$H$7-$H$8-Cash_Flow!$H$8-Cash_Flow!$H$12-Cash_Flow!$H$14</f>
        <v>15.9922938767857</v>
      </c>
      <c r="I9" s="32" t="n">
        <f aca="false">$I$7-$I$8-Cash_Flow!$I$8-Cash_Flow!$I$12-Cash_Flow!$I$14</f>
        <v>28.401415090567</v>
      </c>
      <c r="J9" s="32" t="n">
        <f aca="false">$J$7-$J$8-Cash_Flow!$J$8-Cash_Flow!$J$12-Cash_Flow!$J$14</f>
        <v>36.5989398945474</v>
      </c>
      <c r="K9" s="32" t="n">
        <f aca="false">$K$7-$K$8-Cash_Flow!$K$8-Cash_Flow!$K$12-Cash_Flow!$K$14</f>
        <v>40.295438622698</v>
      </c>
      <c r="L9" s="32" t="n">
        <f aca="false">$L$7-$L$8-Cash_Flow!$L$8-Cash_Flow!$L$12-Cash_Flow!$L$14</f>
        <v>43.5606544373751</v>
      </c>
    </row>
    <row r="10" customFormat="false" ht="15" hidden="false" customHeight="false" outlineLevel="0" collapsed="false">
      <c r="B10" s="9" t="s">
        <v>279</v>
      </c>
      <c r="F10" s="32" t="n">
        <f aca="false">Assumptions!$D$8*Operating!$F$14</f>
        <v>16.38</v>
      </c>
      <c r="G10" s="32" t="n">
        <f aca="false">Assumptions!$D$8*Operating!$G$14</f>
        <v>18.16416</v>
      </c>
      <c r="H10" s="32" t="n">
        <f aca="false">Assumptions!$D$8*Operating!$H$14</f>
        <v>17.3593824</v>
      </c>
      <c r="I10" s="32" t="n">
        <f aca="false">Assumptions!$D$8*Operating!$I$14</f>
        <v>21.078013536</v>
      </c>
      <c r="J10" s="32" t="n">
        <f aca="false">Assumptions!$D$8*Operating!$J$14</f>
        <v>23.346866856</v>
      </c>
      <c r="K10" s="32" t="n">
        <f aca="false">Assumptions!$D$8*Operating!$K$14</f>
        <v>24.24474153024</v>
      </c>
      <c r="L10" s="32" t="n">
        <f aca="false">Assumptions!$D$8*Operating!$L$14</f>
        <v>25.1785311914496</v>
      </c>
    </row>
    <row r="11" customFormat="false" ht="15" hidden="false" customHeight="false" outlineLevel="0" collapsed="false">
      <c r="B11" s="9" t="s">
        <v>280</v>
      </c>
      <c r="F11" s="32" t="n">
        <f aca="false">$F$8+$E$13</f>
        <v>25.4107142857143</v>
      </c>
      <c r="G11" s="32" t="n">
        <f aca="false">$G$8+$F$13</f>
        <v>33.7719035714286</v>
      </c>
      <c r="H11" s="32" t="n">
        <f aca="false">$H$8+$G$13</f>
        <v>43.5783936946428</v>
      </c>
      <c r="I11" s="32" t="n">
        <f aca="false">$I$8+$H$13</f>
        <v>53.2683808440759</v>
      </c>
      <c r="J11" s="32" t="n">
        <f aca="false">$J$8+$I$13</f>
        <v>57.8873070295285</v>
      </c>
      <c r="K11" s="32" t="n">
        <f aca="false">$K$8+$J$13</f>
        <v>58.9127163514705</v>
      </c>
      <c r="L11" s="32" t="n">
        <f aca="false">$L$8+$K$13</f>
        <v>58.241743776521</v>
      </c>
    </row>
    <row r="12" customFormat="false" ht="15" hidden="false" customHeight="false" outlineLevel="0" collapsed="false">
      <c r="B12" s="9" t="s">
        <v>281</v>
      </c>
      <c r="F12" s="32" t="n">
        <f aca="false">MIN($F$11,$F$10)</f>
        <v>16.38</v>
      </c>
      <c r="G12" s="32" t="n">
        <f aca="false">MIN($G$11,$G$10)</f>
        <v>18.16416</v>
      </c>
      <c r="H12" s="32" t="n">
        <f aca="false">MIN($H$11,$H$10)</f>
        <v>17.3593824</v>
      </c>
      <c r="I12" s="32" t="n">
        <f aca="false">MIN($I$11,$I$10)</f>
        <v>21.078013536</v>
      </c>
      <c r="J12" s="32" t="n">
        <f aca="false">MIN($J$11,$J$10)</f>
        <v>23.346866856</v>
      </c>
      <c r="K12" s="32" t="n">
        <f aca="false">MIN($K$11,$K$10)</f>
        <v>24.24474153024</v>
      </c>
      <c r="L12" s="32" t="n">
        <f aca="false">MIN($L$11,$L$10)</f>
        <v>25.1785311914496</v>
      </c>
    </row>
    <row r="13" customFormat="false" ht="15" hidden="false" customHeight="false" outlineLevel="0" collapsed="false">
      <c r="B13" s="9" t="s">
        <v>282</v>
      </c>
      <c r="E13" s="32" t="n">
        <f aca="false">0</f>
        <v>0</v>
      </c>
      <c r="F13" s="32" t="n">
        <f aca="false">$F$11-$F$12</f>
        <v>9.03071428571429</v>
      </c>
      <c r="G13" s="32" t="n">
        <f aca="false">$G$11-$G$12</f>
        <v>15.6077435714286</v>
      </c>
      <c r="H13" s="32" t="n">
        <f aca="false">$H$11-$H$12</f>
        <v>26.2190112946428</v>
      </c>
      <c r="I13" s="32" t="n">
        <f aca="false">$I$11-$I$12</f>
        <v>32.1903673080759</v>
      </c>
      <c r="J13" s="32" t="n">
        <f aca="false">$J$11-$J$12</f>
        <v>34.5404401735285</v>
      </c>
      <c r="K13" s="32" t="n">
        <f aca="false">$K$11-$K$12</f>
        <v>34.6679748212305</v>
      </c>
      <c r="L13" s="32" t="n">
        <f aca="false">$L$11-$L$12</f>
        <v>33.0632125850714</v>
      </c>
    </row>
    <row r="14" customFormat="false" ht="15" hidden="false" customHeight="false" outlineLevel="0" collapsed="false">
      <c r="B14" s="9" t="s">
        <v>283</v>
      </c>
      <c r="F14" s="32" t="n">
        <f aca="false">$F$7-$F$12-Cash_Flow!$F$8-Cash_Flow!$F$12-Cash_Flow!$F$14</f>
        <v>26.46</v>
      </c>
      <c r="G14" s="32" t="n">
        <f aca="false">$G$7-$G$12-Cash_Flow!$G$8-Cash_Flow!$G$12-Cash_Flow!$G$14</f>
        <v>28.41744</v>
      </c>
      <c r="H14" s="32" t="n">
        <f aca="false">$H$7-$H$12-Cash_Flow!$H$8-Cash_Flow!$H$12-Cash_Flow!$H$14</f>
        <v>26.6035616</v>
      </c>
      <c r="I14" s="32" t="n">
        <f aca="false">$I$7-$I$12-Cash_Flow!$I$8-Cash_Flow!$I$12-Cash_Flow!$I$14</f>
        <v>34.372771104</v>
      </c>
      <c r="J14" s="32" t="n">
        <f aca="false">$J$7-$J$12-Cash_Flow!$J$8-Cash_Flow!$J$12-Cash_Flow!$J$14</f>
        <v>38.94901276</v>
      </c>
      <c r="K14" s="32" t="n">
        <f aca="false">$K$7-$K$12-Cash_Flow!$K$8-Cash_Flow!$K$12-Cash_Flow!$K$14</f>
        <v>40.4229732704</v>
      </c>
      <c r="L14" s="32" t="n">
        <f aca="false">$L$7-$L$12-Cash_Flow!$L$8-Cash_Flow!$L$12-Cash_Flow!$L$14</f>
        <v>41.955892201216</v>
      </c>
    </row>
    <row r="15" customFormat="false" ht="15" hidden="false" customHeight="false" outlineLevel="0" collapsed="false">
      <c r="B15" s="9" t="s">
        <v>284</v>
      </c>
      <c r="F15" s="32" t="n">
        <f aca="false">IF($F$14&lt;0,0,MIN($E$16,$F$14))</f>
        <v>0</v>
      </c>
      <c r="G15" s="32" t="n">
        <f aca="false">IF($G$14&lt;0,0,MIN($F$16,$G$14))</f>
        <v>0</v>
      </c>
      <c r="H15" s="32" t="n">
        <f aca="false">IF($H$14&lt;0,0,MIN($G$16,$H$14))</f>
        <v>0</v>
      </c>
      <c r="I15" s="32" t="n">
        <f aca="false">IF($I$14&lt;0,0,MIN($H$16,$I$14))</f>
        <v>0</v>
      </c>
      <c r="J15" s="32" t="n">
        <f aca="false">IF($J$14&lt;0,0,MIN($I$16,$J$14))</f>
        <v>0</v>
      </c>
      <c r="K15" s="32" t="n">
        <f aca="false">IF($K$14&lt;0,0,MIN($J$16,$K$14))</f>
        <v>0</v>
      </c>
      <c r="L15" s="32" t="n">
        <f aca="false">IF($L$14&lt;0,0,MIN($K$16,$L$14))</f>
        <v>0</v>
      </c>
    </row>
    <row r="16" customFormat="false" ht="15" hidden="false" customHeight="false" outlineLevel="0" collapsed="false">
      <c r="B16" s="9" t="s">
        <v>285</v>
      </c>
      <c r="E16" s="32" t="n">
        <f aca="false">0</f>
        <v>0</v>
      </c>
      <c r="F16" s="32" t="n">
        <f aca="false">$E$16+MAX(0,-$F$14)-$F$15</f>
        <v>0</v>
      </c>
      <c r="G16" s="32" t="n">
        <f aca="false">$F$16+MAX(0,-$G$14)-$G$15</f>
        <v>0</v>
      </c>
      <c r="H16" s="32" t="n">
        <f aca="false">$G$16+MAX(0,-$H$14)-$H$15</f>
        <v>0</v>
      </c>
      <c r="I16" s="32" t="n">
        <f aca="false">$H$16+MAX(0,-$I$14)-$I$15</f>
        <v>0</v>
      </c>
      <c r="J16" s="32" t="n">
        <f aca="false">$I$16+MAX(0,-$J$14)-$J$15</f>
        <v>0</v>
      </c>
      <c r="K16" s="32" t="n">
        <f aca="false">$J$16+MAX(0,-$K$14)-$K$15</f>
        <v>0</v>
      </c>
      <c r="L16" s="32" t="n">
        <f aca="false">$K$16+MAX(0,-$L$14)-$L$15</f>
        <v>0</v>
      </c>
    </row>
    <row r="17" customFormat="false" ht="15" hidden="false" customHeight="false" outlineLevel="0" collapsed="false">
      <c r="B17" s="17" t="s">
        <v>286</v>
      </c>
      <c r="F17" s="33" t="n">
        <f aca="false">IF($F$14&lt;0,0,Assumptions!$D$7*($F$14-$F$15))</f>
        <v>6.615</v>
      </c>
      <c r="G17" s="33" t="n">
        <f aca="false">IF($G$14&lt;0,0,Assumptions!$D$7*($G$14-$G$15))</f>
        <v>7.10436</v>
      </c>
      <c r="H17" s="33" t="n">
        <f aca="false">IF($H$14&lt;0,0,Assumptions!$D$7*($H$14-$H$15))</f>
        <v>6.6508904</v>
      </c>
      <c r="I17" s="33" t="n">
        <f aca="false">IF($I$14&lt;0,0,Assumptions!$D$7*($I$14-$I$15))</f>
        <v>8.593192776</v>
      </c>
      <c r="J17" s="33" t="n">
        <f aca="false">IF($J$14&lt;0,0,Assumptions!$D$7*($J$14-$J$15))</f>
        <v>9.73725319</v>
      </c>
      <c r="K17" s="33" t="n">
        <f aca="false">IF($K$14&lt;0,0,Assumptions!$D$7*($K$14-$K$15))</f>
        <v>10.1057433176</v>
      </c>
      <c r="L17" s="33" t="n">
        <f aca="false">IF($L$14&lt;0,0,Assumptions!$D$7*($L$14-$L$15))</f>
        <v>10.488973050304</v>
      </c>
    </row>
    <row r="18" customFormat="false" ht="15" hidden="false" customHeight="false" outlineLevel="0" collapsed="false">
      <c r="B18" s="9" t="s">
        <v>287</v>
      </c>
      <c r="F18" s="19" t="n">
        <f aca="false">$F$9-$F$17</f>
        <v>10.8142857142857</v>
      </c>
      <c r="G18" s="19" t="n">
        <f aca="false">$G$9-$G$17</f>
        <v>14.7360507142857</v>
      </c>
      <c r="H18" s="19" t="n">
        <f aca="false">$H$9-$H$17</f>
        <v>9.34140347678572</v>
      </c>
      <c r="I18" s="19" t="n">
        <f aca="false">$I$9-$I$17</f>
        <v>19.808222314567</v>
      </c>
      <c r="J18" s="19" t="n">
        <f aca="false">$J$9-$J$17</f>
        <v>26.8616867045474</v>
      </c>
      <c r="K18" s="19" t="n">
        <f aca="false">$K$9-$K$17</f>
        <v>30.189695305098</v>
      </c>
      <c r="L18" s="19" t="n">
        <f aca="false">$L$9-$L$17</f>
        <v>33.0716813870711</v>
      </c>
    </row>
    <row r="19" customFormat="false" ht="15" hidden="false" customHeight="false" outlineLevel="0" collapsed="false">
      <c r="B19" s="9" t="s">
        <v>288</v>
      </c>
      <c r="F19" s="32" t="n">
        <f aca="false">Assumptions!$D$7*($F$7-$F$8)</f>
        <v>4.35732142857143</v>
      </c>
      <c r="G19" s="32" t="n">
        <f aca="false">Assumptions!$D$7*($G$7-$G$8)</f>
        <v>5.83510267857143</v>
      </c>
      <c r="H19" s="32" t="n">
        <f aca="false">Assumptions!$D$7*($H$7-$H$8)</f>
        <v>3.99807346919643</v>
      </c>
      <c r="I19" s="32" t="n">
        <f aca="false">Assumptions!$D$7*($I$7-$I$8)</f>
        <v>7.10035377264174</v>
      </c>
      <c r="J19" s="32" t="n">
        <f aca="false">Assumptions!$D$7*($J$7-$J$8)</f>
        <v>9.14973497363684</v>
      </c>
      <c r="K19" s="32" t="n">
        <f aca="false">Assumptions!$D$7*($K$7-$K$8)</f>
        <v>10.0738596556745</v>
      </c>
      <c r="L19" s="32" t="n">
        <f aca="false">Assumptions!$D$7*($L$7-$L$8)</f>
        <v>10.8901636093438</v>
      </c>
    </row>
    <row r="20" customFormat="false" ht="15" hidden="false" customHeight="false" outlineLevel="0" collapsed="false">
      <c r="B20" s="9" t="s">
        <v>289</v>
      </c>
      <c r="F20" s="32" t="n">
        <f aca="false">$F$17-$F$19</f>
        <v>2.25767857142857</v>
      </c>
      <c r="G20" s="32" t="n">
        <f aca="false">$G$17-$G$19</f>
        <v>1.26925732142857</v>
      </c>
      <c r="H20" s="32" t="n">
        <f aca="false">$H$17-$H$19</f>
        <v>2.65281693080357</v>
      </c>
      <c r="I20" s="32" t="n">
        <f aca="false">$I$17-$I$19</f>
        <v>1.49283900335826</v>
      </c>
      <c r="J20" s="32" t="n">
        <f aca="false">$J$17-$J$19</f>
        <v>0.58751821636316</v>
      </c>
      <c r="K20" s="32" t="n">
        <f aca="false">$K$17-$K$19</f>
        <v>0.0318836619254927</v>
      </c>
      <c r="L20" s="32" t="n">
        <f aca="false">$L$17-$L$19</f>
        <v>-0.401190559039769</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L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0"/>
    <col collapsed="false" customWidth="true" hidden="false" outlineLevel="0" max="3" min="3" style="0" width="12"/>
    <col collapsed="false" customWidth="true" hidden="false" outlineLevel="0" max="4" min="4" style="0" width="14"/>
    <col collapsed="false" customWidth="true" hidden="false" outlineLevel="0" max="12" min="5" style="0" width="12"/>
  </cols>
  <sheetData>
    <row r="1" customFormat="false" ht="6" hidden="false" customHeight="true" outlineLevel="0" collapsed="false"/>
    <row r="2" customFormat="false" ht="17.35" hidden="false" customHeight="false" outlineLevel="0" collapsed="false">
      <c r="B2" s="5" t="s">
        <v>290</v>
      </c>
    </row>
    <row r="3" customFormat="false" ht="15" hidden="false" customHeight="false" outlineLevel="0" collapsed="false">
      <c r="B3" s="6" t="s">
        <v>291</v>
      </c>
    </row>
    <row r="5" customFormat="false" ht="15" hidden="false" customHeight="false" outlineLevel="0" collapsed="false">
      <c r="B5" s="7" t="s">
        <v>292</v>
      </c>
      <c r="C5" s="8"/>
      <c r="D5" s="8"/>
      <c r="E5" s="8"/>
      <c r="F5" s="8"/>
      <c r="G5" s="8"/>
      <c r="H5" s="8"/>
      <c r="I5" s="8"/>
      <c r="J5" s="8"/>
      <c r="K5" s="8"/>
      <c r="L5" s="8"/>
    </row>
    <row r="6" customFormat="false" ht="15" hidden="false" customHeight="false" outlineLevel="0" collapsed="false">
      <c r="B6" s="7" t="s">
        <v>178</v>
      </c>
      <c r="E6" s="30" t="n">
        <v>0</v>
      </c>
      <c r="F6" s="30" t="n">
        <v>1</v>
      </c>
      <c r="G6" s="30" t="n">
        <v>2</v>
      </c>
      <c r="H6" s="30" t="n">
        <v>3</v>
      </c>
      <c r="I6" s="30" t="n">
        <v>4</v>
      </c>
      <c r="J6" s="30" t="n">
        <v>5</v>
      </c>
      <c r="K6" s="30" t="n">
        <v>6</v>
      </c>
      <c r="L6" s="30" t="n">
        <v>7</v>
      </c>
    </row>
    <row r="7" customFormat="false" ht="15" hidden="false" customHeight="false" outlineLevel="0" collapsed="false">
      <c r="B7" s="9" t="s">
        <v>293</v>
      </c>
      <c r="E7" s="19" t="n">
        <f aca="false">0</f>
        <v>0</v>
      </c>
      <c r="F7" s="19" t="n">
        <f aca="false">IF(AND(Assumptions!$D$115=1,Operating!$F$6=Assumptions!$D$116),Assumptions!$D$121,0)</f>
        <v>0</v>
      </c>
      <c r="G7" s="19" t="n">
        <f aca="false">IF(AND(Assumptions!$D$115=1,Operating!$G$6=Assumptions!$D$116),Assumptions!$D$121,0)</f>
        <v>52</v>
      </c>
      <c r="H7" s="19" t="n">
        <f aca="false">IF(AND(Assumptions!$D$115=1,Operating!$H$6=Assumptions!$D$116),Assumptions!$D$121,0)</f>
        <v>0</v>
      </c>
      <c r="I7" s="19" t="n">
        <f aca="false">IF(AND(Assumptions!$D$115=1,Operating!$I$6=Assumptions!$D$116),Assumptions!$D$121,0)</f>
        <v>0</v>
      </c>
      <c r="J7" s="19" t="n">
        <f aca="false">IF(AND(Assumptions!$D$115=1,Operating!$J$6=Assumptions!$D$116),Assumptions!$D$121,0)</f>
        <v>0</v>
      </c>
      <c r="K7" s="19" t="n">
        <f aca="false">IF(AND(Assumptions!$D$115=1,Operating!$K$6=Assumptions!$D$116),Assumptions!$D$121,0)</f>
        <v>0</v>
      </c>
      <c r="L7" s="19" t="n">
        <f aca="false">IF(AND(Assumptions!$D$115=1,Operating!$L$6=Assumptions!$D$116),Assumptions!$D$121,0)</f>
        <v>0</v>
      </c>
    </row>
    <row r="8" customFormat="false" ht="15" hidden="false" customHeight="false" outlineLevel="0" collapsed="false">
      <c r="B8" s="9" t="s">
        <v>294</v>
      </c>
      <c r="E8" s="19" t="n">
        <f aca="false">0</f>
        <v>0</v>
      </c>
      <c r="F8" s="19" t="n">
        <f aca="false">IF(AND(Assumptions!$D$115=1,Operating!$F$6=Assumptions!$D$116),Assumptions!$D$122,0)</f>
        <v>0</v>
      </c>
      <c r="G8" s="19" t="n">
        <f aca="false">IF(AND(Assumptions!$D$115=1,Operating!$G$6=Assumptions!$D$116),Assumptions!$D$122,0)</f>
        <v>1.5</v>
      </c>
      <c r="H8" s="19" t="n">
        <f aca="false">IF(AND(Assumptions!$D$115=1,Operating!$H$6=Assumptions!$D$116),Assumptions!$D$122,0)</f>
        <v>0</v>
      </c>
      <c r="I8" s="19" t="n">
        <f aca="false">IF(AND(Assumptions!$D$115=1,Operating!$I$6=Assumptions!$D$116),Assumptions!$D$122,0)</f>
        <v>0</v>
      </c>
      <c r="J8" s="19" t="n">
        <f aca="false">IF(AND(Assumptions!$D$115=1,Operating!$J$6=Assumptions!$D$116),Assumptions!$D$122,0)</f>
        <v>0</v>
      </c>
      <c r="K8" s="19" t="n">
        <f aca="false">IF(AND(Assumptions!$D$115=1,Operating!$K$6=Assumptions!$D$116),Assumptions!$D$122,0)</f>
        <v>0</v>
      </c>
      <c r="L8" s="19" t="n">
        <f aca="false">IF(AND(Assumptions!$D$115=1,Operating!$L$6=Assumptions!$D$116),Assumptions!$D$122,0)</f>
        <v>0</v>
      </c>
    </row>
    <row r="9" customFormat="false" ht="15" hidden="false" customHeight="false" outlineLevel="0" collapsed="false">
      <c r="B9" s="9" t="s">
        <v>295</v>
      </c>
      <c r="E9" s="19" t="n">
        <f aca="false">0</f>
        <v>0</v>
      </c>
      <c r="F9" s="19" t="n">
        <f aca="false">IF(AND(Assumptions!$D$115=1,Operating!$F$6=Assumptions!$D$116,Assumptions!$D$142=0),Assumptions!$D$125,0)</f>
        <v>0</v>
      </c>
      <c r="G9" s="19" t="n">
        <f aca="false">IF(AND(Assumptions!$D$115=1,Operating!$G$6=Assumptions!$D$116,Assumptions!$D$142=0),Assumptions!$D$125,0)</f>
        <v>40</v>
      </c>
      <c r="H9" s="19" t="n">
        <f aca="false">IF(AND(Assumptions!$D$115=1,Operating!$H$6=Assumptions!$D$116,Assumptions!$D$142=0),Assumptions!$D$125,0)</f>
        <v>0</v>
      </c>
      <c r="I9" s="19" t="n">
        <f aca="false">IF(AND(Assumptions!$D$115=1,Operating!$I$6=Assumptions!$D$116,Assumptions!$D$142=0),Assumptions!$D$125,0)</f>
        <v>0</v>
      </c>
      <c r="J9" s="19" t="n">
        <f aca="false">IF(AND(Assumptions!$D$115=1,Operating!$J$6=Assumptions!$D$116,Assumptions!$D$142=0),Assumptions!$D$125,0)</f>
        <v>0</v>
      </c>
      <c r="K9" s="19" t="n">
        <f aca="false">IF(AND(Assumptions!$D$115=1,Operating!$K$6=Assumptions!$D$116,Assumptions!$D$142=0),Assumptions!$D$125,0)</f>
        <v>0</v>
      </c>
      <c r="L9" s="19" t="n">
        <f aca="false">IF(AND(Assumptions!$D$115=1,Operating!$L$6=Assumptions!$D$116,Assumptions!$D$142=0),Assumptions!$D$125,0)</f>
        <v>0</v>
      </c>
    </row>
    <row r="10" customFormat="false" ht="15" hidden="false" customHeight="false" outlineLevel="0" collapsed="false">
      <c r="B10" s="9" t="s">
        <v>296</v>
      </c>
      <c r="E10" s="19" t="n">
        <f aca="false">0</f>
        <v>0</v>
      </c>
      <c r="F10" s="19" t="n">
        <f aca="false">Assumptions!$D$77*$F$9</f>
        <v>0</v>
      </c>
      <c r="G10" s="19" t="n">
        <f aca="false">Assumptions!$D$77*$G$9</f>
        <v>0.8</v>
      </c>
      <c r="H10" s="19" t="n">
        <f aca="false">Assumptions!$D$77*$H$9</f>
        <v>0</v>
      </c>
      <c r="I10" s="19" t="n">
        <f aca="false">Assumptions!$D$77*$I$9</f>
        <v>0</v>
      </c>
      <c r="J10" s="19" t="n">
        <f aca="false">Assumptions!$D$77*$J$9</f>
        <v>0</v>
      </c>
      <c r="K10" s="19" t="n">
        <f aca="false">Assumptions!$D$77*$K$9</f>
        <v>0</v>
      </c>
      <c r="L10" s="19" t="n">
        <f aca="false">Assumptions!$D$77*$L$9</f>
        <v>0</v>
      </c>
    </row>
    <row r="11" customFormat="false" ht="15" hidden="false" customHeight="false" outlineLevel="0" collapsed="false">
      <c r="B11" s="9" t="s">
        <v>297</v>
      </c>
      <c r="E11" s="19" t="n">
        <f aca="false">0</f>
        <v>0</v>
      </c>
      <c r="F11" s="19" t="n">
        <f aca="false">IF(AND(Assumptions!$D$137=1,Operating!$F$6=Assumptions!$D$138),Assumptions!$D$139,0)</f>
        <v>0</v>
      </c>
      <c r="G11" s="19" t="n">
        <f aca="false">IF(AND(Assumptions!$D$137=1,Operating!$G$6=Assumptions!$D$138),Assumptions!$D$139,0)</f>
        <v>0</v>
      </c>
      <c r="H11" s="19" t="n">
        <f aca="false">IF(AND(Assumptions!$D$137=1,Operating!$H$6=Assumptions!$D$138),Assumptions!$D$139,0)</f>
        <v>0</v>
      </c>
      <c r="I11" s="19" t="n">
        <f aca="false">IF(AND(Assumptions!$D$137=1,Operating!$I$6=Assumptions!$D$138),Assumptions!$D$139,0)</f>
        <v>0</v>
      </c>
      <c r="J11" s="19" t="n">
        <f aca="false">IF(AND(Assumptions!$D$137=1,Operating!$J$6=Assumptions!$D$138),Assumptions!$D$139,0)</f>
        <v>0</v>
      </c>
      <c r="K11" s="19" t="n">
        <f aca="false">IF(AND(Assumptions!$D$137=1,Operating!$K$6=Assumptions!$D$138),Assumptions!$D$139,0)</f>
        <v>0</v>
      </c>
      <c r="L11" s="19" t="n">
        <f aca="false">IF(AND(Assumptions!$D$137=1,Operating!$L$6=Assumptions!$D$138),Assumptions!$D$139,0)</f>
        <v>0</v>
      </c>
    </row>
    <row r="12" customFormat="false" ht="15" hidden="false" customHeight="false" outlineLevel="0" collapsed="false">
      <c r="B12" s="9" t="s">
        <v>298</v>
      </c>
      <c r="E12" s="19" t="n">
        <f aca="false">0</f>
        <v>0</v>
      </c>
      <c r="F12" s="19" t="n">
        <f aca="false">Assumptions!$D$140*$F$11</f>
        <v>0</v>
      </c>
      <c r="G12" s="19" t="n">
        <f aca="false">Assumptions!$D$140*$G$11</f>
        <v>0</v>
      </c>
      <c r="H12" s="19" t="n">
        <f aca="false">Assumptions!$D$140*$H$11</f>
        <v>0</v>
      </c>
      <c r="I12" s="19" t="n">
        <f aca="false">Assumptions!$D$140*$I$11</f>
        <v>0</v>
      </c>
      <c r="J12" s="19" t="n">
        <f aca="false">Assumptions!$D$140*$J$11</f>
        <v>0</v>
      </c>
      <c r="K12" s="19" t="n">
        <f aca="false">Assumptions!$D$140*$K$11</f>
        <v>0</v>
      </c>
      <c r="L12" s="19" t="n">
        <f aca="false">Assumptions!$D$140*$L$11</f>
        <v>0</v>
      </c>
    </row>
    <row r="13" customFormat="false" ht="15" hidden="false" customHeight="false" outlineLevel="0" collapsed="false">
      <c r="B13" s="9" t="s">
        <v>299</v>
      </c>
      <c r="E13" s="19" t="n">
        <f aca="false">0</f>
        <v>0</v>
      </c>
      <c r="F13" s="19" t="n">
        <f aca="false">$F$11</f>
        <v>0</v>
      </c>
      <c r="G13" s="19" t="n">
        <f aca="false">$G$11</f>
        <v>0</v>
      </c>
      <c r="H13" s="19" t="n">
        <f aca="false">$H$11</f>
        <v>0</v>
      </c>
      <c r="I13" s="19" t="n">
        <f aca="false">$I$11</f>
        <v>0</v>
      </c>
      <c r="J13" s="19" t="n">
        <f aca="false">$J$11</f>
        <v>0</v>
      </c>
      <c r="K13" s="19" t="n">
        <f aca="false">$K$11</f>
        <v>0</v>
      </c>
      <c r="L13" s="19" t="n">
        <f aca="false">$L$11</f>
        <v>0</v>
      </c>
    </row>
    <row r="14" customFormat="false" ht="15" hidden="false" customHeight="false" outlineLevel="0" collapsed="false">
      <c r="B14" s="9" t="s">
        <v>300</v>
      </c>
      <c r="E14" s="32" t="n">
        <f aca="false">0</f>
        <v>0</v>
      </c>
      <c r="F14" s="32" t="n">
        <f aca="false">IF(AND(Assumptions!$D$145=1,Operating!$F$6=Assumptions!$D$146),Assumptions!$D$147*Debt!$E$26,0)</f>
        <v>0</v>
      </c>
      <c r="G14" s="32" t="n">
        <f aca="false">IF(AND(Assumptions!$D$145=1,Operating!$G$6=Assumptions!$D$146),Assumptions!$D$147*Debt!$F$26,0)</f>
        <v>0</v>
      </c>
      <c r="H14" s="32" t="n">
        <f aca="false">IF(AND(Assumptions!$D$145=1,Operating!$H$6=Assumptions!$D$146),Assumptions!$D$147*Debt!$G$26,0)</f>
        <v>0</v>
      </c>
      <c r="I14" s="32" t="n">
        <f aca="false">IF(AND(Assumptions!$D$145=1,Operating!$I$6=Assumptions!$D$146),Assumptions!$D$147*Debt!$H$26,0)</f>
        <v>0</v>
      </c>
      <c r="J14" s="32" t="n">
        <f aca="false">IF(AND(Assumptions!$D$145=1,Operating!$J$6=Assumptions!$D$146),Assumptions!$D$147*Debt!$I$26,0)</f>
        <v>0</v>
      </c>
      <c r="K14" s="32" t="n">
        <f aca="false">IF(AND(Assumptions!$D$145=1,Operating!$K$6=Assumptions!$D$146),Assumptions!$D$147*Debt!$J$26,0)</f>
        <v>0</v>
      </c>
      <c r="L14" s="32" t="n">
        <f aca="false">IF(AND(Assumptions!$D$145=1,Operating!$L$6=Assumptions!$D$146),Assumptions!$D$147*Debt!$K$26,0)</f>
        <v>0</v>
      </c>
    </row>
    <row r="15" customFormat="false" ht="15" hidden="false" customHeight="false" outlineLevel="0" collapsed="false">
      <c r="B15" s="9" t="s">
        <v>301</v>
      </c>
      <c r="E15" s="19" t="n">
        <f aca="false">0</f>
        <v>0</v>
      </c>
      <c r="F15" s="19" t="n">
        <f aca="false">IF(AND(Assumptions!$D$144=Operating!$F$6,Assumptions!$D$143&lt;&gt;0),Assumptions!$D$143,0)</f>
        <v>0</v>
      </c>
      <c r="G15" s="19" t="n">
        <f aca="false">IF(AND(Assumptions!$D$144=Operating!$G$6,Assumptions!$D$143&lt;&gt;0),Assumptions!$D$143,0)</f>
        <v>0</v>
      </c>
      <c r="H15" s="19" t="n">
        <f aca="false">IF(AND(Assumptions!$D$144=Operating!$H$6,Assumptions!$D$143&lt;&gt;0),Assumptions!$D$143,0)</f>
        <v>0</v>
      </c>
      <c r="I15" s="19" t="n">
        <f aca="false">IF(AND(Assumptions!$D$144=Operating!$I$6,Assumptions!$D$143&lt;&gt;0),Assumptions!$D$143,0)</f>
        <v>0</v>
      </c>
      <c r="J15" s="19" t="n">
        <f aca="false">IF(AND(Assumptions!$D$144=Operating!$J$6,Assumptions!$D$143&lt;&gt;0),Assumptions!$D$143,0)</f>
        <v>0</v>
      </c>
      <c r="K15" s="19" t="n">
        <f aca="false">IF(AND(Assumptions!$D$144=Operating!$K$6,Assumptions!$D$143&lt;&gt;0),Assumptions!$D$143,0)</f>
        <v>0</v>
      </c>
      <c r="L15" s="19" t="n">
        <f aca="false">IF(AND(Assumptions!$D$144=Operating!$L$6,Assumptions!$D$143&lt;&gt;0),Assumptions!$D$143,0)</f>
        <v>0</v>
      </c>
    </row>
    <row r="16" customFormat="false" ht="15" hidden="false" customHeight="false" outlineLevel="0" collapsed="false">
      <c r="B16" s="17" t="s">
        <v>302</v>
      </c>
      <c r="F16" s="18" t="n">
        <f aca="false">Operating!$F$14-Tax!$F$17-Debt!$F$13-Operating!$F$17-Operating!$F$21-$F$8-$F$12-$F$14</f>
        <v>11.36</v>
      </c>
      <c r="G16" s="18" t="n">
        <f aca="false">Operating!$G$14-Tax!$G$17-Debt!$G$13-Operating!$G$17-Operating!$G$21-$G$8-$G$12-$G$14</f>
        <v>14.883365</v>
      </c>
      <c r="H16" s="18" t="n">
        <f aca="false">Operating!$H$14-Tax!$H$17-Debt!$H$13-Operating!$H$17-Operating!$H$21-$H$8-$H$12-$H$14</f>
        <v>14.5494217625</v>
      </c>
      <c r="I16" s="18" t="n">
        <f aca="false">Operating!$I$14-Tax!$I$17-Debt!$I$13-Operating!$I$17-Operating!$I$21-$I$8-$I$12-$I$14</f>
        <v>19.7577858802813</v>
      </c>
      <c r="J16" s="18" t="n">
        <f aca="false">Operating!$J$14-Tax!$J$17-Debt!$J$13-Operating!$J$17-Operating!$J$21-$J$8-$J$12-$J$14</f>
        <v>27.5646900942617</v>
      </c>
      <c r="K16" s="18" t="n">
        <f aca="false">Operating!$K$14-Tax!$K$17-Debt!$K$13-Operating!$K$17-Operating!$K$21-$K$8-$K$12-$K$14</f>
        <v>31.3128611325723</v>
      </c>
      <c r="L16" s="18" t="n">
        <f aca="false">Operating!$L$14-Tax!$L$17-Debt!$L$13-Operating!$L$17-Operating!$L$21-$L$8-$L$12-$L$14</f>
        <v>34.2019452762158</v>
      </c>
    </row>
    <row r="17" customFormat="false" ht="15" hidden="false" customHeight="false" outlineLevel="0" collapsed="false">
      <c r="B17" s="9" t="s">
        <v>303</v>
      </c>
      <c r="F17" s="19" t="n">
        <f aca="false">Operating!$F$17+Operating!$F$21</f>
        <v>12</v>
      </c>
      <c r="G17" s="19" t="n">
        <f aca="false">Operating!$G$17+Operating!$G$21</f>
        <v>13.104</v>
      </c>
      <c r="H17" s="19" t="n">
        <f aca="false">Operating!$H$17+Operating!$H$21</f>
        <v>9.63935999999999</v>
      </c>
      <c r="I17" s="19" t="n">
        <f aca="false">Operating!$I$17+Operating!$I$21</f>
        <v>15.8054112</v>
      </c>
      <c r="J17" s="19" t="n">
        <f aca="false">Operating!$J$17+Operating!$J$21</f>
        <v>15.7697208</v>
      </c>
      <c r="K17" s="19" t="n">
        <f aca="false">Operating!$K$17+Operating!$K$21</f>
        <v>15.9706387584</v>
      </c>
      <c r="L17" s="19" t="n">
        <f aca="false">Operating!$L$17+Operating!$L$21</f>
        <v>16.609464308736</v>
      </c>
    </row>
    <row r="18" customFormat="false" ht="15" hidden="false" customHeight="false" outlineLevel="0" collapsed="false">
      <c r="B18" s="7" t="s">
        <v>304</v>
      </c>
      <c r="C18" s="8"/>
      <c r="D18" s="8"/>
      <c r="E18" s="8"/>
      <c r="F18" s="8"/>
      <c r="G18" s="8"/>
      <c r="H18" s="8"/>
      <c r="I18" s="8"/>
      <c r="J18" s="8"/>
      <c r="K18" s="8"/>
      <c r="L18" s="8"/>
    </row>
    <row r="19" customFormat="false" ht="15" hidden="false" customHeight="false" outlineLevel="0" collapsed="false">
      <c r="B19" s="9" t="s">
        <v>305</v>
      </c>
      <c r="F19" s="19" t="n">
        <f aca="false">Debt!$E$31</f>
        <v>10</v>
      </c>
      <c r="G19" s="19" t="n">
        <f aca="false">Debt!$F$31</f>
        <v>14.555</v>
      </c>
      <c r="H19" s="19" t="n">
        <f aca="false">Debt!$G$31</f>
        <v>12.1941825</v>
      </c>
      <c r="I19" s="19" t="n">
        <f aca="false">Debt!$H$31</f>
        <v>17.04680213125</v>
      </c>
      <c r="J19" s="19" t="n">
        <f aca="false">Debt!$I$31</f>
        <v>22.0772940057656</v>
      </c>
      <c r="K19" s="19" t="n">
        <f aca="false">Debt!$J$31</f>
        <v>37.7439880750205</v>
      </c>
      <c r="L19" s="19" t="n">
        <f aca="false">Debt!$K$31</f>
        <v>66.4068492075928</v>
      </c>
    </row>
    <row r="20" customFormat="false" ht="15" hidden="false" customHeight="false" outlineLevel="0" collapsed="false">
      <c r="B20" s="9" t="s">
        <v>306</v>
      </c>
      <c r="F20" s="19" t="n">
        <f aca="false">Debt!$E$31+$F$16-Debt!$F$17-$F$7-$F$10+$F$9+$F$11-$F$13+$F$15</f>
        <v>19.11</v>
      </c>
      <c r="G20" s="19" t="n">
        <f aca="false">Debt!$F$31+$G$16-Debt!$G$17-$G$7-$G$10+$G$9+$G$11-$G$13+$G$15</f>
        <v>14.388365</v>
      </c>
      <c r="H20" s="19" t="n">
        <f aca="false">Debt!$G$31+$H$16-Debt!$H$17-$H$7-$H$10+$H$9+$H$11-$H$13+$H$15</f>
        <v>24.0936042625</v>
      </c>
      <c r="I20" s="19" t="n">
        <f aca="false">Debt!$H$31+$I$16-Debt!$I$17-$I$7-$I$10+$I$9+$I$11-$I$13+$I$15</f>
        <v>34.1545880115313</v>
      </c>
      <c r="J20" s="19" t="n">
        <f aca="false">Debt!$I$31+$J$16-Debt!$J$17-$J$7-$J$10+$J$9+$J$11-$J$13+$J$15</f>
        <v>46.9919841000273</v>
      </c>
      <c r="K20" s="19" t="n">
        <f aca="false">Debt!$J$31+$K$16-Debt!$K$17-$K$7-$K$10+$K$9+$K$11-$K$13+$K$15</f>
        <v>66.4068492075928</v>
      </c>
      <c r="L20" s="19" t="n">
        <f aca="false">Debt!$K$31+$L$16-Debt!$L$17-$L$7-$L$10+$L$9+$L$11-$L$13+$L$15</f>
        <v>97.9587944838085</v>
      </c>
    </row>
    <row r="21" customFormat="false" ht="15" hidden="false" customHeight="false" outlineLevel="0" collapsed="false">
      <c r="B21" s="17" t="s">
        <v>307</v>
      </c>
      <c r="F21" s="18" t="n">
        <f aca="false">$F$20+Debt!$F$18-Debt!$F$19-Debt!$F$23</f>
        <v>14.555</v>
      </c>
      <c r="G21" s="18" t="n">
        <f aca="false">$G$20+Debt!$G$18-Debt!$G$19-Debt!$G$23</f>
        <v>12.1941825</v>
      </c>
      <c r="H21" s="18" t="n">
        <f aca="false">$H$20+Debt!$H$18-Debt!$H$19-Debt!$H$23</f>
        <v>17.04680213125</v>
      </c>
      <c r="I21" s="18" t="n">
        <f aca="false">$I$20+Debt!$I$18-Debt!$I$19-Debt!$I$23</f>
        <v>22.0772940057656</v>
      </c>
      <c r="J21" s="18" t="n">
        <f aca="false">$J$20+Debt!$J$18-Debt!$J$19-Debt!$J$23</f>
        <v>37.7439880750205</v>
      </c>
      <c r="K21" s="18" t="n">
        <f aca="false">$K$20+Debt!$K$18-Debt!$K$19-Debt!$K$23</f>
        <v>66.4068492075928</v>
      </c>
      <c r="L21" s="18" t="n">
        <f aca="false">$L$20+Debt!$L$18-Debt!$L$19-Debt!$L$23</f>
        <v>97.9587944838085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L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0"/>
    <col collapsed="false" customWidth="true" hidden="false" outlineLevel="0" max="3" min="3" style="0" width="12"/>
    <col collapsed="false" customWidth="true" hidden="false" outlineLevel="0" max="4" min="4" style="0" width="14"/>
    <col collapsed="false" customWidth="true" hidden="false" outlineLevel="0" max="12" min="5" style="0" width="12"/>
  </cols>
  <sheetData>
    <row r="1" customFormat="false" ht="6" hidden="false" customHeight="true" outlineLevel="0" collapsed="false"/>
    <row r="2" customFormat="false" ht="17.35" hidden="false" customHeight="false" outlineLevel="0" collapsed="false">
      <c r="B2" s="5" t="s">
        <v>308</v>
      </c>
    </row>
    <row r="3" customFormat="false" ht="15" hidden="false" customHeight="false" outlineLevel="0" collapsed="false">
      <c r="B3" s="6" t="s">
        <v>309</v>
      </c>
    </row>
    <row r="5" customFormat="false" ht="15" hidden="false" customHeight="false" outlineLevel="0" collapsed="false">
      <c r="B5" s="7" t="s">
        <v>310</v>
      </c>
      <c r="C5" s="8"/>
      <c r="D5" s="8"/>
      <c r="E5" s="8"/>
      <c r="F5" s="8"/>
      <c r="G5" s="8"/>
      <c r="H5" s="8"/>
      <c r="I5" s="8"/>
      <c r="J5" s="8"/>
      <c r="K5" s="8"/>
      <c r="L5" s="8"/>
    </row>
    <row r="6" customFormat="false" ht="15" hidden="false" customHeight="false" outlineLevel="0" collapsed="false">
      <c r="B6" s="7" t="s">
        <v>178</v>
      </c>
      <c r="E6" s="30" t="n">
        <v>0</v>
      </c>
      <c r="F6" s="30" t="n">
        <v>1</v>
      </c>
      <c r="G6" s="30" t="n">
        <v>2</v>
      </c>
      <c r="H6" s="30" t="n">
        <v>3</v>
      </c>
      <c r="I6" s="30" t="n">
        <v>4</v>
      </c>
      <c r="J6" s="30" t="n">
        <v>5</v>
      </c>
      <c r="K6" s="30" t="n">
        <v>6</v>
      </c>
      <c r="L6" s="30" t="n">
        <v>7</v>
      </c>
    </row>
    <row r="7" customFormat="false" ht="15" hidden="false" customHeight="false" outlineLevel="0" collapsed="false">
      <c r="B7" s="9" t="s">
        <v>267</v>
      </c>
      <c r="E7" s="19" t="n">
        <f aca="false">Debt!$E$31</f>
        <v>10</v>
      </c>
      <c r="F7" s="19" t="n">
        <f aca="false">Debt!$F$31</f>
        <v>14.555</v>
      </c>
      <c r="G7" s="19" t="n">
        <f aca="false">Debt!$G$31</f>
        <v>12.1941825</v>
      </c>
      <c r="H7" s="19" t="n">
        <f aca="false">Debt!$H$31</f>
        <v>17.04680213125</v>
      </c>
      <c r="I7" s="19" t="n">
        <f aca="false">Debt!$I$31</f>
        <v>22.0772940057656</v>
      </c>
      <c r="J7" s="19" t="n">
        <f aca="false">Debt!$J$31</f>
        <v>37.7439880750205</v>
      </c>
      <c r="K7" s="19" t="n">
        <f aca="false">Debt!$K$31</f>
        <v>66.4068492075928</v>
      </c>
      <c r="L7" s="19" t="n">
        <f aca="false">Debt!$L$31</f>
        <v>97.9587944838085</v>
      </c>
    </row>
    <row r="8" customFormat="false" ht="15" hidden="false" customHeight="false" outlineLevel="0" collapsed="false">
      <c r="B8" s="9" t="s">
        <v>311</v>
      </c>
      <c r="E8" s="19" t="n">
        <f aca="false">Operating!$E$20</f>
        <v>38.4</v>
      </c>
      <c r="F8" s="19" t="n">
        <f aca="false">Operating!$F$20</f>
        <v>40.32</v>
      </c>
      <c r="G8" s="19" t="n">
        <f aca="false">Operating!$G$20</f>
        <v>49.9392</v>
      </c>
      <c r="H8" s="19" t="n">
        <f aca="false">Operating!$H$20</f>
        <v>47.662848</v>
      </c>
      <c r="I8" s="19" t="n">
        <f aca="false">Operating!$I$20</f>
        <v>50.77460736</v>
      </c>
      <c r="J8" s="19" t="n">
        <f aca="false">Operating!$J$20</f>
        <v>53.235462528</v>
      </c>
      <c r="K8" s="19" t="n">
        <f aca="false">Operating!$K$20</f>
        <v>55.36488102912</v>
      </c>
      <c r="L8" s="19" t="n">
        <f aca="false">Operating!$L$20</f>
        <v>57.5794762702848</v>
      </c>
    </row>
    <row r="9" customFormat="false" ht="15" hidden="false" customHeight="false" outlineLevel="0" collapsed="false">
      <c r="B9" s="9" t="s">
        <v>312</v>
      </c>
      <c r="E9" s="19" t="n">
        <f aca="false">Assumptions!$D$28*Assumptions!$D$13</f>
        <v>48</v>
      </c>
      <c r="F9" s="19" t="n">
        <f aca="false">$E$9+Operating!$F$17-Operating!$F$16+IF(AND(Assumptions!$D$115=1,Operating!$F$6=Assumptions!$D$116),Assumptions!$D$124*Assumptions!$D$117,0)</f>
        <v>46.32</v>
      </c>
      <c r="G9" s="19" t="n">
        <f aca="false">$F$9+Operating!$G$17-Operating!$G$16+IF(AND(Assumptions!$D$115=1,Operating!$G$6=Assumptions!$D$116),Assumptions!$D$124*Assumptions!$D$117,0)</f>
        <v>50.5392</v>
      </c>
      <c r="H9" s="19" t="n">
        <f aca="false">$G$9+Operating!$H$17-Operating!$H$16+IF(AND(Assumptions!$D$115=1,Operating!$H$6=Assumptions!$D$116),Assumptions!$D$124*Assumptions!$D$117,0)</f>
        <v>48.553248</v>
      </c>
      <c r="I9" s="19" t="n">
        <f aca="false">$H$9+Operating!$I$17-Operating!$I$16+IF(AND(Assumptions!$D$115=1,Operating!$I$6=Assumptions!$D$116),Assumptions!$D$124*Assumptions!$D$117,0)</f>
        <v>46.43763936</v>
      </c>
      <c r="J9" s="19" t="n">
        <f aca="false">$I$9+Operating!$J$17-Operating!$J$16+IF(AND(Assumptions!$D$115=1,Operating!$J$6=Assumptions!$D$116),Assumptions!$D$124*Assumptions!$D$117,0)</f>
        <v>44.219495088</v>
      </c>
      <c r="K9" s="19" t="n">
        <f aca="false">$J$9+Operating!$K$17-Operating!$K$16+IF(AND(Assumptions!$D$115=1,Operating!$K$6=Assumptions!$D$116),Assumptions!$D$124*Assumptions!$D$117,0)</f>
        <v>41.91262504512</v>
      </c>
      <c r="L9" s="19" t="n">
        <f aca="false">$K$9+Operating!$L$17-Operating!$L$16+IF(AND(Assumptions!$D$115=1,Operating!$L$6=Assumptions!$D$116),Assumptions!$D$124*Assumptions!$D$117,0)</f>
        <v>39.5134802005248</v>
      </c>
    </row>
    <row r="10" customFormat="false" ht="15" hidden="false" customHeight="false" outlineLevel="0" collapsed="false">
      <c r="B10" s="9" t="s">
        <v>313</v>
      </c>
      <c r="E10" s="19" t="n">
        <f aca="false">Sources_Uses!$D$7-Operating!$E$20-Assumptions!$D$28*Assumptions!$D$13</f>
        <v>363.6</v>
      </c>
      <c r="F10" s="19" t="n">
        <f aca="false">$E$10+IF(Cash_Flow!$F$7&gt;0,Cash_Flow!$F$7-Assumptions!$D$117*Assumptions!$D$27-Assumptions!$D$124*Assumptions!$D$117,0)</f>
        <v>363.6</v>
      </c>
      <c r="G10" s="19" t="n">
        <f aca="false">$F$10+IF(Cash_Flow!$G$7&gt;0,Cash_Flow!$G$7-Assumptions!$D$117*Assumptions!$D$27-Assumptions!$D$124*Assumptions!$D$117,0)</f>
        <v>402.4</v>
      </c>
      <c r="H10" s="19" t="n">
        <f aca="false">$G$10+IF(Cash_Flow!$H$7&gt;0,Cash_Flow!$H$7-Assumptions!$D$117*Assumptions!$D$27-Assumptions!$D$124*Assumptions!$D$117,0)</f>
        <v>402.4</v>
      </c>
      <c r="I10" s="19" t="n">
        <f aca="false">$H$10+IF(Cash_Flow!$I$7&gt;0,Cash_Flow!$I$7-Assumptions!$D$117*Assumptions!$D$27-Assumptions!$D$124*Assumptions!$D$117,0)</f>
        <v>402.4</v>
      </c>
      <c r="J10" s="19" t="n">
        <f aca="false">$I$10+IF(Cash_Flow!$J$7&gt;0,Cash_Flow!$J$7-Assumptions!$D$117*Assumptions!$D$27-Assumptions!$D$124*Assumptions!$D$117,0)</f>
        <v>402.4</v>
      </c>
      <c r="K10" s="19" t="n">
        <f aca="false">$J$10+IF(Cash_Flow!$K$7&gt;0,Cash_Flow!$K$7-Assumptions!$D$117*Assumptions!$D$27-Assumptions!$D$124*Assumptions!$D$117,0)</f>
        <v>402.4</v>
      </c>
      <c r="L10" s="19" t="n">
        <f aca="false">$K$10+IF(Cash_Flow!$L$7&gt;0,Cash_Flow!$L$7-Assumptions!$D$117*Assumptions!$D$27-Assumptions!$D$124*Assumptions!$D$117,0)</f>
        <v>402.4</v>
      </c>
    </row>
    <row r="11" customFormat="false" ht="15" hidden="false" customHeight="false" outlineLevel="0" collapsed="false">
      <c r="B11" s="9" t="s">
        <v>314</v>
      </c>
      <c r="E11" s="19" t="n">
        <f aca="false">Sources_Uses!$D$11</f>
        <v>5.5</v>
      </c>
      <c r="F11" s="19" t="n">
        <f aca="false">$E$11-Debt!$F$14+Cash_Flow!$F$10</f>
        <v>4.71428571428571</v>
      </c>
      <c r="G11" s="19" t="n">
        <f aca="false">$F$11-Debt!$G$14+Cash_Flow!$G$10</f>
        <v>4.72857142857143</v>
      </c>
      <c r="H11" s="19" t="n">
        <f aca="false">$G$11-Debt!$H$14+Cash_Flow!$H$10</f>
        <v>3.78285714285714</v>
      </c>
      <c r="I11" s="19" t="n">
        <f aca="false">$H$11-Debt!$I$14+Cash_Flow!$I$10</f>
        <v>2.83714285714286</v>
      </c>
      <c r="J11" s="19" t="n">
        <f aca="false">$I$11-Debt!$J$14+Cash_Flow!$J$10</f>
        <v>1.89142857142857</v>
      </c>
      <c r="K11" s="19" t="n">
        <f aca="false">$J$11-Debt!$K$14+Cash_Flow!$K$10</f>
        <v>0.945714285714286</v>
      </c>
      <c r="L11" s="19" t="n">
        <f aca="false">$K$11-Debt!$L$14+Cash_Flow!$L$10</f>
        <v>0</v>
      </c>
    </row>
    <row r="12" customFormat="false" ht="15" hidden="false" customHeight="false" outlineLevel="0" collapsed="false">
      <c r="B12" s="17" t="s">
        <v>315</v>
      </c>
      <c r="E12" s="18" t="n">
        <f aca="false">$E$7+$E$8+$E$9+$E$10+$E$11</f>
        <v>465.5</v>
      </c>
      <c r="F12" s="18" t="n">
        <f aca="false">$F$7+$F$8+$F$9+$F$10+$F$11</f>
        <v>469.509285714286</v>
      </c>
      <c r="G12" s="18" t="n">
        <f aca="false">$G$7+$G$8+$G$9+$G$10+$G$11</f>
        <v>519.801153928572</v>
      </c>
      <c r="H12" s="18" t="n">
        <f aca="false">$H$7+$H$8+$H$9+$H$10+$H$11</f>
        <v>519.445755274107</v>
      </c>
      <c r="I12" s="18" t="n">
        <f aca="false">$I$7+$I$8+$I$9+$I$10+$I$11</f>
        <v>524.526683582909</v>
      </c>
      <c r="J12" s="18" t="n">
        <f aca="false">$J$7+$J$8+$J$9+$J$10+$J$11</f>
        <v>539.490374262449</v>
      </c>
      <c r="K12" s="18" t="n">
        <f aca="false">$K$7+$K$8+$K$9+$K$10+$K$11</f>
        <v>567.030069567547</v>
      </c>
      <c r="L12" s="18" t="n">
        <f aca="false">$L$7+$L$8+$L$9+$L$10+$L$11</f>
        <v>597.451750954618</v>
      </c>
    </row>
    <row r="13" customFormat="false" ht="15" hidden="false" customHeight="false" outlineLevel="0" collapsed="false">
      <c r="B13" s="9" t="s">
        <v>316</v>
      </c>
      <c r="E13" s="19" t="n">
        <f aca="false">Debt!$E$30</f>
        <v>275</v>
      </c>
      <c r="F13" s="19" t="n">
        <f aca="false">Debt!$F$30</f>
        <v>268.195</v>
      </c>
      <c r="G13" s="19" t="n">
        <f aca="false">Debt!$G$30</f>
        <v>303.7508175</v>
      </c>
      <c r="H13" s="19" t="n">
        <f aca="false">Debt!$H$30</f>
        <v>294.05401536875</v>
      </c>
      <c r="I13" s="19" t="n">
        <f aca="false">Debt!$I$30</f>
        <v>279.326721362984</v>
      </c>
      <c r="J13" s="19" t="n">
        <f aca="false">Debt!$J$30</f>
        <v>267.428725337978</v>
      </c>
      <c r="K13" s="19" t="n">
        <f aca="false">Debt!$K$30</f>
        <v>264.778725337978</v>
      </c>
      <c r="L13" s="19" t="n">
        <f aca="false">Debt!$L$30</f>
        <v>262.128725337977</v>
      </c>
    </row>
    <row r="14" customFormat="false" ht="15" hidden="false" customHeight="false" outlineLevel="0" collapsed="false">
      <c r="B14" s="9" t="s">
        <v>317</v>
      </c>
      <c r="E14" s="19" t="n">
        <f aca="false">Sources_Uses!$D$24-Assumptions!$D$76</f>
        <v>190.5</v>
      </c>
      <c r="F14" s="19" t="n">
        <f aca="false">$E$14+Tax!$F$18-Cash_Flow!$F$13+Cash_Flow!$F$15</f>
        <v>201.314285714286</v>
      </c>
      <c r="G14" s="19" t="n">
        <f aca="false">$F$14+Tax!$G$18-Cash_Flow!$G$13+Cash_Flow!$G$15</f>
        <v>216.050336428571</v>
      </c>
      <c r="H14" s="19" t="n">
        <f aca="false">$G$14+Tax!$H$18-Cash_Flow!$H$13+Cash_Flow!$H$15</f>
        <v>225.391739905357</v>
      </c>
      <c r="I14" s="19" t="n">
        <f aca="false">$H$14+Tax!$I$18-Cash_Flow!$I$13+Cash_Flow!$I$15</f>
        <v>245.199962219924</v>
      </c>
      <c r="J14" s="19" t="n">
        <f aca="false">$I$14+Tax!$J$18-Cash_Flow!$J$13+Cash_Flow!$J$15</f>
        <v>272.061648924471</v>
      </c>
      <c r="K14" s="19" t="n">
        <f aca="false">$J$14+Tax!$K$18-Cash_Flow!$K$13+Cash_Flow!$K$15</f>
        <v>302.25134422957</v>
      </c>
      <c r="L14" s="19" t="n">
        <f aca="false">$K$14+Tax!$L$18-Cash_Flow!$L$13+Cash_Flow!$L$15</f>
        <v>335.323025616641</v>
      </c>
    </row>
    <row r="15" customFormat="false" ht="15" hidden="false" customHeight="false" outlineLevel="0" collapsed="false">
      <c r="B15" s="17" t="s">
        <v>318</v>
      </c>
      <c r="E15" s="18" t="n">
        <f aca="false">$E$13+$E$14</f>
        <v>465.5</v>
      </c>
      <c r="F15" s="18" t="n">
        <f aca="false">$F$13+$F$14</f>
        <v>469.509285714286</v>
      </c>
      <c r="G15" s="18" t="n">
        <f aca="false">$G$13+$G$14</f>
        <v>519.801153928572</v>
      </c>
      <c r="H15" s="18" t="n">
        <f aca="false">$H$13+$H$14</f>
        <v>519.445755274107</v>
      </c>
      <c r="I15" s="18" t="n">
        <f aca="false">$I$13+$I$14</f>
        <v>524.526683582909</v>
      </c>
      <c r="J15" s="18" t="n">
        <f aca="false">$J$13+$J$14</f>
        <v>539.490374262449</v>
      </c>
      <c r="K15" s="18" t="n">
        <f aca="false">$K$13+$K$14</f>
        <v>567.030069567547</v>
      </c>
      <c r="L15" s="18" t="n">
        <f aca="false">$L$13+$L$14</f>
        <v>597.451750954618</v>
      </c>
    </row>
    <row r="16" customFormat="false" ht="15" hidden="false" customHeight="false" outlineLevel="0" collapsed="false">
      <c r="B16" s="9" t="s">
        <v>319</v>
      </c>
      <c r="E16" s="19" t="n">
        <f aca="false">$E$12-$E$15</f>
        <v>0</v>
      </c>
      <c r="F16" s="19" t="n">
        <f aca="false">$F$12-$F$15</f>
        <v>0</v>
      </c>
      <c r="G16" s="19" t="n">
        <f aca="false">$G$12-$G$15</f>
        <v>0</v>
      </c>
      <c r="H16" s="19" t="n">
        <f aca="false">$H$12-$H$15</f>
        <v>0</v>
      </c>
      <c r="I16" s="19" t="n">
        <f aca="false">$I$12-$I$15</f>
        <v>0</v>
      </c>
      <c r="J16" s="19" t="n">
        <f aca="false">$J$12-$J$15</f>
        <v>0</v>
      </c>
      <c r="K16" s="19" t="n">
        <f aca="false">$K$12-$K$15</f>
        <v>0</v>
      </c>
      <c r="L16" s="19" t="n">
        <f aca="false">$L$12-$L$15</f>
        <v>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L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0"/>
    <col collapsed="false" customWidth="true" hidden="false" outlineLevel="0" max="3" min="3" style="0" width="12"/>
    <col collapsed="false" customWidth="true" hidden="false" outlineLevel="0" max="4" min="4" style="0" width="14"/>
    <col collapsed="false" customWidth="true" hidden="false" outlineLevel="0" max="12" min="5" style="0" width="12"/>
  </cols>
  <sheetData>
    <row r="1" customFormat="false" ht="6" hidden="false" customHeight="true" outlineLevel="0" collapsed="false"/>
    <row r="2" customFormat="false" ht="17.35" hidden="false" customHeight="false" outlineLevel="0" collapsed="false">
      <c r="B2" s="5" t="s">
        <v>320</v>
      </c>
    </row>
    <row r="3" customFormat="false" ht="15" hidden="false" customHeight="false" outlineLevel="0" collapsed="false">
      <c r="B3" s="6" t="s">
        <v>321</v>
      </c>
    </row>
    <row r="5" customFormat="false" ht="15" hidden="false" customHeight="false" outlineLevel="0" collapsed="false">
      <c r="B5" s="7" t="s">
        <v>322</v>
      </c>
      <c r="C5" s="8"/>
      <c r="D5" s="8"/>
      <c r="E5" s="8"/>
      <c r="F5" s="8"/>
      <c r="G5" s="8"/>
      <c r="H5" s="8"/>
      <c r="I5" s="8"/>
      <c r="J5" s="8"/>
      <c r="K5" s="8"/>
      <c r="L5" s="8"/>
    </row>
    <row r="6" customFormat="false" ht="15" hidden="false" customHeight="false" outlineLevel="0" collapsed="false">
      <c r="B6" s="7" t="s">
        <v>178</v>
      </c>
      <c r="E6" s="30" t="n">
        <v>0</v>
      </c>
      <c r="F6" s="30" t="n">
        <v>1</v>
      </c>
      <c r="G6" s="30" t="n">
        <v>2</v>
      </c>
      <c r="H6" s="30" t="n">
        <v>3</v>
      </c>
      <c r="I6" s="30" t="n">
        <v>4</v>
      </c>
      <c r="J6" s="30" t="n">
        <v>5</v>
      </c>
      <c r="K6" s="30" t="n">
        <v>6</v>
      </c>
      <c r="L6" s="30" t="n">
        <v>7</v>
      </c>
    </row>
    <row r="7" customFormat="false" ht="15" hidden="false" customHeight="false" outlineLevel="0" collapsed="false">
      <c r="B7" s="9" t="s">
        <v>323</v>
      </c>
      <c r="F7" s="19" t="n">
        <f aca="false">Operating!$F$14+IF(AND(Assumptions!$D$115=1,Operating!$F$6=Assumptions!$D$116),Assumptions!$D$118,0)</f>
        <v>54.6</v>
      </c>
      <c r="G7" s="19" t="n">
        <f aca="false">Operating!$G$14+IF(AND(Assumptions!$D$115=1,Operating!$G$6=Assumptions!$D$116),Assumptions!$D$118,0)</f>
        <v>68.5472</v>
      </c>
      <c r="H7" s="19" t="n">
        <f aca="false">Operating!$H$14+IF(AND(Assumptions!$D$115=1,Operating!$H$6=Assumptions!$D$116),Assumptions!$D$118,0)</f>
        <v>57.864608</v>
      </c>
      <c r="I7" s="19" t="n">
        <f aca="false">Operating!$I$14+IF(AND(Assumptions!$D$115=1,Operating!$I$6=Assumptions!$D$116),Assumptions!$D$118,0)</f>
        <v>70.26004512</v>
      </c>
      <c r="J7" s="19" t="n">
        <f aca="false">Operating!$J$14+IF(AND(Assumptions!$D$115=1,Operating!$J$6=Assumptions!$D$116),Assumptions!$D$118,0)</f>
        <v>77.82288952</v>
      </c>
      <c r="K7" s="19" t="n">
        <f aca="false">Operating!$K$14+IF(AND(Assumptions!$D$115=1,Operating!$K$6=Assumptions!$D$116),Assumptions!$D$118,0)</f>
        <v>80.8158051008</v>
      </c>
      <c r="L7" s="19" t="n">
        <f aca="false">Operating!$L$14+IF(AND(Assumptions!$D$115=1,Operating!$L$6=Assumptions!$D$116),Assumptions!$D$118,0)</f>
        <v>83.928437304832</v>
      </c>
    </row>
    <row r="8" customFormat="false" ht="15" hidden="false" customHeight="false" outlineLevel="0" collapsed="false">
      <c r="B8" s="9" t="s">
        <v>324</v>
      </c>
      <c r="F8" s="19" t="n">
        <f aca="false">IF(AND(Assumptions!$D$115=1,Operating!$F$6&gt;=Assumptions!$D$116),MAX(0,MIN(Assumptions!$D$104-IF(Operating!$F$6&gt;Assumptions!$D$116,Operating!$F$12,0),Assumptions!$D$103*$F$7)),0)</f>
        <v>0</v>
      </c>
      <c r="G8" s="19" t="n">
        <f aca="false">IF(AND(Assumptions!$D$115=1,Operating!$G$6&gt;=Assumptions!$D$116),MAX(0,MIN(Assumptions!$D$104-IF(Operating!$G$6&gt;Assumptions!$D$116,Operating!$G$12,0),Assumptions!$D$103*$G$7)),0)</f>
        <v>3</v>
      </c>
      <c r="H8" s="19" t="n">
        <f aca="false">IF(AND(Assumptions!$D$115=1,Operating!$H$6&gt;=Assumptions!$D$116),MAX(0,MIN(Assumptions!$D$104-IF(Operating!$H$6&gt;Assumptions!$D$116,Operating!$H$12,0),Assumptions!$D$103*$H$7)),0)</f>
        <v>2</v>
      </c>
      <c r="I8" s="19" t="n">
        <f aca="false">IF(AND(Assumptions!$D$115=1,Operating!$I$6&gt;=Assumptions!$D$116),MAX(0,MIN(Assumptions!$D$104-IF(Operating!$I$6&gt;Assumptions!$D$116,Operating!$I$12,0),Assumptions!$D$103*$I$7)),0)</f>
        <v>0.5</v>
      </c>
      <c r="J8" s="19" t="n">
        <f aca="false">IF(AND(Assumptions!$D$115=1,Operating!$J$6&gt;=Assumptions!$D$116),MAX(0,MIN(Assumptions!$D$104-IF(Operating!$J$6&gt;Assumptions!$D$116,Operating!$J$12,0),Assumptions!$D$103*$J$7)),0)</f>
        <v>0</v>
      </c>
      <c r="K8" s="19" t="n">
        <f aca="false">IF(AND(Assumptions!$D$115=1,Operating!$K$6&gt;=Assumptions!$D$116),MAX(0,MIN(Assumptions!$D$104-IF(Operating!$K$6&gt;Assumptions!$D$116,Operating!$K$12,0),Assumptions!$D$103*$K$7)),0)</f>
        <v>0</v>
      </c>
      <c r="L8" s="19" t="n">
        <f aca="false">IF(AND(Assumptions!$D$115=1,Operating!$L$6&gt;=Assumptions!$D$116),MAX(0,MIN(Assumptions!$D$104-IF(Operating!$L$6&gt;Assumptions!$D$116,Operating!$L$12,0),Assumptions!$D$103*$L$7)),0)</f>
        <v>0</v>
      </c>
    </row>
    <row r="9" customFormat="false" ht="15" hidden="false" customHeight="false" outlineLevel="0" collapsed="false">
      <c r="B9" s="17" t="s">
        <v>325</v>
      </c>
      <c r="F9" s="18" t="n">
        <f aca="false">$F$7+$F$8+Cash_Flow!$F$15</f>
        <v>54.6</v>
      </c>
      <c r="G9" s="18" t="n">
        <f aca="false">$G$7+$G$8+Cash_Flow!$G$15</f>
        <v>71.5472</v>
      </c>
      <c r="H9" s="18" t="n">
        <f aca="false">$H$7+$H$8+Cash_Flow!$H$15</f>
        <v>59.864608</v>
      </c>
      <c r="I9" s="18" t="n">
        <f aca="false">$I$7+$I$8+Cash_Flow!$I$15</f>
        <v>70.76004512</v>
      </c>
      <c r="J9" s="18" t="n">
        <f aca="false">$J$7+$J$8+Cash_Flow!$J$15</f>
        <v>77.82288952</v>
      </c>
      <c r="K9" s="18" t="n">
        <f aca="false">$K$7+$K$8+Cash_Flow!$K$15</f>
        <v>80.8158051008</v>
      </c>
      <c r="L9" s="18" t="n">
        <f aca="false">$L$7+$L$8+Cash_Flow!$L$15</f>
        <v>83.928437304832</v>
      </c>
    </row>
    <row r="10" customFormat="false" ht="15" hidden="false" customHeight="false" outlineLevel="0" collapsed="false">
      <c r="B10" s="9" t="s">
        <v>326</v>
      </c>
      <c r="F10" s="19" t="n">
        <f aca="false">Debt!$F$32</f>
        <v>253.64</v>
      </c>
      <c r="G10" s="19" t="n">
        <f aca="false">Debt!$G$32</f>
        <v>291.556635</v>
      </c>
      <c r="H10" s="19" t="n">
        <f aca="false">Debt!$H$32</f>
        <v>277.0072132375</v>
      </c>
      <c r="I10" s="19" t="n">
        <f aca="false">Debt!$I$32</f>
        <v>257.249427357219</v>
      </c>
      <c r="J10" s="19" t="n">
        <f aca="false">Debt!$J$32</f>
        <v>229.684737262957</v>
      </c>
      <c r="K10" s="19" t="n">
        <f aca="false">Debt!$K$32</f>
        <v>198.371876130385</v>
      </c>
      <c r="L10" s="19" t="n">
        <f aca="false">Debt!$L$32</f>
        <v>164.169930854169</v>
      </c>
    </row>
    <row r="11" customFormat="false" ht="15" hidden="false" customHeight="false" outlineLevel="0" collapsed="false">
      <c r="B11" s="17" t="s">
        <v>327</v>
      </c>
      <c r="F11" s="34" t="n">
        <f aca="false">Debt!$F$32/$F$9</f>
        <v>4.64542124542125</v>
      </c>
      <c r="G11" s="34" t="n">
        <f aca="false">Debt!$G$32/$G$9</f>
        <v>4.0750250883333</v>
      </c>
      <c r="H11" s="34" t="n">
        <f aca="false">Debt!$H$32/$H$9</f>
        <v>4.62722838237745</v>
      </c>
      <c r="I11" s="34" t="n">
        <f aca="false">Debt!$I$32/$I$9</f>
        <v>3.63551813627248</v>
      </c>
      <c r="J11" s="34" t="n">
        <f aca="false">Debt!$J$32/$J$9</f>
        <v>2.9513776561063</v>
      </c>
      <c r="K11" s="34" t="n">
        <f aca="false">Debt!$K$32/$K$9</f>
        <v>2.45461733485126</v>
      </c>
      <c r="L11" s="34" t="n">
        <f aca="false">Debt!$L$32/$L$9</f>
        <v>1.95607038717874</v>
      </c>
    </row>
    <row r="12" customFormat="false" ht="15" hidden="false" customHeight="false" outlineLevel="0" collapsed="false">
      <c r="B12" s="9" t="s">
        <v>328</v>
      </c>
      <c r="F12" s="24" t="n">
        <f aca="false">Assumptions!$F$169+IF(AND(Assumptions!$D$145=1,Operating!$F$6&gt;=Assumptions!$D$146),Assumptions!$D$149,0)</f>
        <v>5.75</v>
      </c>
      <c r="G12" s="24" t="n">
        <f aca="false">Assumptions!$G$169+IF(AND(Assumptions!$D$145=1,Operating!$G$6&gt;=Assumptions!$D$146),Assumptions!$D$149,0)</f>
        <v>5.25</v>
      </c>
      <c r="H12" s="24" t="n">
        <f aca="false">Assumptions!$H$169+IF(AND(Assumptions!$D$145=1,Operating!$H$6&gt;=Assumptions!$D$146),Assumptions!$D$149,0)</f>
        <v>4.75</v>
      </c>
      <c r="I12" s="24" t="n">
        <f aca="false">Assumptions!$I$169+IF(AND(Assumptions!$D$145=1,Operating!$I$6&gt;=Assumptions!$D$146),Assumptions!$D$149,0)</f>
        <v>4.25</v>
      </c>
      <c r="J12" s="24" t="n">
        <f aca="false">Assumptions!$J$169+IF(AND(Assumptions!$D$145=1,Operating!$J$6&gt;=Assumptions!$D$146),Assumptions!$D$149,0)</f>
        <v>4</v>
      </c>
      <c r="K12" s="24" t="n">
        <f aca="false">Assumptions!$K$169+IF(AND(Assumptions!$D$145=1,Operating!$K$6&gt;=Assumptions!$D$146),Assumptions!$D$149,0)</f>
        <v>4</v>
      </c>
      <c r="L12" s="24" t="n">
        <f aca="false">Assumptions!$L$169+IF(AND(Assumptions!$D$145=1,Operating!$L$6&gt;=Assumptions!$D$146),Assumptions!$D$149,0)</f>
        <v>4</v>
      </c>
    </row>
    <row r="13" customFormat="false" ht="15" hidden="false" customHeight="false" outlineLevel="0" collapsed="false">
      <c r="B13" s="9" t="s">
        <v>329</v>
      </c>
      <c r="F13" s="24" t="n">
        <f aca="false">$F$12-$F$11</f>
        <v>1.10457875457876</v>
      </c>
      <c r="G13" s="24" t="n">
        <f aca="false">$G$12-$G$11</f>
        <v>1.1749749116667</v>
      </c>
      <c r="H13" s="24" t="n">
        <f aca="false">$H$12-$H$11</f>
        <v>0.122771617622552</v>
      </c>
      <c r="I13" s="24" t="n">
        <f aca="false">$I$12-$I$11</f>
        <v>0.614481863727524</v>
      </c>
      <c r="J13" s="24" t="n">
        <f aca="false">$J$12-$J$11</f>
        <v>1.0486223438937</v>
      </c>
      <c r="K13" s="24" t="n">
        <f aca="false">$K$12-$K$11</f>
        <v>1.54538266514874</v>
      </c>
      <c r="L13" s="24" t="n">
        <f aca="false">$L$12-$L$11</f>
        <v>2.04392961282126</v>
      </c>
    </row>
    <row r="14" customFormat="false" ht="15" hidden="false" customHeight="false" outlineLevel="0" collapsed="false">
      <c r="B14" s="9" t="s">
        <v>330</v>
      </c>
      <c r="F14" s="14" t="n">
        <f aca="false">1-Debt!$F$32/($F$12*$F$9)</f>
        <v>0.192100652970218</v>
      </c>
      <c r="G14" s="14" t="n">
        <f aca="false">1-Debt!$G$32/($G$12*$G$9)</f>
        <v>0.223804745079372</v>
      </c>
      <c r="H14" s="14" t="n">
        <f aca="false">1-Debt!$H$32/($H$12*$H$9)</f>
        <v>0.02584665634159</v>
      </c>
      <c r="I14" s="14" t="n">
        <f aca="false">1-Debt!$I$32/($I$12*$I$9)</f>
        <v>0.144583967935888</v>
      </c>
      <c r="J14" s="14" t="n">
        <f aca="false">1-Debt!$J$32/($J$12*$J$9)</f>
        <v>0.262155585973425</v>
      </c>
      <c r="K14" s="14" t="n">
        <f aca="false">1-Debt!$K$32/($K$12*$K$9)</f>
        <v>0.386345666287184</v>
      </c>
      <c r="L14" s="14" t="n">
        <f aca="false">1-Debt!$L$32/($L$12*$L$9)</f>
        <v>0.510982403205316</v>
      </c>
    </row>
    <row r="15" customFormat="false" ht="15" hidden="false" customHeight="false" outlineLevel="0" collapsed="false">
      <c r="B15" s="9" t="s">
        <v>331</v>
      </c>
      <c r="F15" s="19" t="n">
        <f aca="false">$F$14*$F$9</f>
        <v>10.4886956521739</v>
      </c>
      <c r="G15" s="19" t="n">
        <f aca="false">$G$14*$G$9</f>
        <v>16.0126028571429</v>
      </c>
      <c r="H15" s="19" t="n">
        <f aca="false">$H$14*$H$9</f>
        <v>1.54729995</v>
      </c>
      <c r="I15" s="19" t="n">
        <f aca="false">$I$14*$I$9</f>
        <v>10.2307680947721</v>
      </c>
      <c r="J15" s="19" t="n">
        <f aca="false">$J$14*$J$9</f>
        <v>20.4017052042607</v>
      </c>
      <c r="K15" s="19" t="n">
        <f aca="false">$K$14*$K$9</f>
        <v>31.2228360682038</v>
      </c>
      <c r="L15" s="19" t="n">
        <f aca="false">$L$14*$L$9</f>
        <v>42.8859545912898</v>
      </c>
    </row>
    <row r="16" customFormat="false" ht="15" hidden="false" customHeight="false" outlineLevel="0" collapsed="false">
      <c r="B16" s="9" t="s">
        <v>332</v>
      </c>
      <c r="F16" s="32" t="n">
        <f aca="false">MAX(0,Debt!$F$32/Assumptions!$F$169-($F$9-Cash_Flow!$F$15))</f>
        <v>0</v>
      </c>
      <c r="G16" s="32" t="n">
        <f aca="false">MAX(0,Debt!$G$32/Assumptions!$G$169-($G$9-Cash_Flow!$G$15))</f>
        <v>0</v>
      </c>
      <c r="H16" s="32" t="n">
        <f aca="false">MAX(0,Debt!$H$32/Assumptions!$H$169-($H$9-Cash_Flow!$H$15))</f>
        <v>0</v>
      </c>
      <c r="I16" s="32" t="n">
        <f aca="false">MAX(0,Debt!$I$32/Assumptions!$I$169-($I$9-Cash_Flow!$I$15))</f>
        <v>0</v>
      </c>
      <c r="J16" s="32" t="n">
        <f aca="false">MAX(0,Debt!$J$32/Assumptions!$J$169-($J$9-Cash_Flow!$J$15))</f>
        <v>0</v>
      </c>
      <c r="K16" s="32" t="n">
        <f aca="false">MAX(0,Debt!$K$32/Assumptions!$K$169-($K$9-Cash_Flow!$K$15))</f>
        <v>0</v>
      </c>
      <c r="L16" s="32" t="n">
        <f aca="false">MAX(0,Debt!$L$32/Assumptions!$L$169-($L$9-Cash_Flow!$L$15))</f>
        <v>0</v>
      </c>
    </row>
    <row r="17" customFormat="false" ht="15" hidden="false" customHeight="false" outlineLevel="0" collapsed="false">
      <c r="B17" s="9" t="s">
        <v>333</v>
      </c>
      <c r="F17" s="24" t="n">
        <f aca="false">Debt!$F$33-Assumptions!$F$169</f>
        <v>-1.10457875457876</v>
      </c>
      <c r="G17" s="24" t="n">
        <f aca="false">Debt!$G$33-Assumptions!$G$169</f>
        <v>-0.434638843745047</v>
      </c>
      <c r="H17" s="24" t="n">
        <f aca="false">Debt!$H$33-Assumptions!$H$169</f>
        <v>0.0371613203963985</v>
      </c>
      <c r="I17" s="24" t="n">
        <f aca="false">Debt!$I$33-Assumptions!$I$169</f>
        <v>-0.588609989249908</v>
      </c>
      <c r="J17" s="24" t="n">
        <f aca="false">Debt!$J$33-Assumptions!$J$169</f>
        <v>-1.0486223438937</v>
      </c>
      <c r="K17" s="24" t="n">
        <f aca="false">Debt!$K$33-Assumptions!$K$169</f>
        <v>-1.54538266514874</v>
      </c>
      <c r="L17" s="24" t="n">
        <f aca="false">Debt!$L$33-Assumptions!$L$169</f>
        <v>-2.04392961282126</v>
      </c>
    </row>
    <row r="18" customFormat="false" ht="15" hidden="false" customHeight="false" outlineLevel="0" collapsed="false">
      <c r="B18" s="9" t="s">
        <v>334</v>
      </c>
      <c r="F18" s="24" t="n">
        <f aca="false">$F$11-$F$12</f>
        <v>-1.10457875457876</v>
      </c>
      <c r="G18" s="24" t="n">
        <f aca="false">$G$11-$G$12</f>
        <v>-1.1749749116667</v>
      </c>
      <c r="H18" s="24" t="n">
        <f aca="false">$H$11-$H$12</f>
        <v>-0.122771617622552</v>
      </c>
      <c r="I18" s="24" t="n">
        <f aca="false">$I$11-$I$12</f>
        <v>-0.614481863727524</v>
      </c>
      <c r="J18" s="24" t="n">
        <f aca="false">$J$11-$J$12</f>
        <v>-1.0486223438937</v>
      </c>
      <c r="K18" s="24" t="n">
        <f aca="false">$K$11-$K$12</f>
        <v>-1.54538266514874</v>
      </c>
      <c r="L18" s="24" t="n">
        <f aca="false">$L$11-$L$12</f>
        <v>-2.04392961282126</v>
      </c>
    </row>
    <row r="20" customFormat="false" ht="15" hidden="false" customHeight="false" outlineLevel="0" collapsed="false">
      <c r="B20" s="7" t="s">
        <v>335</v>
      </c>
      <c r="C20" s="8"/>
      <c r="D20" s="8"/>
      <c r="E20" s="8"/>
      <c r="F20" s="8"/>
      <c r="G20" s="8"/>
      <c r="H20" s="8"/>
      <c r="I20" s="8"/>
      <c r="J20" s="8"/>
      <c r="K20" s="8"/>
      <c r="L20" s="8"/>
    </row>
    <row r="21" customFormat="false" ht="15" hidden="false" customHeight="false" outlineLevel="0" collapsed="false">
      <c r="B21" s="9" t="s">
        <v>336</v>
      </c>
      <c r="D21" s="24" t="n">
        <f aca="false">Debt!$G$32/(Operating!$G$14+Assumptions!$D$118)</f>
        <v>4.25337045130946</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L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0"/>
    <col collapsed="false" customWidth="true" hidden="false" outlineLevel="0" max="3" min="3" style="0" width="12"/>
    <col collapsed="false" customWidth="true" hidden="false" outlineLevel="0" max="4" min="4" style="0" width="14"/>
    <col collapsed="false" customWidth="true" hidden="false" outlineLevel="0" max="12" min="5" style="0" width="12"/>
  </cols>
  <sheetData>
    <row r="1" customFormat="false" ht="6" hidden="false" customHeight="true" outlineLevel="0" collapsed="false"/>
    <row r="2" customFormat="false" ht="17.35" hidden="false" customHeight="false" outlineLevel="0" collapsed="false">
      <c r="B2" s="5" t="s">
        <v>337</v>
      </c>
    </row>
    <row r="3" customFormat="false" ht="15" hidden="false" customHeight="false" outlineLevel="0" collapsed="false">
      <c r="B3" s="6" t="s">
        <v>338</v>
      </c>
    </row>
    <row r="5" customFormat="false" ht="15" hidden="false" customHeight="false" outlineLevel="0" collapsed="false">
      <c r="B5" s="7" t="s">
        <v>339</v>
      </c>
      <c r="C5" s="8"/>
      <c r="D5" s="8"/>
      <c r="E5" s="8"/>
      <c r="F5" s="8"/>
      <c r="G5" s="8"/>
      <c r="H5" s="8"/>
      <c r="I5" s="8"/>
      <c r="J5" s="8"/>
      <c r="K5" s="8"/>
      <c r="L5" s="8"/>
    </row>
    <row r="6" customFormat="false" ht="15" hidden="false" customHeight="false" outlineLevel="0" collapsed="false">
      <c r="B6" s="9" t="s">
        <v>340</v>
      </c>
      <c r="D6" s="35" t="n">
        <f aca="false">Assumptions!$D$133</f>
        <v>5</v>
      </c>
    </row>
    <row r="7" customFormat="false" ht="15" hidden="false" customHeight="false" outlineLevel="0" collapsed="false">
      <c r="B7" s="9" t="s">
        <v>341</v>
      </c>
      <c r="D7" s="19" t="n">
        <f aca="false">INDEX(Operating!$E$14:$L$14,1,$D$6+1)</f>
        <v>77.82288952</v>
      </c>
    </row>
    <row r="8" customFormat="false" ht="15" hidden="false" customHeight="false" outlineLevel="0" collapsed="false">
      <c r="B8" s="17" t="s">
        <v>342</v>
      </c>
      <c r="D8" s="18" t="n">
        <f aca="false">Assumptions!$D$131*$D$7</f>
        <v>700.40600568</v>
      </c>
    </row>
    <row r="9" customFormat="false" ht="15" hidden="false" customHeight="false" outlineLevel="0" collapsed="false">
      <c r="B9" s="9" t="s">
        <v>343</v>
      </c>
      <c r="D9" s="19" t="n">
        <f aca="false">INDEX(Debt!$E$32:$L$32,1,$D$6+1)</f>
        <v>229.684737262957</v>
      </c>
    </row>
    <row r="10" customFormat="false" ht="15" hidden="false" customHeight="false" outlineLevel="0" collapsed="false">
      <c r="B10" s="9" t="s">
        <v>344</v>
      </c>
      <c r="D10" s="19" t="n">
        <f aca="false">INDEX(Debt!$E$26:$L$26,1,$D$6+1)</f>
        <v>217.428725337978</v>
      </c>
    </row>
    <row r="11" customFormat="false" ht="15" hidden="false" customHeight="false" outlineLevel="0" collapsed="false">
      <c r="B11" s="9" t="s">
        <v>345</v>
      </c>
      <c r="D11" s="19" t="n">
        <f aca="false">INDEX(Debt!$E$28:$L$28,1,$D$6+1)</f>
        <v>50</v>
      </c>
    </row>
    <row r="12" customFormat="false" ht="15" hidden="false" customHeight="false" outlineLevel="0" collapsed="false">
      <c r="B12" s="9" t="s">
        <v>346</v>
      </c>
      <c r="D12" s="19" t="n">
        <f aca="false">INDEX(Debt!$E$29:$L$29,1,$D$6+1)</f>
        <v>0</v>
      </c>
    </row>
    <row r="13" customFormat="false" ht="15" hidden="false" customHeight="false" outlineLevel="0" collapsed="false">
      <c r="B13" s="9" t="s">
        <v>347</v>
      </c>
      <c r="D13" s="19" t="n">
        <f aca="false">INDEX(Debt!$E$31:$L$31,1,$D$6+1)</f>
        <v>37.7439880750205</v>
      </c>
    </row>
    <row r="14" customFormat="false" ht="15" hidden="false" customHeight="false" outlineLevel="0" collapsed="false">
      <c r="B14" s="9" t="s">
        <v>348</v>
      </c>
      <c r="D14" s="19" t="n">
        <f aca="false">Assumptions!$D$132*$D$8</f>
        <v>10.5060900852</v>
      </c>
    </row>
    <row r="15" customFormat="false" ht="15" hidden="false" customHeight="false" outlineLevel="0" collapsed="false">
      <c r="B15" s="17" t="s">
        <v>349</v>
      </c>
      <c r="D15" s="18" t="n">
        <f aca="false">$D$8-$D$9-$D$14</f>
        <v>460.215178331843</v>
      </c>
    </row>
    <row r="16" customFormat="false" ht="15" hidden="false" customHeight="false" outlineLevel="0" collapsed="false">
      <c r="B16" s="9" t="s">
        <v>350</v>
      </c>
      <c r="D16" s="19" t="n">
        <f aca="false">$D$7*(1-Assumptions!$D$132)</f>
        <v>76.6555461772</v>
      </c>
    </row>
    <row r="17" customFormat="false" ht="15" hidden="false" customHeight="false" outlineLevel="0" collapsed="false">
      <c r="B17" s="7" t="s">
        <v>351</v>
      </c>
      <c r="C17" s="8"/>
      <c r="D17" s="8"/>
      <c r="E17" s="8"/>
      <c r="F17" s="8"/>
      <c r="G17" s="8"/>
      <c r="H17" s="8"/>
      <c r="I17" s="8"/>
      <c r="J17" s="8"/>
      <c r="K17" s="8"/>
      <c r="L17" s="8"/>
    </row>
    <row r="18" customFormat="false" ht="15" hidden="false" customHeight="false" outlineLevel="0" collapsed="false">
      <c r="B18" s="9" t="s">
        <v>352</v>
      </c>
      <c r="D18" s="36" t="n">
        <f aca="false">Sources_Uses!$D$24/Assumptions!$D$108</f>
        <v>200</v>
      </c>
    </row>
    <row r="19" customFormat="false" ht="15" hidden="false" customHeight="false" outlineLevel="0" collapsed="false">
      <c r="B19" s="9" t="s">
        <v>353</v>
      </c>
      <c r="D19" s="36" t="n">
        <f aca="false">Sources_Uses!$D$26/Assumptions!$D$108</f>
        <v>190</v>
      </c>
    </row>
    <row r="20" customFormat="false" ht="15" hidden="false" customHeight="false" outlineLevel="0" collapsed="false">
      <c r="B20" s="9" t="s">
        <v>354</v>
      </c>
      <c r="D20" s="14" t="n">
        <f aca="false">Sources_Uses!$D$26/Sources_Uses!$D$24</f>
        <v>0.95</v>
      </c>
    </row>
    <row r="21" customFormat="false" ht="15" hidden="false" customHeight="false" outlineLevel="0" collapsed="false">
      <c r="B21" s="9" t="s">
        <v>355</v>
      </c>
      <c r="D21" s="36" t="n">
        <f aca="false">Sources_Uses!$D$25/Assumptions!$D$108</f>
        <v>10</v>
      </c>
    </row>
    <row r="22" customFormat="false" ht="15" hidden="false" customHeight="false" outlineLevel="0" collapsed="false">
      <c r="B22" s="9" t="s">
        <v>356</v>
      </c>
      <c r="D22" s="14" t="n">
        <f aca="false">Sources_Uses!$D$25/Sources_Uses!$D$24</f>
        <v>0.05</v>
      </c>
    </row>
    <row r="23" customFormat="false" ht="15" hidden="false" customHeight="false" outlineLevel="0" collapsed="false">
      <c r="B23" s="9" t="s">
        <v>357</v>
      </c>
      <c r="D23" s="36" t="n">
        <f aca="false">Assumptions!$D$111/Assumptions!$D$108</f>
        <v>4</v>
      </c>
    </row>
    <row r="24" customFormat="false" ht="15" hidden="false" customHeight="false" outlineLevel="0" collapsed="false">
      <c r="B24" s="9" t="s">
        <v>358</v>
      </c>
      <c r="D24" s="19" t="n">
        <f aca="false">SUMPRODUCT((Operating!$E$6:$L$6&lt;=$D$6)*Cash_Flow!$E$15:$L$15)</f>
        <v>0</v>
      </c>
    </row>
    <row r="25" customFormat="false" ht="15" hidden="false" customHeight="false" outlineLevel="0" collapsed="false">
      <c r="B25" s="9" t="s">
        <v>359</v>
      </c>
      <c r="D25" s="37" t="n">
        <f aca="false">$D$18+$D$24/Assumptions!$D$108</f>
        <v>200</v>
      </c>
    </row>
    <row r="26" customFormat="false" ht="15" hidden="false" customHeight="false" outlineLevel="0" collapsed="false">
      <c r="B26" s="9" t="s">
        <v>360</v>
      </c>
      <c r="D26" s="37" t="n">
        <f aca="false">$D$19+$D$24/Assumptions!$D$108</f>
        <v>190</v>
      </c>
    </row>
    <row r="27" customFormat="false" ht="15" hidden="false" customHeight="false" outlineLevel="0" collapsed="false">
      <c r="B27" s="9" t="s">
        <v>361</v>
      </c>
      <c r="D27" s="37" t="n">
        <f aca="false">$D$18*Assumptions!$D$109/(1-Assumptions!$D$109)</f>
        <v>17.3913043478261</v>
      </c>
    </row>
    <row r="28" customFormat="false" ht="15" hidden="false" customHeight="false" outlineLevel="0" collapsed="false">
      <c r="B28" s="9" t="s">
        <v>362</v>
      </c>
      <c r="D28" s="38" t="n">
        <f aca="false">($D$15+$D$27*Assumptions!$D$108)/($D$25+$D$27)</f>
        <v>2.19698982032648</v>
      </c>
    </row>
    <row r="29" customFormat="false" ht="15" hidden="false" customHeight="false" outlineLevel="0" collapsed="false">
      <c r="B29" s="9" t="s">
        <v>363</v>
      </c>
      <c r="D29" s="19" t="n">
        <f aca="false">SUMPRODUCT((Operating!$E$6:$L$6&lt;=$D$6)*Returns!$E$10:$L$10)</f>
        <v>0</v>
      </c>
    </row>
    <row r="30" customFormat="false" ht="15" hidden="false" customHeight="false" outlineLevel="0" collapsed="false">
      <c r="B30" s="9" t="s">
        <v>364</v>
      </c>
      <c r="D30" s="24" t="n">
        <f aca="false">($D$29+$D$26*$D$28)/(Sources_Uses!$D$26+$D$24)</f>
        <v>2.19698982032648</v>
      </c>
    </row>
    <row r="31" customFormat="false" ht="15" hidden="false" customHeight="false" outlineLevel="0" collapsed="false">
      <c r="B31" s="9" t="s">
        <v>365</v>
      </c>
      <c r="D31" s="37" t="n">
        <f aca="false">IF($D$30&gt;=Assumptions!$D$110,$D$27,$D$27*0.5)</f>
        <v>17.3913043478261</v>
      </c>
    </row>
    <row r="32" customFormat="false" ht="15" hidden="false" customHeight="false" outlineLevel="0" collapsed="false">
      <c r="B32" s="9" t="s">
        <v>366</v>
      </c>
      <c r="D32" s="38" t="n">
        <f aca="false">($D$15+$D$31*Assumptions!$D$108)/($D$25+$D$31)</f>
        <v>2.19698982032648</v>
      </c>
    </row>
    <row r="33" customFormat="false" ht="15" hidden="false" customHeight="false" outlineLevel="0" collapsed="false">
      <c r="B33" s="9" t="s">
        <v>367</v>
      </c>
      <c r="D33" s="37" t="n">
        <f aca="false">IF($D$32&lt;Assumptions!$D$108,0,$D$31)</f>
        <v>17.3913043478261</v>
      </c>
    </row>
    <row r="34" customFormat="false" ht="15" hidden="false" customHeight="false" outlineLevel="0" collapsed="false">
      <c r="B34" s="17" t="s">
        <v>368</v>
      </c>
      <c r="D34" s="39" t="n">
        <f aca="false">IF($D$32&lt;Assumptions!$D$108,$D$15/$D$25,$D$32)</f>
        <v>2.19698982032648</v>
      </c>
    </row>
    <row r="35" customFormat="false" ht="15" hidden="false" customHeight="false" outlineLevel="0" collapsed="false">
      <c r="B35" s="7" t="s">
        <v>369</v>
      </c>
      <c r="C35" s="8"/>
      <c r="D35" s="8"/>
      <c r="E35" s="8"/>
      <c r="F35" s="8"/>
      <c r="G35" s="8"/>
      <c r="H35" s="8"/>
      <c r="I35" s="8"/>
      <c r="J35" s="8"/>
      <c r="K35" s="8"/>
      <c r="L35" s="8"/>
    </row>
    <row r="36" customFormat="false" ht="15" hidden="false" customHeight="false" outlineLevel="0" collapsed="false">
      <c r="B36" s="17" t="s">
        <v>370</v>
      </c>
      <c r="D36" s="18" t="n">
        <f aca="false">$D$26*$D$34</f>
        <v>417.428065862031</v>
      </c>
    </row>
    <row r="37" customFormat="false" ht="15" hidden="false" customHeight="false" outlineLevel="0" collapsed="false">
      <c r="B37" s="9" t="s">
        <v>371</v>
      </c>
      <c r="D37" s="14" t="n">
        <f aca="false">$D$36/$D$15</f>
        <v>0.907028028443338</v>
      </c>
    </row>
    <row r="38" customFormat="false" ht="15" hidden="false" customHeight="false" outlineLevel="0" collapsed="false">
      <c r="B38" s="9" t="s">
        <v>372</v>
      </c>
      <c r="D38" s="19" t="n">
        <f aca="false">$D$21*$D$34</f>
        <v>21.9698982032648</v>
      </c>
    </row>
    <row r="39" customFormat="false" ht="15" hidden="false" customHeight="false" outlineLevel="0" collapsed="false">
      <c r="B39" s="9" t="s">
        <v>373</v>
      </c>
      <c r="D39" s="19" t="n">
        <f aca="false">$D$33*MAX(0,$D$34-Assumptions!$D$108)</f>
        <v>20.8172142665474</v>
      </c>
    </row>
    <row r="40" customFormat="false" ht="15" hidden="false" customHeight="false" outlineLevel="0" collapsed="false">
      <c r="B40" s="9" t="s">
        <v>374</v>
      </c>
      <c r="D40" s="19" t="n">
        <f aca="false">$D$36+$D$38+$D$39-$D$15</f>
        <v>0</v>
      </c>
    </row>
    <row r="41" customFormat="false" ht="15" hidden="false" customHeight="false" outlineLevel="0" collapsed="false">
      <c r="B41" s="9" t="s">
        <v>375</v>
      </c>
      <c r="D41" s="19" t="n">
        <f aca="false">$D$38+$D$39</f>
        <v>42.7871124698122</v>
      </c>
    </row>
    <row r="42" customFormat="false" ht="15" hidden="false" customHeight="false" outlineLevel="0" collapsed="false">
      <c r="B42" s="9" t="s">
        <v>376</v>
      </c>
      <c r="D42" s="24" t="n">
        <f aca="false">$D$41/Sources_Uses!$D$25</f>
        <v>4.27871124698122</v>
      </c>
    </row>
    <row r="43" customFormat="false" ht="15" hidden="false" customHeight="false" outlineLevel="0" collapsed="false">
      <c r="B43" s="9" t="s">
        <v>377</v>
      </c>
      <c r="D43" s="19" t="n">
        <f aca="false">$D$23*$D$34</f>
        <v>8.78795928130591</v>
      </c>
    </row>
    <row r="44" customFormat="false" ht="15" hidden="false" customHeight="false" outlineLevel="0" collapsed="false">
      <c r="B44" s="9" t="s">
        <v>378</v>
      </c>
      <c r="D44" s="19" t="n">
        <f aca="false">$D$39*Assumptions!$D$112</f>
        <v>7.2860249932916</v>
      </c>
    </row>
    <row r="45" customFormat="false" ht="15" hidden="false" customHeight="false" outlineLevel="0" collapsed="false">
      <c r="B45" s="9" t="s">
        <v>379</v>
      </c>
      <c r="D45" s="19" t="n">
        <f aca="false">$D$43+$D$44</f>
        <v>16.0739842745975</v>
      </c>
    </row>
    <row r="46" customFormat="false" ht="15" hidden="false" customHeight="false" outlineLevel="0" collapsed="false">
      <c r="B46" s="9" t="s">
        <v>380</v>
      </c>
      <c r="D46" s="24" t="n">
        <f aca="false">$D$45/Assumptions!$D$111</f>
        <v>4.01849606864938</v>
      </c>
    </row>
    <row r="47" customFormat="false" ht="15" hidden="false" customHeight="false" outlineLevel="0" collapsed="false">
      <c r="B47" s="9" t="s">
        <v>381</v>
      </c>
      <c r="D47" s="19" t="n">
        <f aca="false">$D$15*$D$26/$D$25</f>
        <v>437.204419415251</v>
      </c>
    </row>
    <row r="48" customFormat="false" ht="15" hidden="false" customHeight="false" outlineLevel="0" collapsed="false">
      <c r="B48" s="9" t="s">
        <v>382</v>
      </c>
      <c r="D48" s="19" t="n">
        <f aca="false">$D$47-$D$36</f>
        <v>19.7763535532201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L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0"/>
    <col collapsed="false" customWidth="true" hidden="false" outlineLevel="0" max="3" min="3" style="0" width="12"/>
    <col collapsed="false" customWidth="true" hidden="false" outlineLevel="0" max="4" min="4" style="0" width="14"/>
    <col collapsed="false" customWidth="true" hidden="false" outlineLevel="0" max="12" min="5" style="0" width="12"/>
  </cols>
  <sheetData>
    <row r="1" customFormat="false" ht="6" hidden="false" customHeight="true" outlineLevel="0" collapsed="false"/>
    <row r="2" customFormat="false" ht="17.35" hidden="false" customHeight="false" outlineLevel="0" collapsed="false">
      <c r="B2" s="5" t="s">
        <v>383</v>
      </c>
    </row>
    <row r="3" customFormat="false" ht="15" hidden="false" customHeight="false" outlineLevel="0" collapsed="false">
      <c r="B3" s="6" t="s">
        <v>384</v>
      </c>
    </row>
    <row r="5" customFormat="false" ht="15" hidden="false" customHeight="false" outlineLevel="0" collapsed="false">
      <c r="B5" s="7" t="s">
        <v>385</v>
      </c>
      <c r="C5" s="8"/>
      <c r="D5" s="8"/>
      <c r="E5" s="8"/>
      <c r="F5" s="8"/>
      <c r="G5" s="8"/>
      <c r="H5" s="8"/>
      <c r="I5" s="8"/>
      <c r="J5" s="8"/>
      <c r="K5" s="8"/>
      <c r="L5" s="8"/>
    </row>
    <row r="6" customFormat="false" ht="15" hidden="false" customHeight="false" outlineLevel="0" collapsed="false">
      <c r="B6" s="7" t="s">
        <v>178</v>
      </c>
      <c r="E6" s="30" t="n">
        <v>0</v>
      </c>
      <c r="F6" s="30" t="n">
        <v>1</v>
      </c>
      <c r="G6" s="30" t="n">
        <v>2</v>
      </c>
      <c r="H6" s="30" t="n">
        <v>3</v>
      </c>
      <c r="I6" s="30" t="n">
        <v>4</v>
      </c>
      <c r="J6" s="30" t="n">
        <v>5</v>
      </c>
      <c r="K6" s="30" t="n">
        <v>6</v>
      </c>
      <c r="L6" s="30" t="n">
        <v>7</v>
      </c>
    </row>
    <row r="7" customFormat="false" ht="15" hidden="false" customHeight="false" outlineLevel="0" collapsed="false">
      <c r="B7" s="9" t="s">
        <v>386</v>
      </c>
      <c r="E7" s="19" t="n">
        <f aca="false">0</f>
        <v>0</v>
      </c>
      <c r="F7" s="19" t="n">
        <f aca="false">$E$7+Cash_Flow!$F$15</f>
        <v>0</v>
      </c>
      <c r="G7" s="19" t="n">
        <f aca="false">$F$7+Cash_Flow!$G$15</f>
        <v>0</v>
      </c>
      <c r="H7" s="19" t="n">
        <f aca="false">$G$7+Cash_Flow!$H$15</f>
        <v>0</v>
      </c>
      <c r="I7" s="19" t="n">
        <f aca="false">$H$7+Cash_Flow!$I$15</f>
        <v>0</v>
      </c>
      <c r="J7" s="19" t="n">
        <f aca="false">$I$7+Cash_Flow!$J$15</f>
        <v>0</v>
      </c>
      <c r="K7" s="19" t="n">
        <f aca="false">$J$7+Cash_Flow!$K$15</f>
        <v>0</v>
      </c>
      <c r="L7" s="19" t="n">
        <f aca="false">$K$7+Cash_Flow!$L$15</f>
        <v>0</v>
      </c>
    </row>
    <row r="8" customFormat="false" ht="15" hidden="false" customHeight="false" outlineLevel="0" collapsed="false">
      <c r="B8" s="9" t="s">
        <v>387</v>
      </c>
      <c r="E8" s="37" t="n">
        <f aca="false">Exit!$D$19+$E$7/Assumptions!$D$108</f>
        <v>190</v>
      </c>
      <c r="F8" s="37" t="n">
        <f aca="false">Exit!$D$19+$F$7/Assumptions!$D$108</f>
        <v>190</v>
      </c>
      <c r="G8" s="37" t="n">
        <f aca="false">Exit!$D$19+$G$7/Assumptions!$D$108</f>
        <v>190</v>
      </c>
      <c r="H8" s="37" t="n">
        <f aca="false">Exit!$D$19+$H$7/Assumptions!$D$108</f>
        <v>190</v>
      </c>
      <c r="I8" s="37" t="n">
        <f aca="false">Exit!$D$19+$I$7/Assumptions!$D$108</f>
        <v>190</v>
      </c>
      <c r="J8" s="37" t="n">
        <f aca="false">Exit!$D$19+$J$7/Assumptions!$D$108</f>
        <v>190</v>
      </c>
      <c r="K8" s="37" t="n">
        <f aca="false">Exit!$D$19+$K$7/Assumptions!$D$108</f>
        <v>190</v>
      </c>
      <c r="L8" s="37" t="n">
        <f aca="false">Exit!$D$19+$L$7/Assumptions!$D$108</f>
        <v>190</v>
      </c>
    </row>
    <row r="9" customFormat="false" ht="15" hidden="false" customHeight="false" outlineLevel="0" collapsed="false">
      <c r="B9" s="9" t="s">
        <v>388</v>
      </c>
      <c r="E9" s="37" t="n">
        <f aca="false">Exit!$D$18+$E$7/Assumptions!$D$108</f>
        <v>200</v>
      </c>
      <c r="F9" s="37" t="n">
        <f aca="false">Exit!$D$18+$F$7/Assumptions!$D$108</f>
        <v>200</v>
      </c>
      <c r="G9" s="37" t="n">
        <f aca="false">Exit!$D$18+$G$7/Assumptions!$D$108</f>
        <v>200</v>
      </c>
      <c r="H9" s="37" t="n">
        <f aca="false">Exit!$D$18+$H$7/Assumptions!$D$108</f>
        <v>200</v>
      </c>
      <c r="I9" s="37" t="n">
        <f aca="false">Exit!$D$18+$I$7/Assumptions!$D$108</f>
        <v>200</v>
      </c>
      <c r="J9" s="37" t="n">
        <f aca="false">Exit!$D$18+$J$7/Assumptions!$D$108</f>
        <v>200</v>
      </c>
      <c r="K9" s="37" t="n">
        <f aca="false">Exit!$D$18+$K$7/Assumptions!$D$108</f>
        <v>200</v>
      </c>
      <c r="L9" s="37" t="n">
        <f aca="false">Exit!$D$18+$L$7/Assumptions!$D$108</f>
        <v>200</v>
      </c>
    </row>
    <row r="10" customFormat="false" ht="15" hidden="false" customHeight="false" outlineLevel="0" collapsed="false">
      <c r="B10" s="9" t="s">
        <v>389</v>
      </c>
      <c r="E10" s="19" t="n">
        <f aca="false">0</f>
        <v>0</v>
      </c>
      <c r="F10" s="19" t="n">
        <f aca="false">Cash_Flow!$F$13*$F$8/$F$9-Cash_Flow!$F$15</f>
        <v>0</v>
      </c>
      <c r="G10" s="19" t="n">
        <f aca="false">Cash_Flow!$G$13*$G$8/$G$9-Cash_Flow!$G$15</f>
        <v>0</v>
      </c>
      <c r="H10" s="19" t="n">
        <f aca="false">Cash_Flow!$H$13*$H$8/$H$9-Cash_Flow!$H$15</f>
        <v>0</v>
      </c>
      <c r="I10" s="19" t="n">
        <f aca="false">Cash_Flow!$I$13*$I$8/$I$9-Cash_Flow!$I$15</f>
        <v>0</v>
      </c>
      <c r="J10" s="19" t="n">
        <f aca="false">Cash_Flow!$J$13*$J$8/$J$9-Cash_Flow!$J$15</f>
        <v>0</v>
      </c>
      <c r="K10" s="19" t="n">
        <f aca="false">Cash_Flow!$K$13*$K$8/$K$9-Cash_Flow!$K$15</f>
        <v>0</v>
      </c>
      <c r="L10" s="19" t="n">
        <f aca="false">Cash_Flow!$L$13*$L$8/$L$9-Cash_Flow!$L$15</f>
        <v>0</v>
      </c>
    </row>
    <row r="11" customFormat="false" ht="15" hidden="false" customHeight="false" outlineLevel="0" collapsed="false">
      <c r="B11" s="17" t="s">
        <v>390</v>
      </c>
      <c r="E11" s="18" t="n">
        <f aca="false">-Sources_Uses!$D$26</f>
        <v>-190</v>
      </c>
      <c r="F11" s="18" t="n">
        <f aca="false">IF(Operating!$F$6&lt;=Exit!$D$6,$F$10+IF(Operating!$F$6=Exit!$D$6,Exit!$D$36,0),0)</f>
        <v>0</v>
      </c>
      <c r="G11" s="18" t="n">
        <f aca="false">IF(Operating!$G$6&lt;=Exit!$D$6,$G$10+IF(Operating!$G$6=Exit!$D$6,Exit!$D$36,0),0)</f>
        <v>0</v>
      </c>
      <c r="H11" s="18" t="n">
        <f aca="false">IF(Operating!$H$6&lt;=Exit!$D$6,$H$10+IF(Operating!$H$6=Exit!$D$6,Exit!$D$36,0),0)</f>
        <v>0</v>
      </c>
      <c r="I11" s="18" t="n">
        <f aca="false">IF(Operating!$I$6&lt;=Exit!$D$6,$I$10+IF(Operating!$I$6=Exit!$D$6,Exit!$D$36,0),0)</f>
        <v>0</v>
      </c>
      <c r="J11" s="18" t="n">
        <f aca="false">IF(Operating!$J$6&lt;=Exit!$D$6,$J$10+IF(Operating!$J$6=Exit!$D$6,Exit!$D$36,0),0)</f>
        <v>417.428065862031</v>
      </c>
      <c r="K11" s="18" t="n">
        <f aca="false">IF(Operating!$K$6&lt;=Exit!$D$6,$K$10+IF(Operating!$K$6=Exit!$D$6,Exit!$D$36,0),0)</f>
        <v>0</v>
      </c>
      <c r="L11" s="18" t="n">
        <f aca="false">IF(Operating!$L$6&lt;=Exit!$D$6,$L$10+IF(Operating!$L$6=Exit!$D$6,Exit!$D$36,0),0)</f>
        <v>0</v>
      </c>
    </row>
    <row r="12" customFormat="false" ht="15" hidden="false" customHeight="false" outlineLevel="0" collapsed="false">
      <c r="B12" s="9" t="s">
        <v>391</v>
      </c>
      <c r="E12" s="19" t="n">
        <f aca="false">-Sources_Uses!$D$24</f>
        <v>-200</v>
      </c>
      <c r="F12" s="19" t="n">
        <f aca="false">IF(Operating!$F$6&lt;=Exit!$D$6,Cash_Flow!$F$13-Cash_Flow!$F$15+IF(Operating!$F$6=Exit!$D$6,Exit!$D$15,0),0)</f>
        <v>0</v>
      </c>
      <c r="G12" s="19" t="n">
        <f aca="false">IF(Operating!$G$6&lt;=Exit!$D$6,Cash_Flow!$G$13-Cash_Flow!$G$15+IF(Operating!$G$6=Exit!$D$6,Exit!$D$15,0),0)</f>
        <v>0</v>
      </c>
      <c r="H12" s="19" t="n">
        <f aca="false">IF(Operating!$H$6&lt;=Exit!$D$6,Cash_Flow!$H$13-Cash_Flow!$H$15+IF(Operating!$H$6=Exit!$D$6,Exit!$D$15,0),0)</f>
        <v>0</v>
      </c>
      <c r="I12" s="19" t="n">
        <f aca="false">IF(Operating!$I$6&lt;=Exit!$D$6,Cash_Flow!$I$13-Cash_Flow!$I$15+IF(Operating!$I$6=Exit!$D$6,Exit!$D$15,0),0)</f>
        <v>0</v>
      </c>
      <c r="J12" s="19" t="n">
        <f aca="false">IF(Operating!$J$6&lt;=Exit!$D$6,Cash_Flow!$J$13-Cash_Flow!$J$15+IF(Operating!$J$6=Exit!$D$6,Exit!$D$15,0),0)</f>
        <v>460.215178331843</v>
      </c>
      <c r="K12" s="19" t="n">
        <f aca="false">IF(Operating!$K$6&lt;=Exit!$D$6,Cash_Flow!$K$13-Cash_Flow!$K$15+IF(Operating!$K$6=Exit!$D$6,Exit!$D$15,0),0)</f>
        <v>0</v>
      </c>
      <c r="L12" s="19" t="n">
        <f aca="false">IF(Operating!$L$6&lt;=Exit!$D$6,Cash_Flow!$L$13-Cash_Flow!$L$15+IF(Operating!$L$6=Exit!$D$6,Exit!$D$15,0),0)</f>
        <v>0</v>
      </c>
    </row>
    <row r="13" customFormat="false" ht="15" hidden="false" customHeight="false" outlineLevel="0" collapsed="false">
      <c r="B13" s="9" t="s">
        <v>392</v>
      </c>
      <c r="E13" s="40" t="n">
        <f aca="false">Assumptions!$D$10</f>
        <v>46203</v>
      </c>
      <c r="F13" s="40" t="n">
        <f aca="false">DATE(YEAR(Assumptions!$D$10)+Operating!$F$6,MONTH(Assumptions!$D$10),DAY(Assumptions!$D$10))</f>
        <v>46568</v>
      </c>
      <c r="G13" s="40" t="n">
        <f aca="false">DATE(YEAR(Assumptions!$D$10)+Operating!$G$6,MONTH(Assumptions!$D$10),DAY(Assumptions!$D$10))</f>
        <v>46934</v>
      </c>
      <c r="H13" s="40" t="n">
        <f aca="false">DATE(YEAR(Assumptions!$D$10)+Operating!$H$6,MONTH(Assumptions!$D$10),DAY(Assumptions!$D$10))</f>
        <v>47299</v>
      </c>
      <c r="I13" s="40" t="n">
        <f aca="false">DATE(YEAR(Assumptions!$D$10)+Operating!$I$6,MONTH(Assumptions!$D$10),DAY(Assumptions!$D$10))</f>
        <v>47664</v>
      </c>
      <c r="J13" s="40" t="n">
        <f aca="false">DATE(YEAR(Assumptions!$D$10)+Operating!$J$6,MONTH(Assumptions!$D$10),DAY(Assumptions!$D$10))</f>
        <v>48029</v>
      </c>
      <c r="K13" s="40" t="n">
        <f aca="false">DATE(YEAR(Assumptions!$D$10)+Operating!$K$6,MONTH(Assumptions!$D$10),DAY(Assumptions!$D$10))</f>
        <v>48395</v>
      </c>
      <c r="L13" s="40" t="n">
        <f aca="false">DATE(YEAR(Assumptions!$D$10)+Operating!$L$6,MONTH(Assumptions!$D$10),DAY(Assumptions!$D$10))</f>
        <v>48760</v>
      </c>
    </row>
    <row r="15" customFormat="false" ht="15" hidden="false" customHeight="false" outlineLevel="0" collapsed="false">
      <c r="B15" s="17" t="s">
        <v>393</v>
      </c>
      <c r="D15" s="41" t="n">
        <f aca="false">IRR($E$11:$L$11,0.1)</f>
        <v>0.170484343544686</v>
      </c>
    </row>
    <row r="16" customFormat="false" ht="15" hidden="false" customHeight="false" outlineLevel="0" collapsed="false">
      <c r="B16" s="9" t="s">
        <v>394</v>
      </c>
      <c r="D16" s="25" t="n">
        <f aca="false">XIRR($E$11:$L$11,$E$13:$L$13,0.1)</f>
        <v>0.170383441610592</v>
      </c>
    </row>
    <row r="17" customFormat="false" ht="15" hidden="false" customHeight="false" outlineLevel="0" collapsed="false">
      <c r="B17" s="17" t="s">
        <v>395</v>
      </c>
      <c r="D17" s="34" t="n">
        <f aca="false">SUMIF($E$11:$L$11,"&gt;0")/-SUMIF($E$11:$L$11,"&lt;0")</f>
        <v>2.19698982032648</v>
      </c>
    </row>
    <row r="18" customFormat="false" ht="15" hidden="false" customHeight="false" outlineLevel="0" collapsed="false">
      <c r="B18" s="9" t="s">
        <v>396</v>
      </c>
      <c r="D18" s="19" t="n">
        <f aca="false">-SUMIF($E$11:$L$11,"&lt;0")</f>
        <v>190</v>
      </c>
    </row>
    <row r="19" customFormat="false" ht="15" hidden="false" customHeight="false" outlineLevel="0" collapsed="false">
      <c r="B19" s="9" t="s">
        <v>397</v>
      </c>
      <c r="D19" s="25" t="n">
        <f aca="false">IRR($E$12:$L$12,0.1)</f>
        <v>0.18137068110822</v>
      </c>
    </row>
    <row r="20" customFormat="false" ht="15" hidden="false" customHeight="false" outlineLevel="0" collapsed="false">
      <c r="B20" s="9" t="s">
        <v>398</v>
      </c>
      <c r="D20" s="24" t="n">
        <f aca="false">SUMIF($E$12:$L$12,"&gt;0")/-SUMIF($E$12:$L$12,"&lt;0")</f>
        <v>2.30107589165922</v>
      </c>
    </row>
    <row r="21" customFormat="false" ht="15" hidden="false" customHeight="false" outlineLevel="0" collapsed="false">
      <c r="B21" s="9" t="s">
        <v>399</v>
      </c>
      <c r="D21" s="19" t="n">
        <f aca="false">SUM($E$12:$L$12)</f>
        <v>260.215178331843</v>
      </c>
    </row>
    <row r="22" customFormat="false" ht="15" hidden="false" customHeight="false" outlineLevel="0" collapsed="false">
      <c r="B22" s="7" t="s">
        <v>400</v>
      </c>
      <c r="C22" s="8"/>
      <c r="D22" s="8"/>
      <c r="E22" s="8"/>
      <c r="F22" s="8"/>
      <c r="G22" s="8"/>
      <c r="H22" s="8"/>
      <c r="I22" s="8"/>
      <c r="J22" s="8"/>
      <c r="K22" s="8"/>
      <c r="L22" s="8"/>
    </row>
    <row r="23" customFormat="false" ht="15" hidden="false" customHeight="false" outlineLevel="0" collapsed="false">
      <c r="B23" s="9" t="s">
        <v>401</v>
      </c>
      <c r="D23" s="19" t="n">
        <f aca="false">SUMPRODUCT((Operating!$F$6:$L$6&lt;=Exit!$D$6)*Cash_Flow!$F$16:$L$16)</f>
        <v>88.1152627370429</v>
      </c>
    </row>
    <row r="24" customFormat="false" ht="15" hidden="false" customHeight="false" outlineLevel="0" collapsed="false">
      <c r="B24" s="9" t="s">
        <v>402</v>
      </c>
      <c r="D24" s="19" t="n">
        <f aca="false">SUMPRODUCT((Operating!$F$6:$L$6&lt;=Exit!$D$6)*Debt!$F$13:$L$13)</f>
        <v>126.460291536957</v>
      </c>
    </row>
    <row r="25" customFormat="false" ht="15" hidden="false" customHeight="false" outlineLevel="0" collapsed="false">
      <c r="B25" s="9" t="s">
        <v>403</v>
      </c>
      <c r="D25" s="19" t="n">
        <f aca="false">SUMPRODUCT((Operating!$F$6:$L$6&lt;=Exit!$D$6)*Tax!$F$17:$L$17)</f>
        <v>38.700696366</v>
      </c>
    </row>
    <row r="26" customFormat="false" ht="15" hidden="false" customHeight="false" outlineLevel="0" collapsed="false">
      <c r="B26" s="9" t="s">
        <v>404</v>
      </c>
      <c r="D26" s="32" t="n">
        <f aca="false">SUMPRODUCT((Operating!$F$6:$L$6&lt;=Exit!$D$6)*Debt!$F$17:$L$17)</f>
        <v>12.45</v>
      </c>
    </row>
    <row r="27" customFormat="false" ht="15" hidden="false" customHeight="false" outlineLevel="0" collapsed="false">
      <c r="B27" s="9" t="s">
        <v>405</v>
      </c>
      <c r="D27" s="19" t="n">
        <f aca="false">SUMPRODUCT((Operating!$F$6:$L$6&lt;=Exit!$D$6)*Debt!$F$23:$L$23)</f>
        <v>35.1212746620225</v>
      </c>
    </row>
    <row r="28" customFormat="false" ht="15" hidden="false" customHeight="false" outlineLevel="0" collapsed="false">
      <c r="B28" s="9" t="s">
        <v>406</v>
      </c>
      <c r="D28" s="19" t="n">
        <f aca="false">SUMPRODUCT((Operating!$F$6:$L$6&lt;=Exit!$D$6)*Cash_Flow!$F$13:$L$13)</f>
        <v>0</v>
      </c>
    </row>
    <row r="29" customFormat="false" ht="15" hidden="false" customHeight="false" outlineLevel="0" collapsed="false">
      <c r="B29" s="9" t="s">
        <v>407</v>
      </c>
      <c r="D29" s="19" t="n">
        <f aca="false">$D$26+$D$27</f>
        <v>47.5712746620225</v>
      </c>
    </row>
    <row r="30" customFormat="false" ht="15" hidden="false" customHeight="false" outlineLevel="0" collapsed="false">
      <c r="B30" s="9" t="s">
        <v>408</v>
      </c>
      <c r="D30" s="19" t="n">
        <f aca="false">Sources_Uses!$D$32-Exit!$D$9</f>
        <v>35.3152627370429</v>
      </c>
    </row>
    <row r="31" customFormat="false" ht="15" hidden="false" customHeight="false" outlineLevel="0" collapsed="false">
      <c r="B31" s="9" t="s">
        <v>409</v>
      </c>
      <c r="D31" s="25" t="n">
        <f aca="false">(Exit!$D$7/Sources_Uses!$D$6)^(1/Exit!$D$6)-1</f>
        <v>0.0925151535860498</v>
      </c>
    </row>
    <row r="32" customFormat="false" ht="15" hidden="false" customHeight="false" outlineLevel="0" collapsed="false">
      <c r="B32" s="9" t="s">
        <v>410</v>
      </c>
      <c r="D32" s="25" t="n">
        <f aca="false">(INDEX(Operating!$E$13:$L$13,1,Exit!$D$6+1)/Assumptions!$D$13)^(1/Exit!$D$6)-1</f>
        <v>0.0675149393296168</v>
      </c>
    </row>
    <row r="33" customFormat="false" ht="15" hidden="false" customHeight="false" outlineLevel="0" collapsed="false">
      <c r="B33" s="9" t="s">
        <v>411</v>
      </c>
      <c r="D33" s="19" t="n">
        <f aca="false">Exit!$D$8-Sources_Uses!$D$7</f>
        <v>250.40600568</v>
      </c>
    </row>
    <row r="34" customFormat="false" ht="15" hidden="false" customHeight="false" outlineLevel="0" collapsed="false">
      <c r="B34" s="9" t="s">
        <v>412</v>
      </c>
      <c r="D34" s="14" t="n">
        <f aca="false">Exit!$D$8/Sources_Uses!$D$7-1</f>
        <v>0.5564577904</v>
      </c>
    </row>
    <row r="35" customFormat="false" ht="15" hidden="false" customHeight="false" outlineLevel="0" collapsed="false">
      <c r="B35" s="9" t="s">
        <v>413</v>
      </c>
      <c r="D35" s="25" t="n">
        <f aca="false">(Exit!$D$8/Sources_Uses!$D$7)^(1/Exit!$D$6)-1</f>
        <v>0.0925151535860498</v>
      </c>
    </row>
    <row r="36" customFormat="false" ht="15" hidden="false" customHeight="false" outlineLevel="0" collapsed="false">
      <c r="B36" s="9" t="s">
        <v>414</v>
      </c>
      <c r="D36" s="14" t="n">
        <f aca="false">Exit!$D$15/Sources_Uses!$D$24-1</f>
        <v>1.30107589165922</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I5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
    <col collapsed="false" customWidth="true" hidden="false" outlineLevel="0" max="3" min="3" style="0" width="20"/>
    <col collapsed="false" customWidth="true" hidden="false" outlineLevel="0" max="4" min="4" style="0" width="78"/>
    <col collapsed="false" customWidth="true" hidden="false" outlineLevel="0" max="5" min="5" style="0" width="14"/>
    <col collapsed="false" customWidth="true" hidden="false" outlineLevel="0" max="6" min="6" style="0" width="16"/>
    <col collapsed="false" customWidth="true" hidden="false" outlineLevel="0" max="7" min="7" style="0" width="13"/>
    <col collapsed="false" customWidth="true" hidden="false" outlineLevel="0" max="8" min="8" style="0" width="12"/>
    <col collapsed="false" customWidth="true" hidden="false" outlineLevel="0" max="9" min="9" style="0" width="10"/>
  </cols>
  <sheetData>
    <row r="1" customFormat="false" ht="6" hidden="false" customHeight="true" outlineLevel="0" collapsed="false"/>
    <row r="2" customFormat="false" ht="17.35" hidden="false" customHeight="false" outlineLevel="0" collapsed="false">
      <c r="B2" s="5" t="s">
        <v>415</v>
      </c>
    </row>
    <row r="3" customFormat="false" ht="15" hidden="false" customHeight="false" outlineLevel="0" collapsed="false">
      <c r="B3" s="6" t="s">
        <v>416</v>
      </c>
    </row>
    <row r="4" customFormat="false" ht="15" hidden="false" customHeight="false" outlineLevel="0" collapsed="false">
      <c r="C4" s="17" t="s">
        <v>417</v>
      </c>
      <c r="E4" s="42" t="n">
        <f aca="false">ROWS(I10:I520)</f>
        <v>511</v>
      </c>
    </row>
    <row r="5" customFormat="false" ht="15" hidden="false" customHeight="false" outlineLevel="0" collapsed="false">
      <c r="C5" s="17" t="s">
        <v>418</v>
      </c>
      <c r="E5" s="42" t="n">
        <f aca="false">COUNTIF(I10:I520,"PASS")</f>
        <v>511</v>
      </c>
    </row>
    <row r="6" customFormat="false" ht="15" hidden="false" customHeight="false" outlineLevel="0" collapsed="false">
      <c r="C6" s="17" t="s">
        <v>419</v>
      </c>
      <c r="E6" s="42" t="n">
        <f aca="false">COUNTIF(I10:I520,"FAIL")</f>
        <v>0</v>
      </c>
    </row>
    <row r="7" customFormat="false" ht="15" hidden="false" customHeight="false" outlineLevel="0" collapsed="false">
      <c r="C7" s="17" t="s">
        <v>420</v>
      </c>
      <c r="D7" s="17"/>
      <c r="E7" s="43" t="str">
        <f aca="false">IFERROR(IF(AND(E5=E4,E6=0,SUMPRODUCT(--ISERROR(F10:F520))=0),"PASS","FAIL"),"FAIL")</f>
        <v>PASS</v>
      </c>
    </row>
    <row r="9" customFormat="false" ht="21.75" hidden="false" customHeight="true" outlineLevel="0" collapsed="false">
      <c r="B9" s="15" t="s">
        <v>421</v>
      </c>
      <c r="C9" s="16" t="s">
        <v>422</v>
      </c>
      <c r="D9" s="16" t="s">
        <v>423</v>
      </c>
      <c r="E9" s="16" t="s">
        <v>424</v>
      </c>
      <c r="F9" s="16" t="s">
        <v>425</v>
      </c>
      <c r="G9" s="16" t="s">
        <v>426</v>
      </c>
      <c r="H9" s="16" t="s">
        <v>427</v>
      </c>
      <c r="I9" s="16" t="s">
        <v>428</v>
      </c>
    </row>
    <row r="10" customFormat="false" ht="15" hidden="false" customHeight="true" outlineLevel="0" collapsed="false">
      <c r="B10" s="44" t="n">
        <v>1</v>
      </c>
      <c r="C10" s="9" t="s">
        <v>429</v>
      </c>
      <c r="D10" s="45" t="s">
        <v>430</v>
      </c>
      <c r="E10" s="46" t="s">
        <v>431</v>
      </c>
      <c r="F10" s="47" t="str">
        <f aca="false">IFERROR(IF(ABS(Sources_Uses!$D$28)&lt;0.000001,"holds","does not hold"),"error")</f>
        <v>holds</v>
      </c>
      <c r="G10" s="9"/>
      <c r="H10" s="9"/>
      <c r="I10" s="43" t="str">
        <f aca="false">IFERROR(IF(ABS(Sources_Uses!$D$28)&lt;0.000001,"PASS","FAIL"),"FAIL")</f>
        <v>PASS</v>
      </c>
    </row>
    <row r="11" customFormat="false" ht="15" hidden="false" customHeight="true" outlineLevel="0" collapsed="false">
      <c r="B11" s="44" t="n">
        <v>2</v>
      </c>
      <c r="C11" s="9" t="s">
        <v>432</v>
      </c>
      <c r="D11" s="45" t="s">
        <v>433</v>
      </c>
      <c r="E11" s="46" t="s">
        <v>431</v>
      </c>
      <c r="F11" s="47" t="str">
        <f aca="false">IFERROR(IF(SUMPRODUCT(ABS(Balance_Sheet!$E$16:$L$16))&lt;0.000001,"holds","does not hold"),"error")</f>
        <v>holds</v>
      </c>
      <c r="G11" s="9"/>
      <c r="H11" s="9"/>
      <c r="I11" s="43" t="str">
        <f aca="false">IFERROR(IF(SUMPRODUCT(ABS(Balance_Sheet!$E$16:$L$16))&lt;0.000001,"PASS","FAIL"),"FAIL")</f>
        <v>PASS</v>
      </c>
    </row>
    <row r="12" customFormat="false" ht="15" hidden="false" customHeight="true" outlineLevel="0" collapsed="false">
      <c r="B12" s="44" t="n">
        <v>3</v>
      </c>
      <c r="C12" s="9" t="s">
        <v>316</v>
      </c>
      <c r="D12" s="45" t="s">
        <v>434</v>
      </c>
      <c r="E12" s="46" t="s">
        <v>431</v>
      </c>
      <c r="F12" s="47" t="str">
        <f aca="false">IFERROR(IF(SUMPRODUCT(ABS(Debt!$F$34:$L$34))&lt;0.000001,"holds","does not hold"),"error")</f>
        <v>holds</v>
      </c>
      <c r="G12" s="9"/>
      <c r="H12" s="9"/>
      <c r="I12" s="43" t="str">
        <f aca="false">IFERROR(IF(SUMPRODUCT(ABS(Debt!$F$34:$L$34))&lt;0.000001,"PASS","FAIL"),"FAIL")</f>
        <v>PASS</v>
      </c>
    </row>
    <row r="13" customFormat="false" ht="15" hidden="false" customHeight="true" outlineLevel="0" collapsed="false">
      <c r="B13" s="44" t="n">
        <v>4</v>
      </c>
      <c r="C13" s="9" t="s">
        <v>316</v>
      </c>
      <c r="D13" s="45" t="s">
        <v>435</v>
      </c>
      <c r="E13" s="46" t="s">
        <v>431</v>
      </c>
      <c r="F13" s="47" t="str">
        <f aca="false">IFERROR(IF(SUM(Debt!$F$24:$L$24)&lt;0.000001,"holds","does not hold"),"error")</f>
        <v>holds</v>
      </c>
      <c r="G13" s="9"/>
      <c r="H13" s="9"/>
      <c r="I13" s="43" t="str">
        <f aca="false">IFERROR(IF(SUM(Debt!$F$24:$L$24)&lt;0.000001,"PASS","FAIL"),"FAIL")</f>
        <v>PASS</v>
      </c>
    </row>
    <row r="14" customFormat="false" ht="30" hidden="false" customHeight="true" outlineLevel="0" collapsed="false">
      <c r="B14" s="44" t="n">
        <v>5</v>
      </c>
      <c r="C14" s="9" t="s">
        <v>316</v>
      </c>
      <c r="D14" s="45" t="s">
        <v>436</v>
      </c>
      <c r="E14" s="46" t="s">
        <v>431</v>
      </c>
      <c r="F14" s="47" t="str">
        <f aca="false">IFERROR(IF(OR(Assumptions!$D$142=1,SUMPRODUCT(--(Debt!$F$31:$L$31&lt;Assumptions!$D$79-0.000001),--(Debt!$F$29:$L$29&lt;Assumptions!$D$90-0.000001))=0),"holds","does not hold"),"error")</f>
        <v>holds</v>
      </c>
      <c r="G14" s="9"/>
      <c r="H14" s="9"/>
      <c r="I14" s="43" t="str">
        <f aca="false">IFERROR(IF(OR(Assumptions!$D$142=1,SUMPRODUCT(--(Debt!$F$31:$L$31&lt;Assumptions!$D$79-0.000001),--(Debt!$F$29:$L$29&lt;Assumptions!$D$90-0.000001))=0),"PASS","FAIL"),"FAIL")</f>
        <v>PASS</v>
      </c>
    </row>
    <row r="15" customFormat="false" ht="15" hidden="false" customHeight="true" outlineLevel="0" collapsed="false">
      <c r="B15" s="44" t="n">
        <v>6</v>
      </c>
      <c r="C15" s="9" t="s">
        <v>437</v>
      </c>
      <c r="D15" s="45" t="s">
        <v>438</v>
      </c>
      <c r="E15" s="46" t="s">
        <v>431</v>
      </c>
      <c r="F15" s="47" t="str">
        <f aca="false">IFERROR(IF(ABS(Covenants!$H$13-(Covenants!$H$12-Covenants!$H$11))&lt;0.000001,"holds","does not hold"),"error")</f>
        <v>holds</v>
      </c>
      <c r="G15" s="9"/>
      <c r="H15" s="9"/>
      <c r="I15" s="43" t="str">
        <f aca="false">IFERROR(IF(ABS(Covenants!$H$13-(Covenants!$H$12-Covenants!$H$11))&lt;0.000001,"PASS","FAIL"),"FAIL")</f>
        <v>PASS</v>
      </c>
    </row>
    <row r="16" customFormat="false" ht="15" hidden="false" customHeight="true" outlineLevel="0" collapsed="false">
      <c r="B16" s="44" t="n">
        <v>7</v>
      </c>
      <c r="C16" s="9" t="s">
        <v>439</v>
      </c>
      <c r="D16" s="45" t="s">
        <v>440</v>
      </c>
      <c r="E16" s="46" t="s">
        <v>431</v>
      </c>
      <c r="F16" s="47" t="str">
        <f aca="false">IFERROR(IF(ABS(Exit!$D$40)&lt;0.000001,"holds","does not hold"),"error")</f>
        <v>holds</v>
      </c>
      <c r="G16" s="9"/>
      <c r="H16" s="9"/>
      <c r="I16" s="43" t="str">
        <f aca="false">IFERROR(IF(ABS(Exit!$D$40)&lt;0.000001,"PASS","FAIL"),"FAIL")</f>
        <v>PASS</v>
      </c>
    </row>
    <row r="17" customFormat="false" ht="15" hidden="false" customHeight="true" outlineLevel="0" collapsed="false">
      <c r="B17" s="44" t="n">
        <v>8</v>
      </c>
      <c r="C17" s="9" t="s">
        <v>383</v>
      </c>
      <c r="D17" s="45" t="s">
        <v>441</v>
      </c>
      <c r="E17" s="46" t="s">
        <v>431</v>
      </c>
      <c r="F17" s="47" t="str">
        <f aca="false">IFERROR(IF(ABS(Returns!$D$16-Returns!$D$15)&lt;=0.0005,"holds","does not hold"),"error")</f>
        <v>holds</v>
      </c>
      <c r="G17" s="9"/>
      <c r="H17" s="9"/>
      <c r="I17" s="43" t="str">
        <f aca="false">IFERROR(IF(ABS(Returns!$D$16-Returns!$D$15)&lt;=0.0005,"PASS","FAIL"),"FAIL")</f>
        <v>PASS</v>
      </c>
    </row>
    <row r="18" customFormat="false" ht="15" hidden="false" customHeight="true" outlineLevel="0" collapsed="false">
      <c r="B18" s="44" t="n">
        <v>9</v>
      </c>
      <c r="C18" s="9" t="s">
        <v>383</v>
      </c>
      <c r="D18" s="45" t="s">
        <v>442</v>
      </c>
      <c r="E18" s="46" t="s">
        <v>431</v>
      </c>
      <c r="F18" s="47" t="str">
        <f aca="false">IFERROR(IF(ABS(Returns!$D$17-SUMIF(Returns!$E$11:$L$11,"&gt;0")/Returns!$D$18)&lt;0.000001,"holds","does not hold"),"error")</f>
        <v>holds</v>
      </c>
      <c r="G18" s="9"/>
      <c r="H18" s="9"/>
      <c r="I18" s="43" t="str">
        <f aca="false">IFERROR(IF(ABS(Returns!$D$17-SUMIF(Returns!$E$11:$L$11,"&gt;0")/Returns!$D$18)&lt;0.000001,"PASS","FAIL"),"FAIL")</f>
        <v>PASS</v>
      </c>
    </row>
    <row r="19" customFormat="false" ht="15" hidden="false" customHeight="false" outlineLevel="0" collapsed="false">
      <c r="B19" s="44" t="n">
        <v>10</v>
      </c>
      <c r="C19" s="9" t="s">
        <v>443</v>
      </c>
      <c r="D19" s="9" t="s">
        <v>444</v>
      </c>
      <c r="E19" s="48" t="n">
        <v>5</v>
      </c>
      <c r="F19" s="37" t="n">
        <f aca="false">Assumptions!$D$133</f>
        <v>5</v>
      </c>
      <c r="G19" s="49" t="n">
        <f aca="false">IFERROR(IF(ISNUMBER(F19),F19-E19,"n/a"),"n/a")</f>
        <v>0</v>
      </c>
      <c r="H19" s="50" t="n">
        <v>0.500000001</v>
      </c>
      <c r="I19" s="43" t="str">
        <f aca="false">IFERROR(IF(ISNUMBER(F19),IF(ABS(F19-E19)&lt;=H19,"PASS","FAIL"),"FAIL"),"FAIL")</f>
        <v>PASS</v>
      </c>
    </row>
    <row r="20" customFormat="false" ht="15" hidden="false" customHeight="false" outlineLevel="0" collapsed="false">
      <c r="B20" s="44" t="n">
        <v>11</v>
      </c>
      <c r="C20" s="9" t="s">
        <v>443</v>
      </c>
      <c r="D20" s="9" t="s">
        <v>445</v>
      </c>
      <c r="E20" s="10" t="n">
        <v>0.04</v>
      </c>
      <c r="F20" s="51" t="n">
        <f aca="false">Assumptions!$D$6</f>
        <v>0.04</v>
      </c>
      <c r="G20" s="49" t="n">
        <f aca="false">IFERROR(IF(ISNUMBER(F20),F20-E20,"n/a"),"n/a")</f>
        <v>0</v>
      </c>
      <c r="H20" s="50" t="n">
        <v>5.0001E-005</v>
      </c>
      <c r="I20" s="43" t="str">
        <f aca="false">IFERROR(IF(ISNUMBER(F20),IF(ABS(F20-E20)&lt;=H20,"PASS","FAIL"),"FAIL"),"FAIL")</f>
        <v>PASS</v>
      </c>
    </row>
    <row r="21" customFormat="false" ht="15" hidden="false" customHeight="false" outlineLevel="0" collapsed="false">
      <c r="B21" s="44" t="n">
        <v>12</v>
      </c>
      <c r="C21" s="9" t="s">
        <v>443</v>
      </c>
      <c r="D21" s="9" t="s">
        <v>446</v>
      </c>
      <c r="E21" s="10" t="n">
        <v>0.02</v>
      </c>
      <c r="F21" s="51" t="n">
        <f aca="false">Assumptions!$D$9</f>
        <v>0.02</v>
      </c>
      <c r="G21" s="49" t="n">
        <f aca="false">IFERROR(IF(ISNUMBER(F21),F21-E21,"n/a"),"n/a")</f>
        <v>0</v>
      </c>
      <c r="H21" s="50" t="n">
        <v>5.0001E-005</v>
      </c>
      <c r="I21" s="43" t="str">
        <f aca="false">IFERROR(IF(ISNUMBER(F21),IF(ABS(F21-E21)&lt;=H21,"PASS","FAIL"),"FAIL"),"FAIL")</f>
        <v>PASS</v>
      </c>
    </row>
    <row r="22" customFormat="false" ht="15" hidden="false" customHeight="false" outlineLevel="0" collapsed="false">
      <c r="B22" s="44" t="n">
        <v>13</v>
      </c>
      <c r="C22" s="9" t="s">
        <v>443</v>
      </c>
      <c r="D22" s="9" t="s">
        <v>447</v>
      </c>
      <c r="E22" s="11" t="n">
        <v>0.25</v>
      </c>
      <c r="F22" s="25" t="n">
        <f aca="false">Assumptions!$D$7</f>
        <v>0.25</v>
      </c>
      <c r="G22" s="49" t="n">
        <f aca="false">IFERROR(IF(ISNUMBER(F22),F22-E22,"n/a"),"n/a")</f>
        <v>0</v>
      </c>
      <c r="H22" s="50" t="n">
        <v>0.005000001</v>
      </c>
      <c r="I22" s="43" t="str">
        <f aca="false">IFERROR(IF(ISNUMBER(F22),IF(ABS(F22-E22)&lt;=H22,"PASS","FAIL"),"FAIL"),"FAIL")</f>
        <v>PASS</v>
      </c>
    </row>
    <row r="23" customFormat="false" ht="15" hidden="false" customHeight="false" outlineLevel="0" collapsed="false">
      <c r="B23" s="44" t="n">
        <v>14</v>
      </c>
      <c r="C23" s="9" t="s">
        <v>443</v>
      </c>
      <c r="D23" s="9" t="s">
        <v>448</v>
      </c>
      <c r="E23" s="11" t="n">
        <v>0.3</v>
      </c>
      <c r="F23" s="25" t="n">
        <f aca="false">Assumptions!$D$8</f>
        <v>0.3</v>
      </c>
      <c r="G23" s="49" t="n">
        <f aca="false">IFERROR(IF(ISNUMBER(F23),F23-E23,"n/a"),"n/a")</f>
        <v>0</v>
      </c>
      <c r="H23" s="50" t="n">
        <v>0.005000001</v>
      </c>
      <c r="I23" s="43" t="str">
        <f aca="false">IFERROR(IF(ISNUMBER(F23),IF(ABS(F23-E23)&lt;=H23,"PASS","FAIL"),"FAIL"),"FAIL")</f>
        <v>PASS</v>
      </c>
    </row>
    <row r="24" customFormat="false" ht="15" hidden="false" customHeight="false" outlineLevel="0" collapsed="false">
      <c r="B24" s="44" t="n">
        <v>15</v>
      </c>
      <c r="C24" s="9" t="s">
        <v>443</v>
      </c>
      <c r="D24" s="9" t="s">
        <v>449</v>
      </c>
      <c r="E24" s="52" t="n">
        <v>320</v>
      </c>
      <c r="F24" s="53" t="n">
        <f aca="false">Assumptions!$D$13</f>
        <v>320</v>
      </c>
      <c r="G24" s="49" t="n">
        <f aca="false">IFERROR(IF(ISNUMBER(F24),F24-E24,"n/a"),"n/a")</f>
        <v>0</v>
      </c>
      <c r="H24" s="50" t="n">
        <v>0.050000001</v>
      </c>
      <c r="I24" s="43" t="str">
        <f aca="false">IFERROR(IF(ISNUMBER(F24),IF(ABS(F24-E24)&lt;=H24,"PASS","FAIL"),"FAIL"),"FAIL")</f>
        <v>PASS</v>
      </c>
    </row>
    <row r="25" customFormat="false" ht="15" hidden="false" customHeight="false" outlineLevel="0" collapsed="false">
      <c r="B25" s="44" t="n">
        <v>16</v>
      </c>
      <c r="C25" s="9" t="s">
        <v>443</v>
      </c>
      <c r="D25" s="9" t="s">
        <v>450</v>
      </c>
      <c r="E25" s="52" t="n">
        <v>46.5</v>
      </c>
      <c r="F25" s="53" t="n">
        <f aca="false">Assumptions!$D$14</f>
        <v>46.5</v>
      </c>
      <c r="G25" s="49" t="n">
        <f aca="false">IFERROR(IF(ISNUMBER(F25),F25-E25,"n/a"),"n/a")</f>
        <v>0</v>
      </c>
      <c r="H25" s="50" t="n">
        <v>0.050000001</v>
      </c>
      <c r="I25" s="43" t="str">
        <f aca="false">IFERROR(IF(ISNUMBER(F25),IF(ABS(F25-E25)&lt;=H25,"PASS","FAIL"),"FAIL"),"FAIL")</f>
        <v>PASS</v>
      </c>
    </row>
    <row r="26" customFormat="false" ht="15" hidden="false" customHeight="false" outlineLevel="0" collapsed="false">
      <c r="B26" s="44" t="n">
        <v>17</v>
      </c>
      <c r="C26" s="9" t="s">
        <v>443</v>
      </c>
      <c r="D26" s="9" t="s">
        <v>451</v>
      </c>
      <c r="E26" s="21" t="n">
        <v>0.145</v>
      </c>
      <c r="F26" s="20" t="n">
        <f aca="false">Assumptions!$D$15</f>
        <v>0.1453125</v>
      </c>
      <c r="G26" s="49" t="n">
        <f aca="false">IFERROR(IF(ISNUMBER(F26),F26-E26,"n/a"),"n/a")</f>
        <v>0.000312500000000021</v>
      </c>
      <c r="H26" s="50" t="n">
        <v>0.000500001</v>
      </c>
      <c r="I26" s="43" t="str">
        <f aca="false">IFERROR(IF(ISNUMBER(F26),IF(ABS(F26-E26)&lt;=H26,"PASS","FAIL"),"FAIL"),"FAIL")</f>
        <v>PASS</v>
      </c>
    </row>
    <row r="27" customFormat="false" ht="15" hidden="false" customHeight="false" outlineLevel="0" collapsed="false">
      <c r="B27" s="44" t="n">
        <v>18</v>
      </c>
      <c r="C27" s="9" t="s">
        <v>443</v>
      </c>
      <c r="D27" s="9" t="s">
        <v>452</v>
      </c>
      <c r="E27" s="11" t="n">
        <v>0.38</v>
      </c>
      <c r="F27" s="25" t="n">
        <f aca="false">Assumptions!$D$40</f>
        <v>0.38</v>
      </c>
      <c r="G27" s="49" t="n">
        <f aca="false">IFERROR(IF(ISNUMBER(F27),F27-E27,"n/a"),"n/a")</f>
        <v>0</v>
      </c>
      <c r="H27" s="50" t="n">
        <v>0.005000001</v>
      </c>
      <c r="I27" s="43" t="str">
        <f aca="false">IFERROR(IF(ISNUMBER(F27),IF(ABS(F27-E27)&lt;=H27,"PASS","FAIL"),"FAIL"),"FAIL")</f>
        <v>PASS</v>
      </c>
    </row>
    <row r="28" customFormat="false" ht="15" hidden="false" customHeight="false" outlineLevel="0" collapsed="false">
      <c r="B28" s="44" t="n">
        <v>19</v>
      </c>
      <c r="C28" s="9" t="s">
        <v>443</v>
      </c>
      <c r="D28" s="9" t="s">
        <v>453</v>
      </c>
      <c r="E28" s="11" t="n">
        <v>0.45</v>
      </c>
      <c r="F28" s="25" t="n">
        <f aca="false">Assumptions!$D$41</f>
        <v>0.45</v>
      </c>
      <c r="G28" s="49" t="n">
        <f aca="false">IFERROR(IF(ISNUMBER(F28),F28-E28,"n/a"),"n/a")</f>
        <v>0</v>
      </c>
      <c r="H28" s="50" t="n">
        <v>0.005000001</v>
      </c>
      <c r="I28" s="43" t="str">
        <f aca="false">IFERROR(IF(ISNUMBER(F28),IF(ABS(F28-E28)&lt;=H28,"PASS","FAIL"),"FAIL"),"FAIL")</f>
        <v>PASS</v>
      </c>
    </row>
    <row r="29" customFormat="false" ht="15" hidden="false" customHeight="false" outlineLevel="0" collapsed="false">
      <c r="B29" s="44" t="n">
        <v>20</v>
      </c>
      <c r="C29" s="9" t="s">
        <v>443</v>
      </c>
      <c r="D29" s="9" t="s">
        <v>454</v>
      </c>
      <c r="E29" s="21" t="n">
        <v>0.045</v>
      </c>
      <c r="F29" s="20" t="n">
        <f aca="false">Assumptions!$D$44</f>
        <v>0.045</v>
      </c>
      <c r="G29" s="49" t="n">
        <f aca="false">IFERROR(IF(ISNUMBER(F29),F29-E29,"n/a"),"n/a")</f>
        <v>0</v>
      </c>
      <c r="H29" s="50" t="n">
        <v>0.000500001</v>
      </c>
      <c r="I29" s="43" t="str">
        <f aca="false">IFERROR(IF(ISNUMBER(F29),IF(ABS(F29-E29)&lt;=H29,"PASS","FAIL"),"FAIL"),"FAIL")</f>
        <v>PASS</v>
      </c>
    </row>
    <row r="30" customFormat="false" ht="15" hidden="false" customHeight="false" outlineLevel="0" collapsed="false">
      <c r="B30" s="44" t="n">
        <v>21</v>
      </c>
      <c r="C30" s="9" t="s">
        <v>443</v>
      </c>
      <c r="D30" s="9" t="s">
        <v>455</v>
      </c>
      <c r="E30" s="21" t="n">
        <v>0.03</v>
      </c>
      <c r="F30" s="20" t="n">
        <f aca="false">Assumptions!$D$42</f>
        <v>0.03</v>
      </c>
      <c r="G30" s="49" t="n">
        <f aca="false">IFERROR(IF(ISNUMBER(F30),F30-E30,"n/a"),"n/a")</f>
        <v>0</v>
      </c>
      <c r="H30" s="50" t="n">
        <v>0.000500001</v>
      </c>
      <c r="I30" s="43" t="str">
        <f aca="false">IFERROR(IF(ISNUMBER(F30),IF(ABS(F30-E30)&lt;=H30,"PASS","FAIL"),"FAIL"),"FAIL")</f>
        <v>PASS</v>
      </c>
    </row>
    <row r="31" customFormat="false" ht="15" hidden="false" customHeight="false" outlineLevel="0" collapsed="false">
      <c r="B31" s="44" t="n">
        <v>22</v>
      </c>
      <c r="C31" s="9" t="s">
        <v>443</v>
      </c>
      <c r="D31" s="9" t="s">
        <v>456</v>
      </c>
      <c r="E31" s="21" t="n">
        <v>0.015</v>
      </c>
      <c r="F31" s="20" t="n">
        <f aca="false">Assumptions!$D$43</f>
        <v>0.015</v>
      </c>
      <c r="G31" s="49" t="n">
        <f aca="false">IFERROR(IF(ISNUMBER(F31),F31-E31,"n/a"),"n/a")</f>
        <v>0</v>
      </c>
      <c r="H31" s="50" t="n">
        <v>0.000500001</v>
      </c>
      <c r="I31" s="43" t="str">
        <f aca="false">IFERROR(IF(ISNUMBER(F31),IF(ABS(F31-E31)&lt;=H31,"PASS","FAIL"),"FAIL"),"FAIL")</f>
        <v>PASS</v>
      </c>
    </row>
    <row r="32" customFormat="false" ht="15" hidden="false" customHeight="false" outlineLevel="0" collapsed="false">
      <c r="B32" s="44" t="n">
        <v>23</v>
      </c>
      <c r="C32" s="9" t="s">
        <v>443</v>
      </c>
      <c r="D32" s="9" t="s">
        <v>457</v>
      </c>
      <c r="E32" s="52" t="n">
        <v>8.5</v>
      </c>
      <c r="F32" s="53" t="n">
        <f aca="false">Assumptions!$D$21</f>
        <v>8.5</v>
      </c>
      <c r="G32" s="49" t="n">
        <f aca="false">IFERROR(IF(ISNUMBER(F32),F32-E32,"n/a"),"n/a")</f>
        <v>0</v>
      </c>
      <c r="H32" s="50" t="n">
        <v>0.050000001</v>
      </c>
      <c r="I32" s="43" t="str">
        <f aca="false">IFERROR(IF(ISNUMBER(F32),IF(ABS(F32-E32)&lt;=H32,"PASS","FAIL"),"FAIL"),"FAIL")</f>
        <v>PASS</v>
      </c>
    </row>
    <row r="33" customFormat="false" ht="15" hidden="false" customHeight="false" outlineLevel="0" collapsed="false">
      <c r="B33" s="44" t="n">
        <v>24</v>
      </c>
      <c r="C33" s="9" t="s">
        <v>443</v>
      </c>
      <c r="D33" s="9" t="s">
        <v>458</v>
      </c>
      <c r="E33" s="52" t="n">
        <v>3.5</v>
      </c>
      <c r="F33" s="53" t="n">
        <f aca="false">Assumptions!$E$21</f>
        <v>3.5</v>
      </c>
      <c r="G33" s="49" t="n">
        <f aca="false">IFERROR(IF(ISNUMBER(F33),F33-E33,"n/a"),"n/a")</f>
        <v>0</v>
      </c>
      <c r="H33" s="50" t="n">
        <v>0.050000001</v>
      </c>
      <c r="I33" s="43" t="str">
        <f aca="false">IFERROR(IF(ISNUMBER(F33),IF(ABS(F33-E33)&lt;=H33,"PASS","FAIL"),"FAIL"),"FAIL")</f>
        <v>PASS</v>
      </c>
    </row>
    <row r="34" customFormat="false" ht="15" hidden="false" customHeight="false" outlineLevel="0" collapsed="false">
      <c r="B34" s="44" t="n">
        <v>25</v>
      </c>
      <c r="C34" s="9" t="s">
        <v>443</v>
      </c>
      <c r="D34" s="9" t="s">
        <v>459</v>
      </c>
      <c r="E34" s="52" t="n">
        <v>55</v>
      </c>
      <c r="F34" s="53" t="n">
        <f aca="false">Assumptions!$D$22</f>
        <v>55</v>
      </c>
      <c r="G34" s="49" t="n">
        <f aca="false">IFERROR(IF(ISNUMBER(F34),F34-E34,"n/a"),"n/a")</f>
        <v>0</v>
      </c>
      <c r="H34" s="50" t="n">
        <v>0.050000001</v>
      </c>
      <c r="I34" s="43" t="str">
        <f aca="false">IFERROR(IF(ISNUMBER(F34),IF(ABS(F34-E34)&lt;=H34,"PASS","FAIL"),"FAIL"),"FAIL")</f>
        <v>PASS</v>
      </c>
    </row>
    <row r="35" customFormat="false" ht="15" hidden="false" customHeight="false" outlineLevel="0" collapsed="false">
      <c r="B35" s="44" t="n">
        <v>26</v>
      </c>
      <c r="C35" s="9" t="s">
        <v>443</v>
      </c>
      <c r="D35" s="9" t="s">
        <v>460</v>
      </c>
      <c r="E35" s="21" t="n">
        <v>0.172</v>
      </c>
      <c r="F35" s="20" t="n">
        <f aca="false">Assumptions!$D$23</f>
        <v>0.171875</v>
      </c>
      <c r="G35" s="49" t="n">
        <f aca="false">IFERROR(IF(ISNUMBER(F35),F35-E35,"n/a"),"n/a")</f>
        <v>-0.000124999999999986</v>
      </c>
      <c r="H35" s="50" t="n">
        <v>0.000500001</v>
      </c>
      <c r="I35" s="43" t="str">
        <f aca="false">IFERROR(IF(ISNUMBER(F35),IF(ABS(F35-E35)&lt;=H35,"PASS","FAIL"),"FAIL"),"FAIL")</f>
        <v>PASS</v>
      </c>
    </row>
    <row r="36" customFormat="false" ht="15" hidden="false" customHeight="false" outlineLevel="0" collapsed="false">
      <c r="B36" s="44" t="n">
        <v>27</v>
      </c>
      <c r="C36" s="9" t="s">
        <v>443</v>
      </c>
      <c r="D36" s="9" t="s">
        <v>461</v>
      </c>
      <c r="E36" s="52" t="n">
        <v>50</v>
      </c>
      <c r="F36" s="53" t="n">
        <f aca="false">Assumptions!$D$24</f>
        <v>50</v>
      </c>
      <c r="G36" s="49" t="n">
        <f aca="false">IFERROR(IF(ISNUMBER(F36),F36-E36,"n/a"),"n/a")</f>
        <v>0</v>
      </c>
      <c r="H36" s="50" t="n">
        <v>0.050000001</v>
      </c>
      <c r="I36" s="43" t="str">
        <f aca="false">IFERROR(IF(ISNUMBER(F36),IF(ABS(F36-E36)&lt;=H36,"PASS","FAIL"),"FAIL"),"FAIL")</f>
        <v>PASS</v>
      </c>
    </row>
    <row r="37" customFormat="false" ht="15" hidden="false" customHeight="false" outlineLevel="0" collapsed="false">
      <c r="B37" s="44" t="n">
        <v>28</v>
      </c>
      <c r="C37" s="9" t="s">
        <v>443</v>
      </c>
      <c r="D37" s="9" t="s">
        <v>462</v>
      </c>
      <c r="E37" s="21" t="n">
        <v>0.156</v>
      </c>
      <c r="F37" s="20" t="n">
        <f aca="false">Assumptions!$D$25</f>
        <v>0.15625</v>
      </c>
      <c r="G37" s="49" t="n">
        <f aca="false">IFERROR(IF(ISNUMBER(F37),F37-E37,"n/a"),"n/a")</f>
        <v>0.00025</v>
      </c>
      <c r="H37" s="50" t="n">
        <v>0.000500001</v>
      </c>
      <c r="I37" s="43" t="str">
        <f aca="false">IFERROR(IF(ISNUMBER(F37),IF(ABS(F37-E37)&lt;=H37,"PASS","FAIL"),"FAIL"),"FAIL")</f>
        <v>PASS</v>
      </c>
    </row>
    <row r="38" customFormat="false" ht="15" hidden="false" customHeight="false" outlineLevel="0" collapsed="false">
      <c r="B38" s="44" t="n">
        <v>29</v>
      </c>
      <c r="C38" s="9" t="s">
        <v>443</v>
      </c>
      <c r="D38" s="9" t="s">
        <v>463</v>
      </c>
      <c r="E38" s="52" t="n">
        <v>5</v>
      </c>
      <c r="F38" s="53" t="n">
        <f aca="false">Assumptions!$D$26</f>
        <v>5</v>
      </c>
      <c r="G38" s="49" t="n">
        <f aca="false">IFERROR(IF(ISNUMBER(F38),F38-E38,"n/a"),"n/a")</f>
        <v>0</v>
      </c>
      <c r="H38" s="50" t="n">
        <v>0.050000001</v>
      </c>
      <c r="I38" s="43" t="str">
        <f aca="false">IFERROR(IF(ISNUMBER(F38),IF(ABS(F38-E38)&lt;=H38,"PASS","FAIL"),"FAIL"),"FAIL")</f>
        <v>PASS</v>
      </c>
    </row>
    <row r="39" customFormat="false" ht="15" hidden="false" customHeight="false" outlineLevel="0" collapsed="false">
      <c r="B39" s="44" t="n">
        <v>30</v>
      </c>
      <c r="C39" s="9" t="s">
        <v>443</v>
      </c>
      <c r="D39" s="9" t="s">
        <v>464</v>
      </c>
      <c r="E39" s="52" t="n">
        <v>9</v>
      </c>
      <c r="F39" s="53" t="n">
        <f aca="false">Assumptions!$D$64</f>
        <v>9</v>
      </c>
      <c r="G39" s="49" t="n">
        <f aca="false">IFERROR(IF(ISNUMBER(F39),F39-E39,"n/a"),"n/a")</f>
        <v>0</v>
      </c>
      <c r="H39" s="50" t="n">
        <v>0.050000001</v>
      </c>
      <c r="I39" s="43" t="str">
        <f aca="false">IFERROR(IF(ISNUMBER(F39),IF(ABS(F39-E39)&lt;=H39,"PASS","FAIL"),"FAIL"),"FAIL")</f>
        <v>PASS</v>
      </c>
    </row>
    <row r="40" customFormat="false" ht="15" hidden="false" customHeight="false" outlineLevel="0" collapsed="false">
      <c r="B40" s="44" t="n">
        <v>31</v>
      </c>
      <c r="C40" s="9" t="s">
        <v>443</v>
      </c>
      <c r="D40" s="9" t="s">
        <v>465</v>
      </c>
      <c r="E40" s="52" t="n">
        <v>8.2</v>
      </c>
      <c r="F40" s="53" t="n">
        <f aca="false">Assumptions!$D$67</f>
        <v>8.18181818181818</v>
      </c>
      <c r="G40" s="49" t="n">
        <f aca="false">IFERROR(IF(ISNUMBER(F40),F40-E40,"n/a"),"n/a")</f>
        <v>-0.0181818181818176</v>
      </c>
      <c r="H40" s="50" t="n">
        <v>0.050000001</v>
      </c>
      <c r="I40" s="43" t="str">
        <f aca="false">IFERROR(IF(ISNUMBER(F40),IF(ABS(F40-E40)&lt;=H40,"PASS","FAIL"),"FAIL"),"FAIL")</f>
        <v>PASS</v>
      </c>
    </row>
    <row r="41" customFormat="false" ht="15" hidden="false" customHeight="false" outlineLevel="0" collapsed="false">
      <c r="B41" s="44" t="n">
        <v>32</v>
      </c>
      <c r="C41" s="9" t="s">
        <v>443</v>
      </c>
      <c r="D41" s="9" t="s">
        <v>466</v>
      </c>
      <c r="E41" s="21" t="n">
        <v>0.03</v>
      </c>
      <c r="F41" s="20" t="n">
        <f aca="false">Assumptions!$D$30</f>
        <v>0.03</v>
      </c>
      <c r="G41" s="49" t="n">
        <f aca="false">IFERROR(IF(ISNUMBER(F41),F41-E41,"n/a"),"n/a")</f>
        <v>0</v>
      </c>
      <c r="H41" s="50" t="n">
        <v>0.000500001</v>
      </c>
      <c r="I41" s="43" t="str">
        <f aca="false">IFERROR(IF(ISNUMBER(F41),IF(ABS(F41-E41)&lt;=H41,"PASS","FAIL"),"FAIL"),"FAIL")</f>
        <v>PASS</v>
      </c>
    </row>
    <row r="42" customFormat="false" ht="15" hidden="false" customHeight="false" outlineLevel="0" collapsed="false">
      <c r="B42" s="44" t="n">
        <v>33</v>
      </c>
      <c r="C42" s="9" t="s">
        <v>443</v>
      </c>
      <c r="D42" s="9" t="s">
        <v>467</v>
      </c>
      <c r="E42" s="21" t="n">
        <v>0.035</v>
      </c>
      <c r="F42" s="20" t="n">
        <f aca="false">Assumptions!$D$29</f>
        <v>0.035</v>
      </c>
      <c r="G42" s="49" t="n">
        <f aca="false">IFERROR(IF(ISNUMBER(F42),F42-E42,"n/a"),"n/a")</f>
        <v>0</v>
      </c>
      <c r="H42" s="50" t="n">
        <v>0.000500001</v>
      </c>
      <c r="I42" s="43" t="str">
        <f aca="false">IFERROR(IF(ISNUMBER(F42),IF(ABS(F42-E42)&lt;=H42,"PASS","FAIL"),"FAIL"),"FAIL")</f>
        <v>PASS</v>
      </c>
    </row>
    <row r="43" customFormat="false" ht="15" hidden="false" customHeight="false" outlineLevel="0" collapsed="false">
      <c r="B43" s="44" t="n">
        <v>34</v>
      </c>
      <c r="C43" s="9" t="s">
        <v>443</v>
      </c>
      <c r="D43" s="9" t="s">
        <v>468</v>
      </c>
      <c r="E43" s="11" t="n">
        <v>0.12</v>
      </c>
      <c r="F43" s="25" t="n">
        <f aca="false">Assumptions!$D$27</f>
        <v>0.12</v>
      </c>
      <c r="G43" s="49" t="n">
        <f aca="false">IFERROR(IF(ISNUMBER(F43),F43-E43,"n/a"),"n/a")</f>
        <v>0</v>
      </c>
      <c r="H43" s="50" t="n">
        <v>0.005000001</v>
      </c>
      <c r="I43" s="43" t="str">
        <f aca="false">IFERROR(IF(ISNUMBER(F43),IF(ABS(F43-E43)&lt;=H43,"PASS","FAIL"),"FAIL"),"FAIL")</f>
        <v>PASS</v>
      </c>
    </row>
    <row r="44" customFormat="false" ht="15" hidden="false" customHeight="false" outlineLevel="0" collapsed="false">
      <c r="B44" s="44" t="n">
        <v>35</v>
      </c>
      <c r="C44" s="9" t="s">
        <v>443</v>
      </c>
      <c r="D44" s="9" t="s">
        <v>469</v>
      </c>
      <c r="E44" s="11" t="n">
        <v>0.15</v>
      </c>
      <c r="F44" s="25" t="n">
        <f aca="false">Assumptions!$D$28</f>
        <v>0.15</v>
      </c>
      <c r="G44" s="49" t="n">
        <f aca="false">IFERROR(IF(ISNUMBER(F44),F44-E44,"n/a"),"n/a")</f>
        <v>0</v>
      </c>
      <c r="H44" s="50" t="n">
        <v>0.005000001</v>
      </c>
      <c r="I44" s="43" t="str">
        <f aca="false">IFERROR(IF(ISNUMBER(F44),IF(ABS(F44-E44)&lt;=H44,"PASS","FAIL"),"FAIL"),"FAIL")</f>
        <v>PASS</v>
      </c>
    </row>
    <row r="45" customFormat="false" ht="15" hidden="false" customHeight="false" outlineLevel="0" collapsed="false">
      <c r="B45" s="44" t="n">
        <v>36</v>
      </c>
      <c r="C45" s="9" t="s">
        <v>443</v>
      </c>
      <c r="D45" s="9" t="s">
        <v>470</v>
      </c>
      <c r="E45" s="52" t="n">
        <v>40.4</v>
      </c>
      <c r="F45" s="53" t="n">
        <f aca="false">Assumptions!$D$31</f>
        <v>40.4</v>
      </c>
      <c r="G45" s="49" t="n">
        <f aca="false">IFERROR(IF(ISNUMBER(F45),F45-E45,"n/a"),"n/a")</f>
        <v>0</v>
      </c>
      <c r="H45" s="50" t="n">
        <v>0.050000001</v>
      </c>
      <c r="I45" s="43" t="str">
        <f aca="false">IFERROR(IF(ISNUMBER(F45),IF(ABS(F45-E45)&lt;=H45,"PASS","FAIL"),"FAIL"),"FAIL")</f>
        <v>PASS</v>
      </c>
    </row>
    <row r="46" customFormat="false" ht="15" hidden="false" customHeight="false" outlineLevel="0" collapsed="false">
      <c r="B46" s="44" t="n">
        <v>37</v>
      </c>
      <c r="C46" s="9" t="s">
        <v>443</v>
      </c>
      <c r="D46" s="9" t="s">
        <v>471</v>
      </c>
      <c r="E46" s="21" t="n">
        <v>0.808</v>
      </c>
      <c r="F46" s="20" t="n">
        <f aca="false">Assumptions!$D$32</f>
        <v>0.808</v>
      </c>
      <c r="G46" s="49" t="n">
        <f aca="false">IFERROR(IF(ISNUMBER(F46),F46-E46,"n/a"),"n/a")</f>
        <v>0</v>
      </c>
      <c r="H46" s="50" t="n">
        <v>0.000500001</v>
      </c>
      <c r="I46" s="43" t="str">
        <f aca="false">IFERROR(IF(ISNUMBER(F46),IF(ABS(F46-E46)&lt;=H46,"PASS","FAIL"),"FAIL"),"FAIL")</f>
        <v>PASS</v>
      </c>
    </row>
    <row r="47" customFormat="false" ht="15" hidden="false" customHeight="false" outlineLevel="0" collapsed="false">
      <c r="B47" s="44" t="n">
        <v>38</v>
      </c>
      <c r="C47" s="9" t="s">
        <v>443</v>
      </c>
      <c r="D47" s="9" t="s">
        <v>472</v>
      </c>
      <c r="E47" s="52" t="n">
        <v>9.4</v>
      </c>
      <c r="F47" s="53" t="n">
        <f aca="false">Assumptions!$D$51</f>
        <v>9.4</v>
      </c>
      <c r="G47" s="49" t="n">
        <f aca="false">IFERROR(IF(ISNUMBER(F47),F47-E47,"n/a"),"n/a")</f>
        <v>0</v>
      </c>
      <c r="H47" s="50" t="n">
        <v>0.050000001</v>
      </c>
      <c r="I47" s="43" t="str">
        <f aca="false">IFERROR(IF(ISNUMBER(F47),IF(ABS(F47-E47)&lt;=H47,"PASS","FAIL"),"FAIL"),"FAIL")</f>
        <v>PASS</v>
      </c>
    </row>
    <row r="48" customFormat="false" ht="15" hidden="false" customHeight="false" outlineLevel="0" collapsed="false">
      <c r="B48" s="44" t="n">
        <v>39</v>
      </c>
      <c r="C48" s="9" t="s">
        <v>443</v>
      </c>
      <c r="D48" s="9" t="s">
        <v>473</v>
      </c>
      <c r="E48" s="52" t="n">
        <v>8.2</v>
      </c>
      <c r="F48" s="53" t="n">
        <f aca="false">Assumptions!$D$52</f>
        <v>8.2</v>
      </c>
      <c r="G48" s="49" t="n">
        <f aca="false">IFERROR(IF(ISNUMBER(F48),F48-E48,"n/a"),"n/a")</f>
        <v>0</v>
      </c>
      <c r="H48" s="50" t="n">
        <v>0.050000001</v>
      </c>
      <c r="I48" s="43" t="str">
        <f aca="false">IFERROR(IF(ISNUMBER(F48),IF(ABS(F48-E48)&lt;=H48,"PASS","FAIL"),"FAIL"),"FAIL")</f>
        <v>PASS</v>
      </c>
    </row>
    <row r="49" customFormat="false" ht="15" hidden="false" customHeight="false" outlineLevel="0" collapsed="false">
      <c r="B49" s="44" t="n">
        <v>40</v>
      </c>
      <c r="C49" s="9" t="s">
        <v>443</v>
      </c>
      <c r="D49" s="9" t="s">
        <v>474</v>
      </c>
      <c r="E49" s="52" t="n">
        <v>10.6</v>
      </c>
      <c r="F49" s="53" t="n">
        <f aca="false">Assumptions!$D$53</f>
        <v>10.6</v>
      </c>
      <c r="G49" s="49" t="n">
        <f aca="false">IFERROR(IF(ISNUMBER(F49),F49-E49,"n/a"),"n/a")</f>
        <v>0</v>
      </c>
      <c r="H49" s="50" t="n">
        <v>0.050000001</v>
      </c>
      <c r="I49" s="43" t="str">
        <f aca="false">IFERROR(IF(ISNUMBER(F49),IF(ABS(F49-E49)&lt;=H49,"PASS","FAIL"),"FAIL"),"FAIL")</f>
        <v>PASS</v>
      </c>
    </row>
    <row r="50" customFormat="false" ht="15" hidden="false" customHeight="false" outlineLevel="0" collapsed="false">
      <c r="B50" s="44" t="n">
        <v>41</v>
      </c>
      <c r="C50" s="9" t="s">
        <v>443</v>
      </c>
      <c r="D50" s="9" t="s">
        <v>475</v>
      </c>
      <c r="E50" s="54" t="n">
        <v>9.25</v>
      </c>
      <c r="F50" s="55" t="n">
        <f aca="false">Assumptions!$D$59</f>
        <v>9.25</v>
      </c>
      <c r="G50" s="49" t="n">
        <f aca="false">IFERROR(IF(ISNUMBER(F50),F50-E50,"n/a"),"n/a")</f>
        <v>0</v>
      </c>
      <c r="H50" s="50" t="n">
        <v>0.005000001</v>
      </c>
      <c r="I50" s="43" t="str">
        <f aca="false">IFERROR(IF(ISNUMBER(F50),IF(ABS(F50-E50)&lt;=H50,"PASS","FAIL"),"FAIL"),"FAIL")</f>
        <v>PASS</v>
      </c>
    </row>
    <row r="51" customFormat="false" ht="15" hidden="false" customHeight="false" outlineLevel="0" collapsed="false">
      <c r="B51" s="44" t="n">
        <v>42</v>
      </c>
      <c r="C51" s="9" t="s">
        <v>443</v>
      </c>
      <c r="D51" s="9" t="s">
        <v>476</v>
      </c>
      <c r="E51" s="52" t="n">
        <v>8.5</v>
      </c>
      <c r="F51" s="53" t="n">
        <f aca="false">Assumptions!$D$60</f>
        <v>8.5</v>
      </c>
      <c r="G51" s="49" t="n">
        <f aca="false">IFERROR(IF(ISNUMBER(F51),F51-E51,"n/a"),"n/a")</f>
        <v>0</v>
      </c>
      <c r="H51" s="50" t="n">
        <v>0.050000001</v>
      </c>
      <c r="I51" s="43" t="str">
        <f aca="false">IFERROR(IF(ISNUMBER(F51),IF(ABS(F51-E51)&lt;=H51,"PASS","FAIL"),"FAIL"),"FAIL")</f>
        <v>PASS</v>
      </c>
    </row>
    <row r="52" customFormat="false" ht="15" hidden="false" customHeight="false" outlineLevel="0" collapsed="false">
      <c r="B52" s="44" t="n">
        <v>43</v>
      </c>
      <c r="C52" s="9" t="s">
        <v>443</v>
      </c>
      <c r="D52" s="9" t="s">
        <v>477</v>
      </c>
      <c r="E52" s="52" t="n">
        <v>10</v>
      </c>
      <c r="F52" s="53" t="n">
        <f aca="false">Assumptions!$D$61</f>
        <v>10</v>
      </c>
      <c r="G52" s="49" t="n">
        <f aca="false">IFERROR(IF(ISNUMBER(F52),F52-E52,"n/a"),"n/a")</f>
        <v>0</v>
      </c>
      <c r="H52" s="50" t="n">
        <v>0.050000001</v>
      </c>
      <c r="I52" s="43" t="str">
        <f aca="false">IFERROR(IF(ISNUMBER(F52),IF(ABS(F52-E52)&lt;=H52,"PASS","FAIL"),"FAIL"),"FAIL")</f>
        <v>PASS</v>
      </c>
    </row>
    <row r="53" customFormat="false" ht="15" hidden="false" customHeight="false" outlineLevel="0" collapsed="false">
      <c r="B53" s="44" t="n">
        <v>44</v>
      </c>
      <c r="C53" s="9" t="s">
        <v>443</v>
      </c>
      <c r="D53" s="9" t="s">
        <v>478</v>
      </c>
      <c r="E53" s="52" t="n">
        <v>9</v>
      </c>
      <c r="F53" s="53" t="n">
        <f aca="false">Assumptions!$D$64</f>
        <v>9</v>
      </c>
      <c r="G53" s="49" t="n">
        <f aca="false">IFERROR(IF(ISNUMBER(F53),F53-E53,"n/a"),"n/a")</f>
        <v>0</v>
      </c>
      <c r="H53" s="50" t="n">
        <v>0.050000001</v>
      </c>
      <c r="I53" s="43" t="str">
        <f aca="false">IFERROR(IF(ISNUMBER(F53),IF(ABS(F53-E53)&lt;=H53,"PASS","FAIL"),"FAIL"),"FAIL")</f>
        <v>PASS</v>
      </c>
    </row>
    <row r="54" customFormat="false" ht="15" hidden="false" customHeight="false" outlineLevel="0" collapsed="false">
      <c r="B54" s="44" t="n">
        <v>45</v>
      </c>
      <c r="C54" s="9" t="s">
        <v>443</v>
      </c>
      <c r="D54" s="9" t="s">
        <v>479</v>
      </c>
      <c r="E54" s="52" t="n">
        <v>50</v>
      </c>
      <c r="F54" s="53" t="n">
        <f aca="false">Assumptions!$D$24</f>
        <v>50</v>
      </c>
      <c r="G54" s="49" t="n">
        <f aca="false">IFERROR(IF(ISNUMBER(F54),F54-E54,"n/a"),"n/a")</f>
        <v>0</v>
      </c>
      <c r="H54" s="50" t="n">
        <v>0.050000001</v>
      </c>
      <c r="I54" s="43" t="str">
        <f aca="false">IFERROR(IF(ISNUMBER(F54),IF(ABS(F54-E54)&lt;=H54,"PASS","FAIL"),"FAIL"),"FAIL")</f>
        <v>PASS</v>
      </c>
    </row>
    <row r="55" customFormat="false" ht="15" hidden="false" customHeight="false" outlineLevel="0" collapsed="false">
      <c r="B55" s="44" t="n">
        <v>46</v>
      </c>
      <c r="C55" s="9" t="s">
        <v>443</v>
      </c>
      <c r="D55" s="9" t="s">
        <v>480</v>
      </c>
      <c r="E55" s="52" t="n">
        <v>450</v>
      </c>
      <c r="F55" s="53" t="n">
        <f aca="false">Assumptions!$D$65</f>
        <v>450</v>
      </c>
      <c r="G55" s="49" t="n">
        <f aca="false">IFERROR(IF(ISNUMBER(F55),F55-E55,"n/a"),"n/a")</f>
        <v>0</v>
      </c>
      <c r="H55" s="50" t="n">
        <v>0.050000001</v>
      </c>
      <c r="I55" s="43" t="str">
        <f aca="false">IFERROR(IF(ISNUMBER(F55),IF(ABS(F55-E55)&lt;=H55,"PASS","FAIL"),"FAIL"),"FAIL")</f>
        <v>PASS</v>
      </c>
    </row>
    <row r="56" customFormat="false" ht="15" hidden="false" customHeight="false" outlineLevel="0" collapsed="false">
      <c r="B56" s="44" t="n">
        <v>47</v>
      </c>
      <c r="C56" s="9" t="s">
        <v>443</v>
      </c>
      <c r="D56" s="9" t="s">
        <v>481</v>
      </c>
      <c r="E56" s="52" t="n">
        <v>40</v>
      </c>
      <c r="F56" s="53" t="n">
        <f aca="false">Assumptions!$D$33</f>
        <v>40</v>
      </c>
      <c r="G56" s="49" t="n">
        <f aca="false">IFERROR(IF(ISNUMBER(F56),F56-E56,"n/a"),"n/a")</f>
        <v>0</v>
      </c>
      <c r="H56" s="50" t="n">
        <v>0.050000001</v>
      </c>
      <c r="I56" s="43" t="str">
        <f aca="false">IFERROR(IF(ISNUMBER(F56),IF(ABS(F56-E56)&lt;=H56,"PASS","FAIL"),"FAIL"),"FAIL")</f>
        <v>PASS</v>
      </c>
    </row>
    <row r="57" customFormat="false" ht="15" hidden="false" customHeight="false" outlineLevel="0" collapsed="false">
      <c r="B57" s="44" t="n">
        <v>48</v>
      </c>
      <c r="C57" s="9" t="s">
        <v>443</v>
      </c>
      <c r="D57" s="9" t="s">
        <v>482</v>
      </c>
      <c r="E57" s="52" t="n">
        <v>3</v>
      </c>
      <c r="F57" s="53" t="n">
        <f aca="false">Assumptions!$D$34</f>
        <v>3</v>
      </c>
      <c r="G57" s="49" t="n">
        <f aca="false">IFERROR(IF(ISNUMBER(F57),F57-E57,"n/a"),"n/a")</f>
        <v>0</v>
      </c>
      <c r="H57" s="50" t="n">
        <v>0.050000001</v>
      </c>
      <c r="I57" s="43" t="str">
        <f aca="false">IFERROR(IF(ISNUMBER(F57),IF(ABS(F57-E57)&lt;=H57,"PASS","FAIL"),"FAIL"),"FAIL")</f>
        <v>PASS</v>
      </c>
    </row>
    <row r="58" customFormat="false" ht="15" hidden="false" customHeight="false" outlineLevel="0" collapsed="false">
      <c r="B58" s="44" t="n">
        <v>49</v>
      </c>
      <c r="C58" s="9" t="s">
        <v>443</v>
      </c>
      <c r="D58" s="9" t="s">
        <v>483</v>
      </c>
      <c r="E58" s="52" t="n">
        <v>2</v>
      </c>
      <c r="F58" s="53" t="n">
        <f aca="false">Assumptions!$D$35</f>
        <v>2</v>
      </c>
      <c r="G58" s="49" t="n">
        <f aca="false">IFERROR(IF(ISNUMBER(F58),F58-E58,"n/a"),"n/a")</f>
        <v>0</v>
      </c>
      <c r="H58" s="50" t="n">
        <v>0.050000001</v>
      </c>
      <c r="I58" s="43" t="str">
        <f aca="false">IFERROR(IF(ISNUMBER(F58),IF(ABS(F58-E58)&lt;=H58,"PASS","FAIL"),"FAIL"),"FAIL")</f>
        <v>PASS</v>
      </c>
    </row>
    <row r="59" customFormat="false" ht="15" hidden="false" customHeight="false" outlineLevel="0" collapsed="false">
      <c r="B59" s="44" t="n">
        <v>50</v>
      </c>
      <c r="C59" s="9" t="s">
        <v>443</v>
      </c>
      <c r="D59" s="9" t="s">
        <v>484</v>
      </c>
      <c r="E59" s="52" t="n">
        <v>10</v>
      </c>
      <c r="F59" s="53" t="n">
        <f aca="false">Assumptions!$D$36</f>
        <v>10</v>
      </c>
      <c r="G59" s="49" t="n">
        <f aca="false">IFERROR(IF(ISNUMBER(F59),F59-E59,"n/a"),"n/a")</f>
        <v>0</v>
      </c>
      <c r="H59" s="50" t="n">
        <v>0.050000001</v>
      </c>
      <c r="I59" s="43" t="str">
        <f aca="false">IFERROR(IF(ISNUMBER(F59),IF(ABS(F59-E59)&lt;=H59,"PASS","FAIL"),"FAIL"),"FAIL")</f>
        <v>PASS</v>
      </c>
    </row>
    <row r="60" customFormat="false" ht="15" hidden="false" customHeight="false" outlineLevel="0" collapsed="false">
      <c r="B60" s="44" t="n">
        <v>51</v>
      </c>
      <c r="C60" s="9" t="s">
        <v>443</v>
      </c>
      <c r="D60" s="9" t="s">
        <v>485</v>
      </c>
      <c r="E60" s="52" t="n">
        <v>35</v>
      </c>
      <c r="F60" s="53" t="n">
        <f aca="false">Assumptions!$D$37</f>
        <v>35</v>
      </c>
      <c r="G60" s="49" t="n">
        <f aca="false">IFERROR(IF(ISNUMBER(F60),F60-E60,"n/a"),"n/a")</f>
        <v>0</v>
      </c>
      <c r="H60" s="50" t="n">
        <v>0.050000001</v>
      </c>
      <c r="I60" s="43" t="str">
        <f aca="false">IFERROR(IF(ISNUMBER(F60),IF(ABS(F60-E60)&lt;=H60,"PASS","FAIL"),"FAIL"),"FAIL")</f>
        <v>PASS</v>
      </c>
    </row>
    <row r="61" customFormat="false" ht="15" hidden="false" customHeight="false" outlineLevel="0" collapsed="false">
      <c r="B61" s="44" t="n">
        <v>52</v>
      </c>
      <c r="C61" s="9" t="s">
        <v>443</v>
      </c>
      <c r="D61" s="9" t="s">
        <v>486</v>
      </c>
      <c r="E61" s="52" t="n">
        <v>415</v>
      </c>
      <c r="F61" s="53" t="n">
        <f aca="false">Assumptions!$D$66</f>
        <v>415</v>
      </c>
      <c r="G61" s="49" t="n">
        <f aca="false">IFERROR(IF(ISNUMBER(F61),F61-E61,"n/a"),"n/a")</f>
        <v>0</v>
      </c>
      <c r="H61" s="50" t="n">
        <v>0.050000001</v>
      </c>
      <c r="I61" s="43" t="str">
        <f aca="false">IFERROR(IF(ISNUMBER(F61),IF(ABS(F61-E61)&lt;=H61,"PASS","FAIL"),"FAIL"),"FAIL")</f>
        <v>PASS</v>
      </c>
    </row>
    <row r="62" customFormat="false" ht="15" hidden="false" customHeight="false" outlineLevel="0" collapsed="false">
      <c r="B62" s="44" t="n">
        <v>53</v>
      </c>
      <c r="C62" s="9" t="s">
        <v>443</v>
      </c>
      <c r="D62" s="9" t="s">
        <v>487</v>
      </c>
      <c r="E62" s="52" t="n">
        <v>50</v>
      </c>
      <c r="F62" s="53" t="n">
        <f aca="false">Assumptions!$D$24</f>
        <v>50</v>
      </c>
      <c r="G62" s="49" t="n">
        <f aca="false">IFERROR(IF(ISNUMBER(F62),F62-E62,"n/a"),"n/a")</f>
        <v>0</v>
      </c>
      <c r="H62" s="50" t="n">
        <v>0.050000001</v>
      </c>
      <c r="I62" s="43" t="str">
        <f aca="false">IFERROR(IF(ISNUMBER(F62),IF(ABS(F62-E62)&lt;=H62,"PASS","FAIL"),"FAIL"),"FAIL")</f>
        <v>PASS</v>
      </c>
    </row>
    <row r="63" customFormat="false" ht="15" hidden="false" customHeight="false" outlineLevel="0" collapsed="false">
      <c r="B63" s="44" t="n">
        <v>54</v>
      </c>
      <c r="C63" s="9" t="s">
        <v>443</v>
      </c>
      <c r="D63" s="9" t="s">
        <v>488</v>
      </c>
      <c r="E63" s="52" t="n">
        <v>1</v>
      </c>
      <c r="F63" s="53" t="n">
        <f aca="false">Assumptions!$D$70</f>
        <v>1</v>
      </c>
      <c r="G63" s="49" t="n">
        <f aca="false">IFERROR(IF(ISNUMBER(F63),F63-E63,"n/a"),"n/a")</f>
        <v>0</v>
      </c>
      <c r="H63" s="50" t="n">
        <v>0.050000001</v>
      </c>
      <c r="I63" s="43" t="str">
        <f aca="false">IFERROR(IF(ISNUMBER(F63),IF(ABS(F63-E63)&lt;=H63,"PASS","FAIL"),"FAIL"),"FAIL")</f>
        <v>PASS</v>
      </c>
    </row>
    <row r="64" customFormat="false" ht="15" hidden="false" customHeight="false" outlineLevel="0" collapsed="false">
      <c r="B64" s="44" t="n">
        <v>55</v>
      </c>
      <c r="C64" s="9" t="s">
        <v>443</v>
      </c>
      <c r="D64" s="9" t="s">
        <v>489</v>
      </c>
      <c r="E64" s="52" t="n">
        <v>9</v>
      </c>
      <c r="F64" s="53" t="n">
        <f aca="false">Assumptions!$D$71</f>
        <v>9</v>
      </c>
      <c r="G64" s="49" t="n">
        <f aca="false">IFERROR(IF(ISNUMBER(F64),F64-E64,"n/a"),"n/a")</f>
        <v>0</v>
      </c>
      <c r="H64" s="50" t="n">
        <v>0.050000001</v>
      </c>
      <c r="I64" s="43" t="str">
        <f aca="false">IFERROR(IF(ISNUMBER(F64),IF(ABS(F64-E64)&lt;=H64,"PASS","FAIL"),"FAIL"),"FAIL")</f>
        <v>PASS</v>
      </c>
    </row>
    <row r="65" customFormat="false" ht="15" hidden="false" customHeight="false" outlineLevel="0" collapsed="false">
      <c r="B65" s="44" t="n">
        <v>56</v>
      </c>
      <c r="C65" s="9" t="s">
        <v>443</v>
      </c>
      <c r="D65" s="9" t="s">
        <v>490</v>
      </c>
      <c r="E65" s="52" t="n">
        <v>9</v>
      </c>
      <c r="F65" s="53" t="n">
        <f aca="false">Assumptions!$D$64</f>
        <v>9</v>
      </c>
      <c r="G65" s="49" t="n">
        <f aca="false">IFERROR(IF(ISNUMBER(F65),F65-E65,"n/a"),"n/a")</f>
        <v>0</v>
      </c>
      <c r="H65" s="50" t="n">
        <v>0.050000001</v>
      </c>
      <c r="I65" s="43" t="str">
        <f aca="false">IFERROR(IF(ISNUMBER(F65),IF(ABS(F65-E65)&lt;=H65,"PASS","FAIL"),"FAIL"),"FAIL")</f>
        <v>PASS</v>
      </c>
    </row>
    <row r="66" customFormat="false" ht="15" hidden="false" customHeight="false" outlineLevel="0" collapsed="false">
      <c r="B66" s="44" t="n">
        <v>57</v>
      </c>
      <c r="C66" s="9" t="s">
        <v>443</v>
      </c>
      <c r="D66" s="9" t="s">
        <v>491</v>
      </c>
      <c r="E66" s="52" t="n">
        <v>9</v>
      </c>
      <c r="F66" s="53" t="n">
        <f aca="false">Assumptions!$D$64</f>
        <v>9</v>
      </c>
      <c r="G66" s="49" t="n">
        <f aca="false">IFERROR(IF(ISNUMBER(F66),F66-E66,"n/a"),"n/a")</f>
        <v>0</v>
      </c>
      <c r="H66" s="50" t="n">
        <v>0.050000001</v>
      </c>
      <c r="I66" s="43" t="str">
        <f aca="false">IFERROR(IF(ISNUMBER(F66),IF(ABS(F66-E66)&lt;=H66,"PASS","FAIL"),"FAIL"),"FAIL")</f>
        <v>PASS</v>
      </c>
    </row>
    <row r="67" customFormat="false" ht="15" hidden="false" customHeight="false" outlineLevel="0" collapsed="false">
      <c r="B67" s="44" t="n">
        <v>58</v>
      </c>
      <c r="C67" s="9" t="s">
        <v>443</v>
      </c>
      <c r="D67" s="9" t="s">
        <v>492</v>
      </c>
      <c r="E67" s="52" t="n">
        <v>55</v>
      </c>
      <c r="F67" s="53" t="n">
        <f aca="false">Assumptions!$D$22</f>
        <v>55</v>
      </c>
      <c r="G67" s="49" t="n">
        <f aca="false">IFERROR(IF(ISNUMBER(F67),F67-E67,"n/a"),"n/a")</f>
        <v>0</v>
      </c>
      <c r="H67" s="50" t="n">
        <v>0.050000001</v>
      </c>
      <c r="I67" s="43" t="str">
        <f aca="false">IFERROR(IF(ISNUMBER(F67),IF(ABS(F67-E67)&lt;=H67,"PASS","FAIL"),"FAIL"),"FAIL")</f>
        <v>PASS</v>
      </c>
    </row>
    <row r="68" customFormat="false" ht="15" hidden="false" customHeight="false" outlineLevel="0" collapsed="false">
      <c r="B68" s="44" t="n">
        <v>59</v>
      </c>
      <c r="C68" s="9" t="s">
        <v>443</v>
      </c>
      <c r="D68" s="9" t="s">
        <v>493</v>
      </c>
      <c r="E68" s="52" t="n">
        <v>495</v>
      </c>
      <c r="F68" s="53" t="n">
        <f aca="false">Assumptions!$D$68</f>
        <v>495</v>
      </c>
      <c r="G68" s="49" t="n">
        <f aca="false">IFERROR(IF(ISNUMBER(F68),F68-E68,"n/a"),"n/a")</f>
        <v>0</v>
      </c>
      <c r="H68" s="50" t="n">
        <v>0.050000001</v>
      </c>
      <c r="I68" s="43" t="str">
        <f aca="false">IFERROR(IF(ISNUMBER(F68),IF(ABS(F68-E68)&lt;=H68,"PASS","FAIL"),"FAIL"),"FAIL")</f>
        <v>PASS</v>
      </c>
    </row>
    <row r="69" customFormat="false" ht="15" hidden="false" customHeight="false" outlineLevel="0" collapsed="false">
      <c r="B69" s="44" t="n">
        <v>60</v>
      </c>
      <c r="C69" s="9" t="s">
        <v>443</v>
      </c>
      <c r="D69" s="9" t="s">
        <v>494</v>
      </c>
      <c r="E69" s="52" t="n">
        <v>45</v>
      </c>
      <c r="F69" s="53" t="n">
        <f aca="false">Assumptions!$D$69</f>
        <v>45</v>
      </c>
      <c r="G69" s="49" t="n">
        <f aca="false">IFERROR(IF(ISNUMBER(F69),F69-E69,"n/a"),"n/a")</f>
        <v>0</v>
      </c>
      <c r="H69" s="50" t="n">
        <v>0.050000001</v>
      </c>
      <c r="I69" s="43" t="str">
        <f aca="false">IFERROR(IF(ISNUMBER(F69),IF(ABS(F69-E69)&lt;=H69,"PASS","FAIL"),"FAIL"),"FAIL")</f>
        <v>PASS</v>
      </c>
    </row>
    <row r="70" customFormat="false" ht="15" hidden="false" customHeight="false" outlineLevel="0" collapsed="false">
      <c r="B70" s="44" t="n">
        <v>61</v>
      </c>
      <c r="C70" s="9" t="s">
        <v>443</v>
      </c>
      <c r="D70" s="9" t="s">
        <v>495</v>
      </c>
      <c r="E70" s="52" t="n">
        <v>4.5</v>
      </c>
      <c r="F70" s="53" t="n">
        <f aca="false">Assumptions!$D$73</f>
        <v>4.5</v>
      </c>
      <c r="G70" s="49" t="n">
        <f aca="false">IFERROR(IF(ISNUMBER(F70),F70-E70,"n/a"),"n/a")</f>
        <v>0</v>
      </c>
      <c r="H70" s="50" t="n">
        <v>0.050000001</v>
      </c>
      <c r="I70" s="43" t="str">
        <f aca="false">IFERROR(IF(ISNUMBER(F70),IF(ABS(F70-E70)&lt;=H70,"PASS","FAIL"),"FAIL"),"FAIL")</f>
        <v>PASS</v>
      </c>
    </row>
    <row r="71" customFormat="false" ht="15" hidden="false" customHeight="false" outlineLevel="0" collapsed="false">
      <c r="B71" s="44" t="n">
        <v>62</v>
      </c>
      <c r="C71" s="9" t="s">
        <v>443</v>
      </c>
      <c r="D71" s="9" t="s">
        <v>496</v>
      </c>
      <c r="E71" s="52" t="n">
        <v>3</v>
      </c>
      <c r="F71" s="53" t="n">
        <f aca="false">Assumptions!$D$74</f>
        <v>3</v>
      </c>
      <c r="G71" s="49" t="n">
        <f aca="false">IFERROR(IF(ISNUMBER(F71),F71-E71,"n/a"),"n/a")</f>
        <v>0</v>
      </c>
      <c r="H71" s="50" t="n">
        <v>0.050000001</v>
      </c>
      <c r="I71" s="43" t="str">
        <f aca="false">IFERROR(IF(ISNUMBER(F71),IF(ABS(F71-E71)&lt;=H71,"PASS","FAIL"),"FAIL"),"FAIL")</f>
        <v>PASS</v>
      </c>
    </row>
    <row r="72" customFormat="false" ht="15" hidden="false" customHeight="false" outlineLevel="0" collapsed="false">
      <c r="B72" s="44" t="n">
        <v>63</v>
      </c>
      <c r="C72" s="9" t="s">
        <v>443</v>
      </c>
      <c r="D72" s="9" t="s">
        <v>497</v>
      </c>
      <c r="E72" s="52" t="n">
        <v>2</v>
      </c>
      <c r="F72" s="53" t="n">
        <f aca="false">Assumptions!$D$75</f>
        <v>2</v>
      </c>
      <c r="G72" s="49" t="n">
        <f aca="false">IFERROR(IF(ISNUMBER(F72),F72-E72,"n/a"),"n/a")</f>
        <v>0</v>
      </c>
      <c r="H72" s="50" t="n">
        <v>0.050000001</v>
      </c>
      <c r="I72" s="43" t="str">
        <f aca="false">IFERROR(IF(ISNUMBER(F72),IF(ABS(F72-E72)&lt;=H72,"PASS","FAIL"),"FAIL"),"FAIL")</f>
        <v>PASS</v>
      </c>
    </row>
    <row r="73" customFormat="false" ht="15" hidden="false" customHeight="false" outlineLevel="0" collapsed="false">
      <c r="B73" s="44" t="n">
        <v>64</v>
      </c>
      <c r="C73" s="9" t="s">
        <v>443</v>
      </c>
      <c r="D73" s="9" t="s">
        <v>498</v>
      </c>
      <c r="E73" s="21" t="n">
        <v>0.02</v>
      </c>
      <c r="F73" s="20" t="n">
        <f aca="false">Assumptions!$D$77</f>
        <v>0.02</v>
      </c>
      <c r="G73" s="49" t="n">
        <f aca="false">IFERROR(IF(ISNUMBER(F73),F73-E73,"n/a"),"n/a")</f>
        <v>0</v>
      </c>
      <c r="H73" s="50" t="n">
        <v>0.000500001</v>
      </c>
      <c r="I73" s="43" t="str">
        <f aca="false">IFERROR(IF(ISNUMBER(F73),IF(ABS(F73-E73)&lt;=H73,"PASS","FAIL"),"FAIL"),"FAIL")</f>
        <v>PASS</v>
      </c>
    </row>
    <row r="74" customFormat="false" ht="15" hidden="false" customHeight="false" outlineLevel="0" collapsed="false">
      <c r="B74" s="44" t="n">
        <v>65</v>
      </c>
      <c r="C74" s="9" t="s">
        <v>443</v>
      </c>
      <c r="D74" s="9" t="s">
        <v>499</v>
      </c>
      <c r="E74" s="52" t="n">
        <v>4.5</v>
      </c>
      <c r="F74" s="53" t="n">
        <f aca="false">Assumptions!$D$82</f>
        <v>4.5</v>
      </c>
      <c r="G74" s="49" t="n">
        <f aca="false">IFERROR(IF(ISNUMBER(F74),F74-E74,"n/a"),"n/a")</f>
        <v>0</v>
      </c>
      <c r="H74" s="50" t="n">
        <v>0.050000001</v>
      </c>
      <c r="I74" s="43" t="str">
        <f aca="false">IFERROR(IF(ISNUMBER(F74),IF(ABS(F74-E74)&lt;=H74,"PASS","FAIL"),"FAIL"),"FAIL")</f>
        <v>PASS</v>
      </c>
    </row>
    <row r="75" customFormat="false" ht="15" hidden="false" customHeight="false" outlineLevel="0" collapsed="false">
      <c r="B75" s="44" t="n">
        <v>66</v>
      </c>
      <c r="C75" s="9" t="s">
        <v>443</v>
      </c>
      <c r="D75" s="9" t="s">
        <v>500</v>
      </c>
      <c r="E75" s="52" t="n">
        <v>1</v>
      </c>
      <c r="F75" s="53" t="n">
        <f aca="false">Assumptions!$D$87</f>
        <v>1</v>
      </c>
      <c r="G75" s="49" t="n">
        <f aca="false">IFERROR(IF(ISNUMBER(F75),F75-E75,"n/a"),"n/a")</f>
        <v>0</v>
      </c>
      <c r="H75" s="50" t="n">
        <v>0.050000001</v>
      </c>
      <c r="I75" s="43" t="str">
        <f aca="false">IFERROR(IF(ISNUMBER(F75),IF(ABS(F75-E75)&lt;=H75,"PASS","FAIL"),"FAIL"),"FAIL")</f>
        <v>PASS</v>
      </c>
    </row>
    <row r="76" customFormat="false" ht="15" hidden="false" customHeight="false" outlineLevel="0" collapsed="false">
      <c r="B76" s="44" t="n">
        <v>67</v>
      </c>
      <c r="C76" s="9" t="s">
        <v>443</v>
      </c>
      <c r="D76" s="9" t="s">
        <v>501</v>
      </c>
      <c r="E76" s="52" t="n">
        <v>40</v>
      </c>
      <c r="F76" s="53" t="n">
        <f aca="false">Assumptions!$D$90</f>
        <v>40</v>
      </c>
      <c r="G76" s="49" t="n">
        <f aca="false">IFERROR(IF(ISNUMBER(F76),F76-E76,"n/a"),"n/a")</f>
        <v>0</v>
      </c>
      <c r="H76" s="50" t="n">
        <v>0.050000001</v>
      </c>
      <c r="I76" s="43" t="str">
        <f aca="false">IFERROR(IF(ISNUMBER(F76),IF(ABS(F76-E76)&lt;=H76,"PASS","FAIL"),"FAIL"),"FAIL")</f>
        <v>PASS</v>
      </c>
    </row>
    <row r="77" customFormat="false" ht="15" hidden="false" customHeight="false" outlineLevel="0" collapsed="false">
      <c r="B77" s="44" t="n">
        <v>68</v>
      </c>
      <c r="C77" s="9" t="s">
        <v>443</v>
      </c>
      <c r="D77" s="9" t="s">
        <v>502</v>
      </c>
      <c r="E77" s="52" t="n">
        <v>10</v>
      </c>
      <c r="F77" s="53" t="n">
        <f aca="false">Assumptions!$D$72</f>
        <v>10</v>
      </c>
      <c r="G77" s="49" t="n">
        <f aca="false">IFERROR(IF(ISNUMBER(F77),F77-E77,"n/a"),"n/a")</f>
        <v>0</v>
      </c>
      <c r="H77" s="50" t="n">
        <v>0.050000001</v>
      </c>
      <c r="I77" s="43" t="str">
        <f aca="false">IFERROR(IF(ISNUMBER(F77),IF(ABS(F77-E77)&lt;=H77,"PASS","FAIL"),"FAIL"),"FAIL")</f>
        <v>PASS</v>
      </c>
    </row>
    <row r="78" customFormat="false" ht="15" hidden="false" customHeight="false" outlineLevel="0" collapsed="false">
      <c r="B78" s="44" t="n">
        <v>69</v>
      </c>
      <c r="C78" s="9" t="s">
        <v>443</v>
      </c>
      <c r="D78" s="9" t="s">
        <v>503</v>
      </c>
      <c r="E78" s="10" t="n">
        <v>0.045</v>
      </c>
      <c r="F78" s="51" t="n">
        <f aca="false">Assumptions!$D$83</f>
        <v>0.045</v>
      </c>
      <c r="G78" s="49" t="n">
        <f aca="false">IFERROR(IF(ISNUMBER(F78),F78-E78,"n/a"),"n/a")</f>
        <v>0</v>
      </c>
      <c r="H78" s="50" t="n">
        <v>5.0001E-005</v>
      </c>
      <c r="I78" s="43" t="str">
        <f aca="false">IFERROR(IF(ISNUMBER(F78),IF(ABS(F78-E78)&lt;=H78,"PASS","FAIL"),"FAIL"),"FAIL")</f>
        <v>PASS</v>
      </c>
    </row>
    <row r="79" customFormat="false" ht="15" hidden="false" customHeight="false" outlineLevel="0" collapsed="false">
      <c r="B79" s="44" t="n">
        <v>70</v>
      </c>
      <c r="C79" s="9" t="s">
        <v>443</v>
      </c>
      <c r="D79" s="9" t="s">
        <v>504</v>
      </c>
      <c r="E79" s="10" t="n">
        <v>0.085</v>
      </c>
      <c r="F79" s="51" t="n">
        <f aca="false">Assumptions!$D$84</f>
        <v>0.085</v>
      </c>
      <c r="G79" s="49" t="n">
        <f aca="false">IFERROR(IF(ISNUMBER(F79),F79-E79,"n/a"),"n/a")</f>
        <v>0</v>
      </c>
      <c r="H79" s="50" t="n">
        <v>5.0001E-005</v>
      </c>
      <c r="I79" s="43" t="str">
        <f aca="false">IFERROR(IF(ISNUMBER(F79),IF(ABS(F79-E79)&lt;=H79,"PASS","FAIL"),"FAIL"),"FAIL")</f>
        <v>PASS</v>
      </c>
    </row>
    <row r="80" customFormat="false" ht="15" hidden="false" customHeight="false" outlineLevel="0" collapsed="false">
      <c r="B80" s="44" t="n">
        <v>71</v>
      </c>
      <c r="C80" s="9" t="s">
        <v>443</v>
      </c>
      <c r="D80" s="9" t="s">
        <v>505</v>
      </c>
      <c r="E80" s="48" t="n">
        <v>7</v>
      </c>
      <c r="F80" s="37" t="n">
        <f aca="false">Assumptions!$D$86</f>
        <v>7</v>
      </c>
      <c r="G80" s="49" t="n">
        <f aca="false">IFERROR(IF(ISNUMBER(F80),F80-E80,"n/a"),"n/a")</f>
        <v>0</v>
      </c>
      <c r="H80" s="50" t="n">
        <v>0.500000001</v>
      </c>
      <c r="I80" s="43" t="str">
        <f aca="false">IFERROR(IF(ISNUMBER(F80),IF(ABS(F80-E80)&lt;=H80,"PASS","FAIL"),"FAIL"),"FAIL")</f>
        <v>PASS</v>
      </c>
    </row>
    <row r="81" customFormat="false" ht="15" hidden="false" customHeight="false" outlineLevel="0" collapsed="false">
      <c r="B81" s="44" t="n">
        <v>72</v>
      </c>
      <c r="C81" s="9" t="s">
        <v>443</v>
      </c>
      <c r="D81" s="9" t="s">
        <v>506</v>
      </c>
      <c r="E81" s="11" t="n">
        <v>0.01</v>
      </c>
      <c r="F81" s="25" t="n">
        <f aca="false">Assumptions!$D$85</f>
        <v>0.01</v>
      </c>
      <c r="G81" s="49" t="n">
        <f aca="false">IFERROR(IF(ISNUMBER(F81),F81-E81,"n/a"),"n/a")</f>
        <v>0</v>
      </c>
      <c r="H81" s="50" t="n">
        <v>0.005000001</v>
      </c>
      <c r="I81" s="43" t="str">
        <f aca="false">IFERROR(IF(ISNUMBER(F81),IF(ABS(F81-E81)&lt;=H81,"PASS","FAIL"),"FAIL"),"FAIL")</f>
        <v>PASS</v>
      </c>
    </row>
    <row r="82" customFormat="false" ht="15" hidden="false" customHeight="false" outlineLevel="0" collapsed="false">
      <c r="B82" s="44" t="n">
        <v>73</v>
      </c>
      <c r="C82" s="9" t="s">
        <v>443</v>
      </c>
      <c r="D82" s="9" t="s">
        <v>507</v>
      </c>
      <c r="E82" s="10" t="n">
        <v>0.11</v>
      </c>
      <c r="F82" s="51" t="n">
        <f aca="false">Assumptions!$D$88</f>
        <v>0.11</v>
      </c>
      <c r="G82" s="49" t="n">
        <f aca="false">IFERROR(IF(ISNUMBER(F82),F82-E82,"n/a"),"n/a")</f>
        <v>0</v>
      </c>
      <c r="H82" s="50" t="n">
        <v>5.0001E-005</v>
      </c>
      <c r="I82" s="43" t="str">
        <f aca="false">IFERROR(IF(ISNUMBER(F82),IF(ABS(F82-E82)&lt;=H82,"PASS","FAIL"),"FAIL"),"FAIL")</f>
        <v>PASS</v>
      </c>
    </row>
    <row r="83" customFormat="false" ht="15" hidden="false" customHeight="false" outlineLevel="0" collapsed="false">
      <c r="B83" s="44" t="n">
        <v>74</v>
      </c>
      <c r="C83" s="9" t="s">
        <v>443</v>
      </c>
      <c r="D83" s="9" t="s">
        <v>508</v>
      </c>
      <c r="E83" s="48" t="n">
        <v>8</v>
      </c>
      <c r="F83" s="37" t="n">
        <f aca="false">Assumptions!$D$89</f>
        <v>8</v>
      </c>
      <c r="G83" s="49" t="n">
        <f aca="false">IFERROR(IF(ISNUMBER(F83),F83-E83,"n/a"),"n/a")</f>
        <v>0</v>
      </c>
      <c r="H83" s="50" t="n">
        <v>0.500000001</v>
      </c>
      <c r="I83" s="43" t="str">
        <f aca="false">IFERROR(IF(ISNUMBER(F83),IF(ABS(F83-E83)&lt;=H83,"PASS","FAIL"),"FAIL"),"FAIL")</f>
        <v>PASS</v>
      </c>
    </row>
    <row r="84" customFormat="false" ht="15" hidden="false" customHeight="false" outlineLevel="0" collapsed="false">
      <c r="B84" s="44" t="n">
        <v>75</v>
      </c>
      <c r="C84" s="9" t="s">
        <v>443</v>
      </c>
      <c r="D84" s="9" t="s">
        <v>509</v>
      </c>
      <c r="E84" s="52" t="n">
        <v>40</v>
      </c>
      <c r="F84" s="53" t="n">
        <f aca="false">Assumptions!$D$90</f>
        <v>40</v>
      </c>
      <c r="G84" s="49" t="n">
        <f aca="false">IFERROR(IF(ISNUMBER(F84),F84-E84,"n/a"),"n/a")</f>
        <v>0</v>
      </c>
      <c r="H84" s="50" t="n">
        <v>0.050000001</v>
      </c>
      <c r="I84" s="43" t="str">
        <f aca="false">IFERROR(IF(ISNUMBER(F84),IF(ABS(F84-E84)&lt;=H84,"PASS","FAIL"),"FAIL"),"FAIL")</f>
        <v>PASS</v>
      </c>
    </row>
    <row r="85" customFormat="false" ht="15" hidden="false" customHeight="false" outlineLevel="0" collapsed="false">
      <c r="B85" s="44" t="n">
        <v>76</v>
      </c>
      <c r="C85" s="9" t="s">
        <v>443</v>
      </c>
      <c r="D85" s="9" t="s">
        <v>510</v>
      </c>
      <c r="E85" s="10" t="n">
        <v>0.04</v>
      </c>
      <c r="F85" s="51" t="n">
        <f aca="false">Assumptions!$D$91</f>
        <v>0.04</v>
      </c>
      <c r="G85" s="49" t="n">
        <f aca="false">IFERROR(IF(ISNUMBER(F85),F85-E85,"n/a"),"n/a")</f>
        <v>0</v>
      </c>
      <c r="H85" s="50" t="n">
        <v>5.0001E-005</v>
      </c>
      <c r="I85" s="43" t="str">
        <f aca="false">IFERROR(IF(ISNUMBER(F85),IF(ABS(F85-E85)&lt;=H85,"PASS","FAIL"),"FAIL"),"FAIL")</f>
        <v>PASS</v>
      </c>
    </row>
    <row r="86" customFormat="false" ht="15" hidden="false" customHeight="false" outlineLevel="0" collapsed="false">
      <c r="B86" s="44" t="n">
        <v>77</v>
      </c>
      <c r="C86" s="9" t="s">
        <v>443</v>
      </c>
      <c r="D86" s="9" t="s">
        <v>511</v>
      </c>
      <c r="E86" s="10" t="n">
        <v>0.005</v>
      </c>
      <c r="F86" s="51" t="n">
        <f aca="false">Assumptions!$D$92</f>
        <v>0.005</v>
      </c>
      <c r="G86" s="49" t="n">
        <f aca="false">IFERROR(IF(ISNUMBER(F86),F86-E86,"n/a"),"n/a")</f>
        <v>0</v>
      </c>
      <c r="H86" s="50" t="n">
        <v>5.0001E-005</v>
      </c>
      <c r="I86" s="43" t="str">
        <f aca="false">IFERROR(IF(ISNUMBER(F86),IF(ABS(F86-E86)&lt;=H86,"PASS","FAIL"),"FAIL"),"FAIL")</f>
        <v>PASS</v>
      </c>
    </row>
    <row r="87" customFormat="false" ht="15" hidden="false" customHeight="false" outlineLevel="0" collapsed="false">
      <c r="B87" s="44" t="n">
        <v>78</v>
      </c>
      <c r="C87" s="9" t="s">
        <v>443</v>
      </c>
      <c r="D87" s="9" t="s">
        <v>512</v>
      </c>
      <c r="E87" s="48" t="n">
        <v>6</v>
      </c>
      <c r="F87" s="37" t="n">
        <f aca="false">Assumptions!$D$93</f>
        <v>6</v>
      </c>
      <c r="G87" s="49" t="n">
        <f aca="false">IFERROR(IF(ISNUMBER(F87),F87-E87,"n/a"),"n/a")</f>
        <v>0</v>
      </c>
      <c r="H87" s="50" t="n">
        <v>0.500000001</v>
      </c>
      <c r="I87" s="43" t="str">
        <f aca="false">IFERROR(IF(ISNUMBER(F87),IF(ABS(F87-E87)&lt;=H87,"PASS","FAIL"),"FAIL"),"FAIL")</f>
        <v>PASS</v>
      </c>
    </row>
    <row r="88" customFormat="false" ht="15" hidden="false" customHeight="false" outlineLevel="0" collapsed="false">
      <c r="B88" s="44" t="n">
        <v>79</v>
      </c>
      <c r="C88" s="9" t="s">
        <v>443</v>
      </c>
      <c r="D88" s="9" t="s">
        <v>513</v>
      </c>
      <c r="E88" s="11" t="n">
        <v>0.01</v>
      </c>
      <c r="F88" s="25" t="n">
        <f aca="false">Assumptions!$D$85</f>
        <v>0.01</v>
      </c>
      <c r="G88" s="49" t="n">
        <f aca="false">IFERROR(IF(ISNUMBER(F88),F88-E88,"n/a"),"n/a")</f>
        <v>0</v>
      </c>
      <c r="H88" s="50" t="n">
        <v>0.005000001</v>
      </c>
      <c r="I88" s="43" t="str">
        <f aca="false">IFERROR(IF(ISNUMBER(F88),IF(ABS(F88-E88)&lt;=H88,"PASS","FAIL"),"FAIL"),"FAIL")</f>
        <v>PASS</v>
      </c>
    </row>
    <row r="89" customFormat="false" ht="15" hidden="false" customHeight="false" outlineLevel="0" collapsed="false">
      <c r="B89" s="44" t="n">
        <v>80</v>
      </c>
      <c r="C89" s="9" t="s">
        <v>443</v>
      </c>
      <c r="D89" s="9" t="s">
        <v>514</v>
      </c>
      <c r="E89" s="11" t="n">
        <v>0.5</v>
      </c>
      <c r="F89" s="25" t="n">
        <f aca="false">Assumptions!$E$100</f>
        <v>0.5</v>
      </c>
      <c r="G89" s="49" t="n">
        <f aca="false">IFERROR(IF(ISNUMBER(F89),F89-E89,"n/a"),"n/a")</f>
        <v>0</v>
      </c>
      <c r="H89" s="50" t="n">
        <v>0.005000001</v>
      </c>
      <c r="I89" s="43" t="str">
        <f aca="false">IFERROR(IF(ISNUMBER(F89),IF(ABS(F89-E89)&lt;=H89,"PASS","FAIL"),"FAIL"),"FAIL")</f>
        <v>PASS</v>
      </c>
    </row>
    <row r="90" customFormat="false" ht="15" hidden="false" customHeight="false" outlineLevel="0" collapsed="false">
      <c r="B90" s="44" t="n">
        <v>81</v>
      </c>
      <c r="C90" s="9" t="s">
        <v>443</v>
      </c>
      <c r="D90" s="9" t="s">
        <v>515</v>
      </c>
      <c r="E90" s="52" t="n">
        <v>4.5</v>
      </c>
      <c r="F90" s="53" t="n">
        <f aca="false">Assumptions!$D$100</f>
        <v>4.5</v>
      </c>
      <c r="G90" s="49" t="n">
        <f aca="false">IFERROR(IF(ISNUMBER(F90),F90-E90,"n/a"),"n/a")</f>
        <v>0</v>
      </c>
      <c r="H90" s="50" t="n">
        <v>0.050000001</v>
      </c>
      <c r="I90" s="43" t="str">
        <f aca="false">IFERROR(IF(ISNUMBER(F90),IF(ABS(F90-E90)&lt;=H90,"PASS","FAIL"),"FAIL"),"FAIL")</f>
        <v>PASS</v>
      </c>
    </row>
    <row r="91" customFormat="false" ht="15" hidden="false" customHeight="false" outlineLevel="0" collapsed="false">
      <c r="B91" s="44" t="n">
        <v>82</v>
      </c>
      <c r="C91" s="9" t="s">
        <v>443</v>
      </c>
      <c r="D91" s="9" t="s">
        <v>516</v>
      </c>
      <c r="E91" s="11" t="n">
        <v>0.25</v>
      </c>
      <c r="F91" s="25" t="n">
        <f aca="false">Assumptions!$E$101</f>
        <v>0.25</v>
      </c>
      <c r="G91" s="49" t="n">
        <f aca="false">IFERROR(IF(ISNUMBER(F91),F91-E91,"n/a"),"n/a")</f>
        <v>0</v>
      </c>
      <c r="H91" s="50" t="n">
        <v>0.005000001</v>
      </c>
      <c r="I91" s="43" t="str">
        <f aca="false">IFERROR(IF(ISNUMBER(F91),IF(ABS(F91-E91)&lt;=H91,"PASS","FAIL"),"FAIL"),"FAIL")</f>
        <v>PASS</v>
      </c>
    </row>
    <row r="92" customFormat="false" ht="15" hidden="false" customHeight="false" outlineLevel="0" collapsed="false">
      <c r="B92" s="44" t="n">
        <v>83</v>
      </c>
      <c r="C92" s="9" t="s">
        <v>443</v>
      </c>
      <c r="D92" s="9" t="s">
        <v>517</v>
      </c>
      <c r="E92" s="52" t="n">
        <v>3.5</v>
      </c>
      <c r="F92" s="53" t="n">
        <f aca="false">Assumptions!$D$101</f>
        <v>3.5</v>
      </c>
      <c r="G92" s="49" t="n">
        <f aca="false">IFERROR(IF(ISNUMBER(F92),F92-E92,"n/a"),"n/a")</f>
        <v>0</v>
      </c>
      <c r="H92" s="50" t="n">
        <v>0.050000001</v>
      </c>
      <c r="I92" s="43" t="str">
        <f aca="false">IFERROR(IF(ISNUMBER(F92),IF(ABS(F92-E92)&lt;=H92,"PASS","FAIL"),"FAIL"),"FAIL")</f>
        <v>PASS</v>
      </c>
    </row>
    <row r="93" customFormat="false" ht="15" hidden="false" customHeight="false" outlineLevel="0" collapsed="false">
      <c r="B93" s="44" t="n">
        <v>84</v>
      </c>
      <c r="C93" s="9" t="s">
        <v>443</v>
      </c>
      <c r="D93" s="9" t="s">
        <v>518</v>
      </c>
      <c r="E93" s="52" t="n">
        <v>10</v>
      </c>
      <c r="F93" s="53" t="n">
        <f aca="false">Assumptions!$D$79</f>
        <v>10</v>
      </c>
      <c r="G93" s="49" t="n">
        <f aca="false">IFERROR(IF(ISNUMBER(F93),F93-E93,"n/a"),"n/a")</f>
        <v>0</v>
      </c>
      <c r="H93" s="50" t="n">
        <v>0.050000001</v>
      </c>
      <c r="I93" s="43" t="str">
        <f aca="false">IFERROR(IF(ISNUMBER(F93),IF(ABS(F93-E93)&lt;=H93,"PASS","FAIL"),"FAIL"),"FAIL")</f>
        <v>PASS</v>
      </c>
    </row>
    <row r="94" customFormat="false" ht="15" hidden="false" customHeight="false" outlineLevel="0" collapsed="false">
      <c r="B94" s="44" t="n">
        <v>85</v>
      </c>
      <c r="C94" s="9" t="s">
        <v>443</v>
      </c>
      <c r="D94" s="9" t="s">
        <v>519</v>
      </c>
      <c r="E94" s="31" t="n">
        <v>0.15625</v>
      </c>
      <c r="F94" s="56" t="n">
        <f aca="false">Assumptions!$D$25</f>
        <v>0.15625</v>
      </c>
      <c r="G94" s="49" t="n">
        <f aca="false">IFERROR(IF(ISNUMBER(F94),F94-E94,"n/a"),"n/a")</f>
        <v>0</v>
      </c>
      <c r="H94" s="50" t="n">
        <v>5.001E-006</v>
      </c>
      <c r="I94" s="43" t="str">
        <f aca="false">IFERROR(IF(ISNUMBER(F94),IF(ABS(F94-E94)&lt;=H94,"PASS","FAIL"),"FAIL"),"FAIL")</f>
        <v>PASS</v>
      </c>
    </row>
    <row r="95" customFormat="false" ht="15" hidden="false" customHeight="false" outlineLevel="0" collapsed="false">
      <c r="B95" s="44" t="n">
        <v>86</v>
      </c>
      <c r="C95" s="9" t="s">
        <v>443</v>
      </c>
      <c r="D95" s="9" t="s">
        <v>520</v>
      </c>
      <c r="E95" s="52" t="n">
        <v>3</v>
      </c>
      <c r="F95" s="53" t="n">
        <f aca="false">Assumptions!$D$19</f>
        <v>3</v>
      </c>
      <c r="G95" s="49" t="n">
        <f aca="false">IFERROR(IF(ISNUMBER(F95),F95-E95,"n/a"),"n/a")</f>
        <v>0</v>
      </c>
      <c r="H95" s="50" t="n">
        <v>0.050000001</v>
      </c>
      <c r="I95" s="43" t="str">
        <f aca="false">IFERROR(IF(ISNUMBER(F95),IF(ABS(F95-E95)&lt;=H95,"PASS","FAIL"),"FAIL"),"FAIL")</f>
        <v>PASS</v>
      </c>
    </row>
    <row r="96" customFormat="false" ht="15" hidden="false" customHeight="false" outlineLevel="0" collapsed="false">
      <c r="B96" s="44" t="n">
        <v>87</v>
      </c>
      <c r="C96" s="9" t="s">
        <v>443</v>
      </c>
      <c r="D96" s="9" t="s">
        <v>521</v>
      </c>
      <c r="E96" s="21" t="n">
        <v>0.03</v>
      </c>
      <c r="F96" s="20" t="n">
        <f aca="false">Assumptions!$D$30</f>
        <v>0.03</v>
      </c>
      <c r="G96" s="49" t="n">
        <f aca="false">IFERROR(IF(ISNUMBER(F96),F96-E96,"n/a"),"n/a")</f>
        <v>0</v>
      </c>
      <c r="H96" s="50" t="n">
        <v>0.000500001</v>
      </c>
      <c r="I96" s="43" t="str">
        <f aca="false">IFERROR(IF(ISNUMBER(F96),IF(ABS(F96-E96)&lt;=H96,"PASS","FAIL"),"FAIL"),"FAIL")</f>
        <v>PASS</v>
      </c>
    </row>
    <row r="97" customFormat="false" ht="15" hidden="false" customHeight="false" outlineLevel="0" collapsed="false">
      <c r="B97" s="44" t="n">
        <v>88</v>
      </c>
      <c r="C97" s="9" t="s">
        <v>443</v>
      </c>
      <c r="D97" s="9" t="s">
        <v>522</v>
      </c>
      <c r="E97" s="21" t="n">
        <v>0.035</v>
      </c>
      <c r="F97" s="20" t="n">
        <f aca="false">Assumptions!$D$29</f>
        <v>0.035</v>
      </c>
      <c r="G97" s="49" t="n">
        <f aca="false">IFERROR(IF(ISNUMBER(F97),F97-E97,"n/a"),"n/a")</f>
        <v>0</v>
      </c>
      <c r="H97" s="50" t="n">
        <v>0.000500001</v>
      </c>
      <c r="I97" s="43" t="str">
        <f aca="false">IFERROR(IF(ISNUMBER(F97),IF(ABS(F97-E97)&lt;=H97,"PASS","FAIL"),"FAIL"),"FAIL")</f>
        <v>PASS</v>
      </c>
    </row>
    <row r="98" customFormat="false" ht="15" hidden="false" customHeight="false" outlineLevel="0" collapsed="false">
      <c r="B98" s="44" t="n">
        <v>89</v>
      </c>
      <c r="C98" s="9" t="s">
        <v>443</v>
      </c>
      <c r="D98" s="9" t="s">
        <v>523</v>
      </c>
      <c r="E98" s="11" t="n">
        <v>0.12</v>
      </c>
      <c r="F98" s="25" t="n">
        <f aca="false">Assumptions!$D$27</f>
        <v>0.12</v>
      </c>
      <c r="G98" s="49" t="n">
        <f aca="false">IFERROR(IF(ISNUMBER(F98),F98-E98,"n/a"),"n/a")</f>
        <v>0</v>
      </c>
      <c r="H98" s="50" t="n">
        <v>0.005000001</v>
      </c>
      <c r="I98" s="43" t="str">
        <f aca="false">IFERROR(IF(ISNUMBER(F98),IF(ABS(F98-E98)&lt;=H98,"PASS","FAIL"),"FAIL"),"FAIL")</f>
        <v>PASS</v>
      </c>
    </row>
    <row r="99" customFormat="false" ht="15" hidden="false" customHeight="false" outlineLevel="0" collapsed="false">
      <c r="B99" s="44" t="n">
        <v>90</v>
      </c>
      <c r="C99" s="9" t="s">
        <v>443</v>
      </c>
      <c r="D99" s="9" t="s">
        <v>524</v>
      </c>
      <c r="E99" s="11" t="n">
        <v>0.12</v>
      </c>
      <c r="F99" s="25" t="n">
        <f aca="false">Assumptions!$D$27</f>
        <v>0.12</v>
      </c>
      <c r="G99" s="49" t="n">
        <f aca="false">IFERROR(IF(ISNUMBER(F99),F99-E99,"n/a"),"n/a")</f>
        <v>0</v>
      </c>
      <c r="H99" s="50" t="n">
        <v>0.005000001</v>
      </c>
      <c r="I99" s="43" t="str">
        <f aca="false">IFERROR(IF(ISNUMBER(F99),IF(ABS(F99-E99)&lt;=H99,"PASS","FAIL"),"FAIL"),"FAIL")</f>
        <v>PASS</v>
      </c>
    </row>
    <row r="100" customFormat="false" ht="15" hidden="false" customHeight="false" outlineLevel="0" collapsed="false">
      <c r="B100" s="44" t="n">
        <v>91</v>
      </c>
      <c r="C100" s="9" t="s">
        <v>443</v>
      </c>
      <c r="D100" s="9" t="s">
        <v>525</v>
      </c>
      <c r="E100" s="52" t="n">
        <v>9</v>
      </c>
      <c r="F100" s="53" t="n">
        <f aca="false">Assumptions!$D$131</f>
        <v>9</v>
      </c>
      <c r="G100" s="49" t="n">
        <f aca="false">IFERROR(IF(ISNUMBER(F100),F100-E100,"n/a"),"n/a")</f>
        <v>0</v>
      </c>
      <c r="H100" s="50" t="n">
        <v>0.050000001</v>
      </c>
      <c r="I100" s="43" t="str">
        <f aca="false">IFERROR(IF(ISNUMBER(F100),IF(ABS(F100-E100)&lt;=H100,"PASS","FAIL"),"FAIL"),"FAIL")</f>
        <v>PASS</v>
      </c>
    </row>
    <row r="101" customFormat="false" ht="15" hidden="false" customHeight="false" outlineLevel="0" collapsed="false">
      <c r="B101" s="44" t="n">
        <v>92</v>
      </c>
      <c r="C101" s="9" t="s">
        <v>443</v>
      </c>
      <c r="D101" s="9" t="s">
        <v>526</v>
      </c>
      <c r="E101" s="52" t="n">
        <v>1.5</v>
      </c>
      <c r="F101" s="53" t="n">
        <f aca="false">Assumptions!$D$122</f>
        <v>1.5</v>
      </c>
      <c r="G101" s="49" t="n">
        <f aca="false">IFERROR(IF(ISNUMBER(F101),F101-E101,"n/a"),"n/a")</f>
        <v>0</v>
      </c>
      <c r="H101" s="50" t="n">
        <v>0.050000001</v>
      </c>
      <c r="I101" s="43" t="str">
        <f aca="false">IFERROR(IF(ISNUMBER(F101),IF(ABS(F101-E101)&lt;=H101,"PASS","FAIL"),"FAIL"),"FAIL")</f>
        <v>PASS</v>
      </c>
    </row>
    <row r="102" customFormat="false" ht="15" hidden="false" customHeight="false" outlineLevel="0" collapsed="false">
      <c r="B102" s="44" t="n">
        <v>93</v>
      </c>
      <c r="C102" s="9" t="s">
        <v>443</v>
      </c>
      <c r="D102" s="9" t="s">
        <v>527</v>
      </c>
      <c r="E102" s="52" t="n">
        <v>40</v>
      </c>
      <c r="F102" s="53" t="n">
        <f aca="false">Assumptions!$D$125</f>
        <v>40</v>
      </c>
      <c r="G102" s="49" t="n">
        <f aca="false">IFERROR(IF(ISNUMBER(F102),F102-E102,"n/a"),"n/a")</f>
        <v>0</v>
      </c>
      <c r="H102" s="50" t="n">
        <v>0.050000001</v>
      </c>
      <c r="I102" s="43" t="str">
        <f aca="false">IFERROR(IF(ISNUMBER(F102),IF(ABS(F102-E102)&lt;=H102,"PASS","FAIL"),"FAIL"),"FAIL")</f>
        <v>PASS</v>
      </c>
    </row>
    <row r="103" customFormat="false" ht="15" hidden="false" customHeight="false" outlineLevel="0" collapsed="false">
      <c r="B103" s="44" t="n">
        <v>94</v>
      </c>
      <c r="C103" s="9" t="s">
        <v>443</v>
      </c>
      <c r="D103" s="9" t="s">
        <v>528</v>
      </c>
      <c r="E103" s="52" t="n">
        <v>40</v>
      </c>
      <c r="F103" s="53" t="n">
        <f aca="false">Assumptions!$D$125</f>
        <v>40</v>
      </c>
      <c r="G103" s="49" t="n">
        <f aca="false">IFERROR(IF(ISNUMBER(F103),F103-E103,"n/a"),"n/a")</f>
        <v>0</v>
      </c>
      <c r="H103" s="50" t="n">
        <v>0.050000001</v>
      </c>
      <c r="I103" s="43" t="str">
        <f aca="false">IFERROR(IF(ISNUMBER(F103),IF(ABS(F103-E103)&lt;=H103,"PASS","FAIL"),"FAIL"),"FAIL")</f>
        <v>PASS</v>
      </c>
    </row>
    <row r="104" customFormat="false" ht="15" hidden="false" customHeight="false" outlineLevel="0" collapsed="false">
      <c r="B104" s="44" t="n">
        <v>95</v>
      </c>
      <c r="C104" s="9" t="s">
        <v>443</v>
      </c>
      <c r="D104" s="9" t="s">
        <v>529</v>
      </c>
      <c r="E104" s="11" t="n">
        <v>0.3</v>
      </c>
      <c r="F104" s="25" t="n">
        <f aca="false">Assumptions!$D$8</f>
        <v>0.3</v>
      </c>
      <c r="G104" s="49" t="n">
        <f aca="false">IFERROR(IF(ISNUMBER(F104),F104-E104,"n/a"),"n/a")</f>
        <v>0</v>
      </c>
      <c r="H104" s="50" t="n">
        <v>0.005000001</v>
      </c>
      <c r="I104" s="43" t="str">
        <f aca="false">IFERROR(IF(ISNUMBER(F104),IF(ABS(F104-E104)&lt;=H104,"PASS","FAIL"),"FAIL"),"FAIL")</f>
        <v>PASS</v>
      </c>
    </row>
    <row r="105" customFormat="false" ht="15" hidden="false" customHeight="false" outlineLevel="0" collapsed="false">
      <c r="B105" s="44" t="n">
        <v>96</v>
      </c>
      <c r="C105" s="9" t="s">
        <v>443</v>
      </c>
      <c r="D105" s="9" t="s">
        <v>530</v>
      </c>
      <c r="E105" s="52" t="n">
        <v>9.5</v>
      </c>
      <c r="F105" s="53" t="n">
        <f aca="false">Assumptions!$D$76</f>
        <v>9.5</v>
      </c>
      <c r="G105" s="49" t="n">
        <f aca="false">IFERROR(IF(ISNUMBER(F105),F105-E105,"n/a"),"n/a")</f>
        <v>0</v>
      </c>
      <c r="H105" s="50" t="n">
        <v>0.050000001</v>
      </c>
      <c r="I105" s="43" t="str">
        <f aca="false">IFERROR(IF(ISNUMBER(F105),IF(ABS(F105-E105)&lt;=H105,"PASS","FAIL"),"FAIL"),"FAIL")</f>
        <v>PASS</v>
      </c>
    </row>
    <row r="106" customFormat="false" ht="15" hidden="false" customHeight="false" outlineLevel="0" collapsed="false">
      <c r="B106" s="44" t="n">
        <v>97</v>
      </c>
      <c r="C106" s="9" t="s">
        <v>443</v>
      </c>
      <c r="D106" s="9" t="s">
        <v>531</v>
      </c>
      <c r="E106" s="11" t="n">
        <v>0.2</v>
      </c>
      <c r="F106" s="25" t="n">
        <f aca="false">Assumptions!$D$103</f>
        <v>0.2</v>
      </c>
      <c r="G106" s="49" t="n">
        <f aca="false">IFERROR(IF(ISNUMBER(F106),F106-E106,"n/a"),"n/a")</f>
        <v>0</v>
      </c>
      <c r="H106" s="50" t="n">
        <v>0.005000001</v>
      </c>
      <c r="I106" s="43" t="str">
        <f aca="false">IFERROR(IF(ISNUMBER(F106),IF(ABS(F106-E106)&lt;=H106,"PASS","FAIL"),"FAIL"),"FAIL")</f>
        <v>PASS</v>
      </c>
    </row>
    <row r="107" customFormat="false" ht="15" hidden="false" customHeight="false" outlineLevel="0" collapsed="false">
      <c r="B107" s="44" t="n">
        <v>98</v>
      </c>
      <c r="C107" s="9" t="s">
        <v>443</v>
      </c>
      <c r="D107" s="9" t="s">
        <v>532</v>
      </c>
      <c r="E107" s="52" t="n">
        <v>3</v>
      </c>
      <c r="F107" s="53" t="n">
        <f aca="false">Assumptions!$D$104</f>
        <v>3</v>
      </c>
      <c r="G107" s="49" t="n">
        <f aca="false">IFERROR(IF(ISNUMBER(F107),F107-E107,"n/a"),"n/a")</f>
        <v>0</v>
      </c>
      <c r="H107" s="50" t="n">
        <v>0.050000001</v>
      </c>
      <c r="I107" s="43" t="str">
        <f aca="false">IFERROR(IF(ISNUMBER(F107),IF(ABS(F107-E107)&lt;=H107,"PASS","FAIL"),"FAIL"),"FAIL")</f>
        <v>PASS</v>
      </c>
    </row>
    <row r="108" customFormat="false" ht="15" hidden="false" customHeight="false" outlineLevel="0" collapsed="false">
      <c r="B108" s="44" t="n">
        <v>99</v>
      </c>
      <c r="C108" s="9" t="s">
        <v>443</v>
      </c>
      <c r="D108" s="9" t="s">
        <v>533</v>
      </c>
      <c r="E108" s="52" t="n">
        <v>8</v>
      </c>
      <c r="F108" s="53" t="n">
        <f aca="false">Assumptions!$D$118</f>
        <v>8</v>
      </c>
      <c r="G108" s="49" t="n">
        <f aca="false">IFERROR(IF(ISNUMBER(F108),F108-E108,"n/a"),"n/a")</f>
        <v>0</v>
      </c>
      <c r="H108" s="50" t="n">
        <v>0.050000001</v>
      </c>
      <c r="I108" s="43" t="str">
        <f aca="false">IFERROR(IF(ISNUMBER(F108),IF(ABS(F108-E108)&lt;=H108,"PASS","FAIL"),"FAIL"),"FAIL")</f>
        <v>PASS</v>
      </c>
    </row>
    <row r="109" customFormat="false" ht="15" hidden="false" customHeight="false" outlineLevel="0" collapsed="false">
      <c r="B109" s="44" t="n">
        <v>100</v>
      </c>
      <c r="C109" s="9" t="s">
        <v>443</v>
      </c>
      <c r="D109" s="9" t="s">
        <v>534</v>
      </c>
      <c r="E109" s="54" t="n">
        <v>1</v>
      </c>
      <c r="F109" s="55" t="n">
        <f aca="false">Assumptions!$D$108</f>
        <v>1</v>
      </c>
      <c r="G109" s="49" t="n">
        <f aca="false">IFERROR(IF(ISNUMBER(F109),F109-E109,"n/a"),"n/a")</f>
        <v>0</v>
      </c>
      <c r="H109" s="50" t="n">
        <v>0.005000001</v>
      </c>
      <c r="I109" s="43" t="str">
        <f aca="false">IFERROR(IF(ISNUMBER(F109),IF(ABS(F109-E109)&lt;=H109,"PASS","FAIL"),"FAIL"),"FAIL")</f>
        <v>PASS</v>
      </c>
    </row>
    <row r="110" customFormat="false" ht="15" hidden="false" customHeight="false" outlineLevel="0" collapsed="false">
      <c r="B110" s="44" t="n">
        <v>101</v>
      </c>
      <c r="C110" s="9" t="s">
        <v>443</v>
      </c>
      <c r="D110" s="9" t="s">
        <v>535</v>
      </c>
      <c r="E110" s="52" t="n">
        <v>4</v>
      </c>
      <c r="F110" s="53" t="n">
        <f aca="false">Assumptions!$D$111</f>
        <v>4</v>
      </c>
      <c r="G110" s="49" t="n">
        <f aca="false">IFERROR(IF(ISNUMBER(F110),F110-E110,"n/a"),"n/a")</f>
        <v>0</v>
      </c>
      <c r="H110" s="50" t="n">
        <v>0.050000001</v>
      </c>
      <c r="I110" s="43" t="str">
        <f aca="false">IFERROR(IF(ISNUMBER(F110),IF(ABS(F110-E110)&lt;=H110,"PASS","FAIL"),"FAIL"),"FAIL")</f>
        <v>PASS</v>
      </c>
    </row>
    <row r="111" customFormat="false" ht="15" hidden="false" customHeight="false" outlineLevel="0" collapsed="false">
      <c r="B111" s="44" t="n">
        <v>102</v>
      </c>
      <c r="C111" s="9" t="s">
        <v>443</v>
      </c>
      <c r="D111" s="9" t="s">
        <v>536</v>
      </c>
      <c r="E111" s="11" t="n">
        <v>0.08</v>
      </c>
      <c r="F111" s="25" t="n">
        <f aca="false">Assumptions!$D$109</f>
        <v>0.08</v>
      </c>
      <c r="G111" s="49" t="n">
        <f aca="false">IFERROR(IF(ISNUMBER(F111),F111-E111,"n/a"),"n/a")</f>
        <v>0</v>
      </c>
      <c r="H111" s="50" t="n">
        <v>0.005000001</v>
      </c>
      <c r="I111" s="43" t="str">
        <f aca="false">IFERROR(IF(ISNUMBER(F111),IF(ABS(F111-E111)&lt;=H111,"PASS","FAIL"),"FAIL"),"FAIL")</f>
        <v>PASS</v>
      </c>
    </row>
    <row r="112" customFormat="false" ht="15" hidden="false" customHeight="false" outlineLevel="0" collapsed="false">
      <c r="B112" s="44" t="n">
        <v>103</v>
      </c>
      <c r="C112" s="9" t="s">
        <v>443</v>
      </c>
      <c r="D112" s="9" t="s">
        <v>537</v>
      </c>
      <c r="E112" s="54" t="n">
        <v>1</v>
      </c>
      <c r="F112" s="55" t="n">
        <f aca="false">Assumptions!$D$108</f>
        <v>1</v>
      </c>
      <c r="G112" s="49" t="n">
        <f aca="false">IFERROR(IF(ISNUMBER(F112),F112-E112,"n/a"),"n/a")</f>
        <v>0</v>
      </c>
      <c r="H112" s="50" t="n">
        <v>0.005000001</v>
      </c>
      <c r="I112" s="43" t="str">
        <f aca="false">IFERROR(IF(ISNUMBER(F112),IF(ABS(F112-E112)&lt;=H112,"PASS","FAIL"),"FAIL"),"FAIL")</f>
        <v>PASS</v>
      </c>
    </row>
    <row r="113" customFormat="false" ht="15" hidden="false" customHeight="false" outlineLevel="0" collapsed="false">
      <c r="B113" s="44" t="n">
        <v>104</v>
      </c>
      <c r="C113" s="9" t="s">
        <v>443</v>
      </c>
      <c r="D113" s="9" t="s">
        <v>538</v>
      </c>
      <c r="E113" s="52" t="n">
        <v>2</v>
      </c>
      <c r="F113" s="53" t="n">
        <f aca="false">Assumptions!$D$110</f>
        <v>2</v>
      </c>
      <c r="G113" s="49" t="n">
        <f aca="false">IFERROR(IF(ISNUMBER(F113),F113-E113,"n/a"),"n/a")</f>
        <v>0</v>
      </c>
      <c r="H113" s="50" t="n">
        <v>0.050000001</v>
      </c>
      <c r="I113" s="43" t="str">
        <f aca="false">IFERROR(IF(ISNUMBER(F113),IF(ABS(F113-E113)&lt;=H113,"PASS","FAIL"),"FAIL"),"FAIL")</f>
        <v>PASS</v>
      </c>
    </row>
    <row r="114" customFormat="false" ht="15" hidden="false" customHeight="false" outlineLevel="0" collapsed="false">
      <c r="B114" s="44" t="n">
        <v>105</v>
      </c>
      <c r="C114" s="9" t="s">
        <v>443</v>
      </c>
      <c r="D114" s="9" t="s">
        <v>539</v>
      </c>
      <c r="E114" s="11" t="n">
        <v>0.35</v>
      </c>
      <c r="F114" s="25" t="n">
        <f aca="false">Assumptions!$D$112</f>
        <v>0.35</v>
      </c>
      <c r="G114" s="49" t="n">
        <f aca="false">IFERROR(IF(ISNUMBER(F114),F114-E114,"n/a"),"n/a")</f>
        <v>0</v>
      </c>
      <c r="H114" s="50" t="n">
        <v>0.005000001</v>
      </c>
      <c r="I114" s="43" t="str">
        <f aca="false">IFERROR(IF(ISNUMBER(F114),IF(ABS(F114-E114)&lt;=H114,"PASS","FAIL"),"FAIL"),"FAIL")</f>
        <v>PASS</v>
      </c>
    </row>
    <row r="115" customFormat="false" ht="15" hidden="false" customHeight="false" outlineLevel="0" collapsed="false">
      <c r="B115" s="44" t="n">
        <v>106</v>
      </c>
      <c r="C115" s="9" t="s">
        <v>443</v>
      </c>
      <c r="D115" s="9" t="s">
        <v>540</v>
      </c>
      <c r="E115" s="11" t="n">
        <v>0.35</v>
      </c>
      <c r="F115" s="25" t="n">
        <f aca="false">Assumptions!$D$112</f>
        <v>0.35</v>
      </c>
      <c r="G115" s="49" t="n">
        <f aca="false">IFERROR(IF(ISNUMBER(F115),F115-E115,"n/a"),"n/a")</f>
        <v>0</v>
      </c>
      <c r="H115" s="50" t="n">
        <v>0.005000001</v>
      </c>
      <c r="I115" s="43" t="str">
        <f aca="false">IFERROR(IF(ISNUMBER(F115),IF(ABS(F115-E115)&lt;=H115,"PASS","FAIL"),"FAIL"),"FAIL")</f>
        <v>PASS</v>
      </c>
    </row>
    <row r="116" customFormat="false" ht="15" hidden="false" customHeight="false" outlineLevel="0" collapsed="false">
      <c r="B116" s="44" t="n">
        <v>107</v>
      </c>
      <c r="C116" s="9" t="s">
        <v>443</v>
      </c>
      <c r="D116" s="9" t="s">
        <v>541</v>
      </c>
      <c r="E116" s="52" t="n">
        <v>4</v>
      </c>
      <c r="F116" s="53" t="n">
        <f aca="false">Assumptions!$D$111</f>
        <v>4</v>
      </c>
      <c r="G116" s="49" t="n">
        <f aca="false">IFERROR(IF(ISNUMBER(F116),F116-E116,"n/a"),"n/a")</f>
        <v>0</v>
      </c>
      <c r="H116" s="50" t="n">
        <v>0.050000001</v>
      </c>
      <c r="I116" s="43" t="str">
        <f aca="false">IFERROR(IF(ISNUMBER(F116),IF(ABS(F116-E116)&lt;=H116,"PASS","FAIL"),"FAIL"),"FAIL")</f>
        <v>PASS</v>
      </c>
    </row>
    <row r="117" customFormat="false" ht="15" hidden="false" customHeight="false" outlineLevel="0" collapsed="false">
      <c r="B117" s="44" t="n">
        <v>108</v>
      </c>
      <c r="C117" s="9" t="s">
        <v>443</v>
      </c>
      <c r="D117" s="9" t="s">
        <v>542</v>
      </c>
      <c r="E117" s="52" t="n">
        <v>60</v>
      </c>
      <c r="F117" s="53" t="n">
        <f aca="false">Assumptions!$D$117</f>
        <v>60</v>
      </c>
      <c r="G117" s="49" t="n">
        <f aca="false">IFERROR(IF(ISNUMBER(F117),F117-E117,"n/a"),"n/a")</f>
        <v>0</v>
      </c>
      <c r="H117" s="50" t="n">
        <v>0.050000001</v>
      </c>
      <c r="I117" s="43" t="str">
        <f aca="false">IFERROR(IF(ISNUMBER(F117),IF(ABS(F117-E117)&lt;=H117,"PASS","FAIL"),"FAIL"),"FAIL")</f>
        <v>PASS</v>
      </c>
    </row>
    <row r="118" customFormat="false" ht="15" hidden="false" customHeight="false" outlineLevel="0" collapsed="false">
      <c r="B118" s="44" t="n">
        <v>109</v>
      </c>
      <c r="C118" s="9" t="s">
        <v>443</v>
      </c>
      <c r="D118" s="9" t="s">
        <v>543</v>
      </c>
      <c r="E118" s="52" t="n">
        <v>8</v>
      </c>
      <c r="F118" s="53" t="n">
        <f aca="false">Assumptions!$D$118</f>
        <v>8</v>
      </c>
      <c r="G118" s="49" t="n">
        <f aca="false">IFERROR(IF(ISNUMBER(F118),F118-E118,"n/a"),"n/a")</f>
        <v>0</v>
      </c>
      <c r="H118" s="50" t="n">
        <v>0.050000001</v>
      </c>
      <c r="I118" s="43" t="str">
        <f aca="false">IFERROR(IF(ISNUMBER(F118),IF(ABS(F118-E118)&lt;=H118,"PASS","FAIL"),"FAIL"),"FAIL")</f>
        <v>PASS</v>
      </c>
    </row>
    <row r="119" customFormat="false" ht="15" hidden="false" customHeight="false" outlineLevel="0" collapsed="false">
      <c r="B119" s="44" t="n">
        <v>110</v>
      </c>
      <c r="C119" s="9" t="s">
        <v>443</v>
      </c>
      <c r="D119" s="9" t="s">
        <v>544</v>
      </c>
      <c r="E119" s="21" t="n">
        <v>0.133</v>
      </c>
      <c r="F119" s="20" t="n">
        <f aca="false">Assumptions!$D$119</f>
        <v>0.133333333333333</v>
      </c>
      <c r="G119" s="49" t="n">
        <f aca="false">IFERROR(IF(ISNUMBER(F119),F119-E119,"n/a"),"n/a")</f>
        <v>0.000333333333333324</v>
      </c>
      <c r="H119" s="50" t="n">
        <v>0.000500001</v>
      </c>
      <c r="I119" s="43" t="str">
        <f aca="false">IFERROR(IF(ISNUMBER(F119),IF(ABS(F119-E119)&lt;=H119,"PASS","FAIL"),"FAIL"),"FAIL")</f>
        <v>PASS</v>
      </c>
    </row>
    <row r="120" customFormat="false" ht="15" hidden="false" customHeight="false" outlineLevel="0" collapsed="false">
      <c r="B120" s="44" t="n">
        <v>111</v>
      </c>
      <c r="C120" s="9" t="s">
        <v>443</v>
      </c>
      <c r="D120" s="9" t="s">
        <v>545</v>
      </c>
      <c r="E120" s="52" t="n">
        <v>6.5</v>
      </c>
      <c r="F120" s="53" t="n">
        <f aca="false">Assumptions!$D$120</f>
        <v>6.5</v>
      </c>
      <c r="G120" s="49" t="n">
        <f aca="false">IFERROR(IF(ISNUMBER(F120),F120-E120,"n/a"),"n/a")</f>
        <v>0</v>
      </c>
      <c r="H120" s="50" t="n">
        <v>0.050000001</v>
      </c>
      <c r="I120" s="43" t="str">
        <f aca="false">IFERROR(IF(ISNUMBER(F120),IF(ABS(F120-E120)&lt;=H120,"PASS","FAIL"),"FAIL"),"FAIL")</f>
        <v>PASS</v>
      </c>
    </row>
    <row r="121" customFormat="false" ht="15" hidden="false" customHeight="false" outlineLevel="0" collapsed="false">
      <c r="B121" s="44" t="n">
        <v>112</v>
      </c>
      <c r="C121" s="9" t="s">
        <v>443</v>
      </c>
      <c r="D121" s="9" t="s">
        <v>546</v>
      </c>
      <c r="E121" s="52" t="n">
        <v>52</v>
      </c>
      <c r="F121" s="53" t="n">
        <f aca="false">Assumptions!$D$121</f>
        <v>52</v>
      </c>
      <c r="G121" s="49" t="n">
        <f aca="false">IFERROR(IF(ISNUMBER(F121),F121-E121,"n/a"),"n/a")</f>
        <v>0</v>
      </c>
      <c r="H121" s="50" t="n">
        <v>0.050000001</v>
      </c>
      <c r="I121" s="43" t="str">
        <f aca="false">IFERROR(IF(ISNUMBER(F121),IF(ABS(F121-E121)&lt;=H121,"PASS","FAIL"),"FAIL"),"FAIL")</f>
        <v>PASS</v>
      </c>
    </row>
    <row r="122" customFormat="false" ht="15" hidden="false" customHeight="false" outlineLevel="0" collapsed="false">
      <c r="B122" s="44" t="n">
        <v>113</v>
      </c>
      <c r="C122" s="9" t="s">
        <v>443</v>
      </c>
      <c r="D122" s="9" t="s">
        <v>547</v>
      </c>
      <c r="E122" s="52" t="n">
        <v>1.5</v>
      </c>
      <c r="F122" s="53" t="n">
        <f aca="false">Assumptions!$D$122</f>
        <v>1.5</v>
      </c>
      <c r="G122" s="49" t="n">
        <f aca="false">IFERROR(IF(ISNUMBER(F122),F122-E122,"n/a"),"n/a")</f>
        <v>0</v>
      </c>
      <c r="H122" s="50" t="n">
        <v>0.050000001</v>
      </c>
      <c r="I122" s="43" t="str">
        <f aca="false">IFERROR(IF(ISNUMBER(F122),IF(ABS(F122-E122)&lt;=H122,"PASS","FAIL"),"FAIL"),"FAIL")</f>
        <v>PASS</v>
      </c>
    </row>
    <row r="123" customFormat="false" ht="15" hidden="false" customHeight="false" outlineLevel="0" collapsed="false">
      <c r="B123" s="44" t="n">
        <v>114</v>
      </c>
      <c r="C123" s="9" t="s">
        <v>443</v>
      </c>
      <c r="D123" s="9" t="s">
        <v>548</v>
      </c>
      <c r="E123" s="52" t="n">
        <v>40</v>
      </c>
      <c r="F123" s="53" t="n">
        <f aca="false">Assumptions!$D$125</f>
        <v>40</v>
      </c>
      <c r="G123" s="49" t="n">
        <f aca="false">IFERROR(IF(ISNUMBER(F123),F123-E123,"n/a"),"n/a")</f>
        <v>0</v>
      </c>
      <c r="H123" s="50" t="n">
        <v>0.050000001</v>
      </c>
      <c r="I123" s="43" t="str">
        <f aca="false">IFERROR(IF(ISNUMBER(F123),IF(ABS(F123-E123)&lt;=H123,"PASS","FAIL"),"FAIL"),"FAIL")</f>
        <v>PASS</v>
      </c>
    </row>
    <row r="124" customFormat="false" ht="15" hidden="false" customHeight="false" outlineLevel="0" collapsed="false">
      <c r="B124" s="44" t="n">
        <v>115</v>
      </c>
      <c r="C124" s="9" t="s">
        <v>443</v>
      </c>
      <c r="D124" s="9" t="s">
        <v>549</v>
      </c>
      <c r="E124" s="52" t="n">
        <v>0.8</v>
      </c>
      <c r="F124" s="53" t="n">
        <f aca="false">Assumptions!$D$126</f>
        <v>0.8</v>
      </c>
      <c r="G124" s="49" t="n">
        <f aca="false">IFERROR(IF(ISNUMBER(F124),F124-E124,"n/a"),"n/a")</f>
        <v>0</v>
      </c>
      <c r="H124" s="50" t="n">
        <v>0.050000001</v>
      </c>
      <c r="I124" s="43" t="str">
        <f aca="false">IFERROR(IF(ISNUMBER(F124),IF(ABS(F124-E124)&lt;=H124,"PASS","FAIL"),"FAIL"),"FAIL")</f>
        <v>PASS</v>
      </c>
    </row>
    <row r="125" customFormat="false" ht="15" hidden="false" customHeight="false" outlineLevel="0" collapsed="false">
      <c r="B125" s="44" t="n">
        <v>116</v>
      </c>
      <c r="C125" s="9" t="s">
        <v>443</v>
      </c>
      <c r="D125" s="9" t="s">
        <v>550</v>
      </c>
      <c r="E125" s="52" t="n">
        <v>14.3</v>
      </c>
      <c r="F125" s="53" t="n">
        <f aca="false">Assumptions!$D$127</f>
        <v>14.3</v>
      </c>
      <c r="G125" s="49" t="n">
        <f aca="false">IFERROR(IF(ISNUMBER(F125),F125-E125,"n/a"),"n/a")</f>
        <v>0</v>
      </c>
      <c r="H125" s="50" t="n">
        <v>0.050000001</v>
      </c>
      <c r="I125" s="43" t="str">
        <f aca="false">IFERROR(IF(ISNUMBER(F125),IF(ABS(F125-E125)&lt;=H125,"PASS","FAIL"),"FAIL"),"FAIL")</f>
        <v>PASS</v>
      </c>
    </row>
    <row r="126" customFormat="false" ht="15" hidden="false" customHeight="false" outlineLevel="0" collapsed="false">
      <c r="B126" s="44" t="n">
        <v>117</v>
      </c>
      <c r="C126" s="9" t="s">
        <v>443</v>
      </c>
      <c r="D126" s="9" t="s">
        <v>551</v>
      </c>
      <c r="E126" s="21" t="n">
        <v>0.04</v>
      </c>
      <c r="F126" s="20" t="n">
        <f aca="false">Assumptions!$D$123</f>
        <v>0.04</v>
      </c>
      <c r="G126" s="49" t="n">
        <f aca="false">IFERROR(IF(ISNUMBER(F126),F126-E126,"n/a"),"n/a")</f>
        <v>0</v>
      </c>
      <c r="H126" s="50" t="n">
        <v>0.000500001</v>
      </c>
      <c r="I126" s="43" t="str">
        <f aca="false">IFERROR(IF(ISNUMBER(F126),IF(ABS(F126-E126)&lt;=H126,"PASS","FAIL"),"FAIL"),"FAIL")</f>
        <v>PASS</v>
      </c>
    </row>
    <row r="127" customFormat="false" ht="15" hidden="false" customHeight="false" outlineLevel="0" collapsed="false">
      <c r="B127" s="44" t="n">
        <v>118</v>
      </c>
      <c r="C127" s="9" t="s">
        <v>443</v>
      </c>
      <c r="D127" s="9" t="s">
        <v>552</v>
      </c>
      <c r="E127" s="52" t="n">
        <v>8</v>
      </c>
      <c r="F127" s="53" t="n">
        <f aca="false">Assumptions!$D$118</f>
        <v>8</v>
      </c>
      <c r="G127" s="49" t="n">
        <f aca="false">IFERROR(IF(ISNUMBER(F127),F127-E127,"n/a"),"n/a")</f>
        <v>0</v>
      </c>
      <c r="H127" s="50" t="n">
        <v>0.050000001</v>
      </c>
      <c r="I127" s="43" t="str">
        <f aca="false">IFERROR(IF(ISNUMBER(F127),IF(ABS(F127-E127)&lt;=H127,"PASS","FAIL"),"FAIL"),"FAIL")</f>
        <v>PASS</v>
      </c>
    </row>
    <row r="128" customFormat="false" ht="15" hidden="false" customHeight="false" outlineLevel="0" collapsed="false">
      <c r="B128" s="44" t="n">
        <v>119</v>
      </c>
      <c r="C128" s="9" t="s">
        <v>443</v>
      </c>
      <c r="D128" s="9" t="s">
        <v>553</v>
      </c>
      <c r="E128" s="52" t="n">
        <v>6.5</v>
      </c>
      <c r="F128" s="53" t="n">
        <f aca="false">Assumptions!$D$120</f>
        <v>6.5</v>
      </c>
      <c r="G128" s="49" t="n">
        <f aca="false">IFERROR(IF(ISNUMBER(F128),F128-E128,"n/a"),"n/a")</f>
        <v>0</v>
      </c>
      <c r="H128" s="50" t="n">
        <v>0.050000001</v>
      </c>
      <c r="I128" s="43" t="str">
        <f aca="false">IFERROR(IF(ISNUMBER(F128),IF(ABS(F128-E128)&lt;=H128,"PASS","FAIL"),"FAIL"),"FAIL")</f>
        <v>PASS</v>
      </c>
    </row>
    <row r="129" customFormat="false" ht="15" hidden="false" customHeight="false" outlineLevel="0" collapsed="false">
      <c r="B129" s="44" t="n">
        <v>120</v>
      </c>
      <c r="C129" s="9" t="s">
        <v>443</v>
      </c>
      <c r="D129" s="9" t="s">
        <v>554</v>
      </c>
      <c r="E129" s="52" t="n">
        <v>9</v>
      </c>
      <c r="F129" s="53" t="n">
        <f aca="false">Assumptions!$D$131</f>
        <v>9</v>
      </c>
      <c r="G129" s="49" t="n">
        <f aca="false">IFERROR(IF(ISNUMBER(F129),F129-E129,"n/a"),"n/a")</f>
        <v>0</v>
      </c>
      <c r="H129" s="50" t="n">
        <v>0.050000001</v>
      </c>
      <c r="I129" s="43" t="str">
        <f aca="false">IFERROR(IF(ISNUMBER(F129),IF(ABS(F129-E129)&lt;=H129,"PASS","FAIL"),"FAIL"),"FAIL")</f>
        <v>PASS</v>
      </c>
    </row>
    <row r="130" customFormat="false" ht="15" hidden="false" customHeight="false" outlineLevel="0" collapsed="false">
      <c r="B130" s="44" t="n">
        <v>121</v>
      </c>
      <c r="C130" s="9" t="s">
        <v>443</v>
      </c>
      <c r="D130" s="9" t="s">
        <v>555</v>
      </c>
      <c r="E130" s="52" t="n">
        <v>9</v>
      </c>
      <c r="F130" s="53" t="n">
        <f aca="false">Assumptions!$D$131</f>
        <v>9</v>
      </c>
      <c r="G130" s="49" t="n">
        <f aca="false">IFERROR(IF(ISNUMBER(F130),F130-E130,"n/a"),"n/a")</f>
        <v>0</v>
      </c>
      <c r="H130" s="50" t="n">
        <v>0.050000001</v>
      </c>
      <c r="I130" s="43" t="str">
        <f aca="false">IFERROR(IF(ISNUMBER(F130),IF(ABS(F130-E130)&lt;=H130,"PASS","FAIL"),"FAIL"),"FAIL")</f>
        <v>PASS</v>
      </c>
    </row>
    <row r="131" customFormat="false" ht="15" hidden="false" customHeight="false" outlineLevel="0" collapsed="false">
      <c r="B131" s="44" t="n">
        <v>122</v>
      </c>
      <c r="C131" s="9" t="s">
        <v>443</v>
      </c>
      <c r="D131" s="9" t="s">
        <v>556</v>
      </c>
      <c r="E131" s="52" t="n">
        <v>9</v>
      </c>
      <c r="F131" s="53" t="n">
        <f aca="false">Assumptions!$D$131</f>
        <v>9</v>
      </c>
      <c r="G131" s="49" t="n">
        <f aca="false">IFERROR(IF(ISNUMBER(F131),F131-E131,"n/a"),"n/a")</f>
        <v>0</v>
      </c>
      <c r="H131" s="50" t="n">
        <v>0.050000001</v>
      </c>
      <c r="I131" s="43" t="str">
        <f aca="false">IFERROR(IF(ISNUMBER(F131),IF(ABS(F131-E131)&lt;=H131,"PASS","FAIL"),"FAIL"),"FAIL")</f>
        <v>PASS</v>
      </c>
    </row>
    <row r="132" customFormat="false" ht="15" hidden="false" customHeight="false" outlineLevel="0" collapsed="false">
      <c r="B132" s="44" t="n">
        <v>123</v>
      </c>
      <c r="C132" s="9" t="s">
        <v>443</v>
      </c>
      <c r="D132" s="9" t="s">
        <v>557</v>
      </c>
      <c r="E132" s="52" t="n">
        <v>2.3</v>
      </c>
      <c r="F132" s="53" t="n">
        <f aca="false">Assumptions!$D$128</f>
        <v>2.3</v>
      </c>
      <c r="G132" s="49" t="n">
        <f aca="false">IFERROR(IF(ISNUMBER(F132),F132-E132,"n/a"),"n/a")</f>
        <v>0</v>
      </c>
      <c r="H132" s="50" t="n">
        <v>0.050000001</v>
      </c>
      <c r="I132" s="43" t="str">
        <f aca="false">IFERROR(IF(ISNUMBER(F132),IF(ABS(F132-E132)&lt;=H132,"PASS","FAIL"),"FAIL"),"FAIL")</f>
        <v>PASS</v>
      </c>
    </row>
    <row r="133" customFormat="false" ht="15" hidden="false" customHeight="false" outlineLevel="0" collapsed="false">
      <c r="B133" s="44" t="n">
        <v>124</v>
      </c>
      <c r="C133" s="9" t="s">
        <v>443</v>
      </c>
      <c r="D133" s="9" t="s">
        <v>558</v>
      </c>
      <c r="E133" s="21" t="n">
        <v>-0.06</v>
      </c>
      <c r="F133" s="20" t="n">
        <f aca="false">Assumptions!$H$165</f>
        <v>-0.06</v>
      </c>
      <c r="G133" s="49" t="n">
        <f aca="false">IFERROR(IF(ISNUMBER(F133),F133-E133,"n/a"),"n/a")</f>
        <v>0</v>
      </c>
      <c r="H133" s="50" t="n">
        <v>0.000500001</v>
      </c>
      <c r="I133" s="43" t="str">
        <f aca="false">IFERROR(IF(ISNUMBER(F133),IF(ABS(F133-E133)&lt;=H133,"PASS","FAIL"),"FAIL"),"FAIL")</f>
        <v>PASS</v>
      </c>
    </row>
    <row r="134" customFormat="false" ht="15" hidden="false" customHeight="false" outlineLevel="0" collapsed="false">
      <c r="B134" s="44" t="n">
        <v>125</v>
      </c>
      <c r="C134" s="9" t="s">
        <v>443</v>
      </c>
      <c r="D134" s="9" t="s">
        <v>559</v>
      </c>
      <c r="E134" s="21" t="n">
        <v>0.175</v>
      </c>
      <c r="F134" s="20" t="n">
        <f aca="false">Assumptions!$D$170</f>
        <v>0.175</v>
      </c>
      <c r="G134" s="49" t="n">
        <f aca="false">IFERROR(IF(ISNUMBER(F134),F134-E134,"n/a"),"n/a")</f>
        <v>0</v>
      </c>
      <c r="H134" s="50" t="n">
        <v>0.000500001</v>
      </c>
      <c r="I134" s="43" t="str">
        <f aca="false">IFERROR(IF(ISNUMBER(F134),IF(ABS(F134-E134)&lt;=H134,"PASS","FAIL"),"FAIL"),"FAIL")</f>
        <v>PASS</v>
      </c>
    </row>
    <row r="135" customFormat="false" ht="15" hidden="false" customHeight="false" outlineLevel="0" collapsed="false">
      <c r="B135" s="44" t="n">
        <v>126</v>
      </c>
      <c r="C135" s="9" t="s">
        <v>443</v>
      </c>
      <c r="D135" s="9" t="s">
        <v>560</v>
      </c>
      <c r="E135" s="21" t="n">
        <v>-0.03</v>
      </c>
      <c r="F135" s="20" t="n">
        <f aca="false">Assumptions!$H$167</f>
        <v>-0.03</v>
      </c>
      <c r="G135" s="49" t="n">
        <f aca="false">IFERROR(IF(ISNUMBER(F135),F135-E135,"n/a"),"n/a")</f>
        <v>0</v>
      </c>
      <c r="H135" s="50" t="n">
        <v>0.000500001</v>
      </c>
      <c r="I135" s="43" t="str">
        <f aca="false">IFERROR(IF(ISNUMBER(F135),IF(ABS(F135-E135)&lt;=H135,"PASS","FAIL"),"FAIL"),"FAIL")</f>
        <v>PASS</v>
      </c>
    </row>
    <row r="136" customFormat="false" ht="15" hidden="false" customHeight="false" outlineLevel="0" collapsed="false">
      <c r="B136" s="44" t="n">
        <v>127</v>
      </c>
      <c r="C136" s="9" t="s">
        <v>443</v>
      </c>
      <c r="D136" s="9" t="s">
        <v>561</v>
      </c>
      <c r="E136" s="54" t="n">
        <v>4.75</v>
      </c>
      <c r="F136" s="55" t="n">
        <f aca="false">Assumptions!$H$169</f>
        <v>4.75</v>
      </c>
      <c r="G136" s="49" t="n">
        <f aca="false">IFERROR(IF(ISNUMBER(F136),F136-E136,"n/a"),"n/a")</f>
        <v>0</v>
      </c>
      <c r="H136" s="50" t="n">
        <v>0.005000001</v>
      </c>
      <c r="I136" s="43" t="str">
        <f aca="false">IFERROR(IF(ISNUMBER(F136),IF(ABS(F136-E136)&lt;=H136,"PASS","FAIL"),"FAIL"),"FAIL")</f>
        <v>PASS</v>
      </c>
    </row>
    <row r="137" customFormat="false" ht="15" hidden="false" customHeight="false" outlineLevel="0" collapsed="false">
      <c r="B137" s="44" t="n">
        <v>128</v>
      </c>
      <c r="C137" s="9" t="s">
        <v>443</v>
      </c>
      <c r="D137" s="9" t="s">
        <v>562</v>
      </c>
      <c r="E137" s="52" t="n">
        <v>10</v>
      </c>
      <c r="F137" s="53" t="n">
        <f aca="false">Assumptions!$D$79</f>
        <v>10</v>
      </c>
      <c r="G137" s="49" t="n">
        <f aca="false">IFERROR(IF(ISNUMBER(F137),F137-E137,"n/a"),"n/a")</f>
        <v>0</v>
      </c>
      <c r="H137" s="50" t="n">
        <v>0.050000001</v>
      </c>
      <c r="I137" s="43" t="str">
        <f aca="false">IFERROR(IF(ISNUMBER(F137),IF(ABS(F137-E137)&lt;=H137,"PASS","FAIL"),"FAIL"),"FAIL")</f>
        <v>PASS</v>
      </c>
    </row>
    <row r="138" customFormat="false" ht="15" hidden="false" customHeight="false" outlineLevel="0" collapsed="false">
      <c r="B138" s="44" t="n">
        <v>129</v>
      </c>
      <c r="C138" s="9" t="s">
        <v>443</v>
      </c>
      <c r="D138" s="9" t="s">
        <v>563</v>
      </c>
      <c r="E138" s="11" t="n">
        <v>0.35</v>
      </c>
      <c r="F138" s="25" t="n">
        <f aca="false">Assumptions!$D$94</f>
        <v>0.35</v>
      </c>
      <c r="G138" s="49" t="n">
        <f aca="false">IFERROR(IF(ISNUMBER(F138),F138-E138,"n/a"),"n/a")</f>
        <v>0</v>
      </c>
      <c r="H138" s="50" t="n">
        <v>0.005000001</v>
      </c>
      <c r="I138" s="43" t="str">
        <f aca="false">IFERROR(IF(ISNUMBER(F138),IF(ABS(F138-E138)&lt;=H138,"PASS","FAIL"),"FAIL"),"FAIL")</f>
        <v>PASS</v>
      </c>
    </row>
    <row r="139" customFormat="false" ht="15" hidden="false" customHeight="false" outlineLevel="0" collapsed="false">
      <c r="B139" s="44" t="n">
        <v>130</v>
      </c>
      <c r="C139" s="9" t="s">
        <v>443</v>
      </c>
      <c r="D139" s="9" t="s">
        <v>564</v>
      </c>
      <c r="E139" s="52" t="n">
        <v>9</v>
      </c>
      <c r="F139" s="53" t="n">
        <f aca="false">Assumptions!$D$131</f>
        <v>9</v>
      </c>
      <c r="G139" s="49" t="n">
        <f aca="false">IFERROR(IF(ISNUMBER(F139),F139-E139,"n/a"),"n/a")</f>
        <v>0</v>
      </c>
      <c r="H139" s="50" t="n">
        <v>0.050000001</v>
      </c>
      <c r="I139" s="43" t="str">
        <f aca="false">IFERROR(IF(ISNUMBER(F139),IF(ABS(F139-E139)&lt;=H139,"PASS","FAIL"),"FAIL"),"FAIL")</f>
        <v>PASS</v>
      </c>
    </row>
    <row r="140" customFormat="false" ht="15" hidden="false" customHeight="false" outlineLevel="0" collapsed="false">
      <c r="B140" s="44" t="n">
        <v>131</v>
      </c>
      <c r="C140" s="9" t="s">
        <v>443</v>
      </c>
      <c r="D140" s="9" t="s">
        <v>565</v>
      </c>
      <c r="E140" s="21" t="n">
        <v>0.015</v>
      </c>
      <c r="F140" s="20" t="n">
        <f aca="false">Assumptions!$D$132</f>
        <v>0.015</v>
      </c>
      <c r="G140" s="49" t="n">
        <f aca="false">IFERROR(IF(ISNUMBER(F140),F140-E140,"n/a"),"n/a")</f>
        <v>0</v>
      </c>
      <c r="H140" s="50" t="n">
        <v>0.000500001</v>
      </c>
      <c r="I140" s="43" t="str">
        <f aca="false">IFERROR(IF(ISNUMBER(F140),IF(ABS(F140-E140)&lt;=H140,"PASS","FAIL"),"FAIL"),"FAIL")</f>
        <v>PASS</v>
      </c>
    </row>
    <row r="141" customFormat="false" ht="15" hidden="false" customHeight="false" outlineLevel="0" collapsed="false">
      <c r="B141" s="44" t="n">
        <v>132</v>
      </c>
      <c r="C141" s="9" t="s">
        <v>443</v>
      </c>
      <c r="D141" s="9" t="s">
        <v>566</v>
      </c>
      <c r="E141" s="52" t="n">
        <v>9</v>
      </c>
      <c r="F141" s="53" t="n">
        <f aca="false">Assumptions!$D$131</f>
        <v>9</v>
      </c>
      <c r="G141" s="49" t="n">
        <f aca="false">IFERROR(IF(ISNUMBER(F141),F141-E141,"n/a"),"n/a")</f>
        <v>0</v>
      </c>
      <c r="H141" s="50" t="n">
        <v>0.050000001</v>
      </c>
      <c r="I141" s="43" t="str">
        <f aca="false">IFERROR(IF(ISNUMBER(F141),IF(ABS(F141-E141)&lt;=H141,"PASS","FAIL"),"FAIL"),"FAIL")</f>
        <v>PASS</v>
      </c>
    </row>
    <row r="142" customFormat="false" ht="15" hidden="false" customHeight="false" outlineLevel="0" collapsed="false">
      <c r="B142" s="44" t="n">
        <v>133</v>
      </c>
      <c r="C142" s="9" t="s">
        <v>443</v>
      </c>
      <c r="D142" s="9" t="s">
        <v>567</v>
      </c>
      <c r="E142" s="54" t="n">
        <v>4.25</v>
      </c>
      <c r="F142" s="55" t="n">
        <f aca="false">Assumptions!$I$169</f>
        <v>4.25</v>
      </c>
      <c r="G142" s="49" t="n">
        <f aca="false">IFERROR(IF(ISNUMBER(F142),F142-E142,"n/a"),"n/a")</f>
        <v>0</v>
      </c>
      <c r="H142" s="50" t="n">
        <v>0.005000001</v>
      </c>
      <c r="I142" s="43" t="str">
        <f aca="false">IFERROR(IF(ISNUMBER(F142),IF(ABS(F142-E142)&lt;=H142,"PASS","FAIL"),"FAIL"),"FAIL")</f>
        <v>PASS</v>
      </c>
    </row>
    <row r="143" customFormat="false" ht="15" hidden="false" customHeight="false" outlineLevel="0" collapsed="false">
      <c r="B143" s="44" t="n">
        <v>134</v>
      </c>
      <c r="C143" s="9" t="s">
        <v>443</v>
      </c>
      <c r="D143" s="9" t="s">
        <v>568</v>
      </c>
      <c r="E143" s="54" t="n">
        <v>4.75</v>
      </c>
      <c r="F143" s="55" t="n">
        <f aca="false">Assumptions!$H$169</f>
        <v>4.75</v>
      </c>
      <c r="G143" s="49" t="n">
        <f aca="false">IFERROR(IF(ISNUMBER(F143),F143-E143,"n/a"),"n/a")</f>
        <v>0</v>
      </c>
      <c r="H143" s="50" t="n">
        <v>0.005000001</v>
      </c>
      <c r="I143" s="43" t="str">
        <f aca="false">IFERROR(IF(ISNUMBER(F143),IF(ABS(F143-E143)&lt;=H143,"PASS","FAIL"),"FAIL"),"FAIL")</f>
        <v>PASS</v>
      </c>
    </row>
    <row r="144" customFormat="false" ht="15" hidden="false" customHeight="false" outlineLevel="0" collapsed="false">
      <c r="B144" s="44" t="n">
        <v>135</v>
      </c>
      <c r="C144" s="9" t="s">
        <v>443</v>
      </c>
      <c r="D144" s="9" t="s">
        <v>569</v>
      </c>
      <c r="E144" s="21" t="n">
        <v>-0.03</v>
      </c>
      <c r="F144" s="20" t="n">
        <f aca="false">Assumptions!$H$167</f>
        <v>-0.03</v>
      </c>
      <c r="G144" s="49" t="n">
        <f aca="false">IFERROR(IF(ISNUMBER(F144),F144-E144,"n/a"),"n/a")</f>
        <v>0</v>
      </c>
      <c r="H144" s="50" t="n">
        <v>0.000500001</v>
      </c>
      <c r="I144" s="43" t="str">
        <f aca="false">IFERROR(IF(ISNUMBER(F144),IF(ABS(F144-E144)&lt;=H144,"PASS","FAIL"),"FAIL"),"FAIL")</f>
        <v>PASS</v>
      </c>
    </row>
    <row r="145" customFormat="false" ht="15" hidden="false" customHeight="false" outlineLevel="0" collapsed="false">
      <c r="B145" s="44" t="n">
        <v>136</v>
      </c>
      <c r="C145" s="9" t="s">
        <v>443</v>
      </c>
      <c r="D145" s="9" t="s">
        <v>570</v>
      </c>
      <c r="E145" s="21" t="n">
        <v>-0.01</v>
      </c>
      <c r="F145" s="20" t="n">
        <f aca="false">Assumptions!$I$167</f>
        <v>-0.01</v>
      </c>
      <c r="G145" s="49" t="n">
        <f aca="false">IFERROR(IF(ISNUMBER(F145),F145-E145,"n/a"),"n/a")</f>
        <v>0</v>
      </c>
      <c r="H145" s="50" t="n">
        <v>0.000500001</v>
      </c>
      <c r="I145" s="43" t="str">
        <f aca="false">IFERROR(IF(ISNUMBER(F145),IF(ABS(F145-E145)&lt;=H145,"PASS","FAIL"),"FAIL"),"FAIL")</f>
        <v>PASS</v>
      </c>
    </row>
    <row r="146" customFormat="false" ht="15" hidden="false" customHeight="false" outlineLevel="0" collapsed="false">
      <c r="B146" s="44" t="n">
        <v>137</v>
      </c>
      <c r="C146" s="9" t="s">
        <v>443</v>
      </c>
      <c r="D146" s="9" t="s">
        <v>571</v>
      </c>
      <c r="E146" s="52" t="n">
        <v>10</v>
      </c>
      <c r="F146" s="53" t="n">
        <f aca="false">Assumptions!$D$107</f>
        <v>10</v>
      </c>
      <c r="G146" s="49" t="n">
        <f aca="false">IFERROR(IF(ISNUMBER(F146),F146-E146,"n/a"),"n/a")</f>
        <v>0</v>
      </c>
      <c r="H146" s="50" t="n">
        <v>0.050000001</v>
      </c>
      <c r="I146" s="43" t="str">
        <f aca="false">IFERROR(IF(ISNUMBER(F146),IF(ABS(F146-E146)&lt;=H146,"PASS","FAIL"),"FAIL"),"FAIL")</f>
        <v>PASS</v>
      </c>
    </row>
    <row r="147" customFormat="false" ht="15" hidden="false" customHeight="false" outlineLevel="0" collapsed="false">
      <c r="B147" s="44" t="n">
        <v>138</v>
      </c>
      <c r="C147" s="9" t="s">
        <v>443</v>
      </c>
      <c r="D147" s="9" t="s">
        <v>572</v>
      </c>
      <c r="E147" s="52" t="n">
        <v>2.5</v>
      </c>
      <c r="F147" s="53" t="n">
        <f aca="false">Assumptions!$D$17</f>
        <v>2.5</v>
      </c>
      <c r="G147" s="49" t="n">
        <f aca="false">IFERROR(IF(ISNUMBER(F147),F147-E147,"n/a"),"n/a")</f>
        <v>0</v>
      </c>
      <c r="H147" s="50" t="n">
        <v>0.050000001</v>
      </c>
      <c r="I147" s="43" t="str">
        <f aca="false">IFERROR(IF(ISNUMBER(F147),IF(ABS(F147-E147)&lt;=H147,"PASS","FAIL"),"FAIL"),"FAIL")</f>
        <v>PASS</v>
      </c>
    </row>
    <row r="148" customFormat="false" ht="15" hidden="false" customHeight="false" outlineLevel="0" collapsed="false">
      <c r="B148" s="44" t="n">
        <v>139</v>
      </c>
      <c r="C148" s="9" t="s">
        <v>443</v>
      </c>
      <c r="D148" s="9" t="s">
        <v>573</v>
      </c>
      <c r="E148" s="52" t="n">
        <v>2.5</v>
      </c>
      <c r="F148" s="53" t="n">
        <f aca="false">Assumptions!$E$17</f>
        <v>2.5</v>
      </c>
      <c r="G148" s="49" t="n">
        <f aca="false">IFERROR(IF(ISNUMBER(F148),F148-E148,"n/a"),"n/a")</f>
        <v>0</v>
      </c>
      <c r="H148" s="50" t="n">
        <v>0.050000001</v>
      </c>
      <c r="I148" s="43" t="str">
        <f aca="false">IFERROR(IF(ISNUMBER(F148),IF(ABS(F148-E148)&lt;=H148,"PASS","FAIL"),"FAIL"),"FAIL")</f>
        <v>PASS</v>
      </c>
    </row>
    <row r="149" customFormat="false" ht="15" hidden="false" customHeight="false" outlineLevel="0" collapsed="false">
      <c r="B149" s="44" t="n">
        <v>140</v>
      </c>
      <c r="C149" s="9" t="s">
        <v>443</v>
      </c>
      <c r="D149" s="9" t="s">
        <v>574</v>
      </c>
      <c r="E149" s="52" t="n">
        <v>1</v>
      </c>
      <c r="F149" s="53" t="n">
        <f aca="false">Assumptions!$D$18</f>
        <v>1</v>
      </c>
      <c r="G149" s="49" t="n">
        <f aca="false">IFERROR(IF(ISNUMBER(F149),F149-E149,"n/a"),"n/a")</f>
        <v>0</v>
      </c>
      <c r="H149" s="50" t="n">
        <v>0.050000001</v>
      </c>
      <c r="I149" s="43" t="str">
        <f aca="false">IFERROR(IF(ISNUMBER(F149),IF(ABS(F149-E149)&lt;=H149,"PASS","FAIL"),"FAIL"),"FAIL")</f>
        <v>PASS</v>
      </c>
    </row>
    <row r="150" customFormat="false" ht="15" hidden="false" customHeight="false" outlineLevel="0" collapsed="false">
      <c r="B150" s="44" t="n">
        <v>141</v>
      </c>
      <c r="C150" s="9" t="s">
        <v>443</v>
      </c>
      <c r="D150" s="9" t="s">
        <v>575</v>
      </c>
      <c r="E150" s="52" t="n">
        <v>1</v>
      </c>
      <c r="F150" s="53" t="n">
        <f aca="false">Assumptions!$E$18</f>
        <v>1</v>
      </c>
      <c r="G150" s="49" t="n">
        <f aca="false">IFERROR(IF(ISNUMBER(F150),F150-E150,"n/a"),"n/a")</f>
        <v>0</v>
      </c>
      <c r="H150" s="50" t="n">
        <v>0.050000001</v>
      </c>
      <c r="I150" s="43" t="str">
        <f aca="false">IFERROR(IF(ISNUMBER(F150),IF(ABS(F150-E150)&lt;=H150,"PASS","FAIL"),"FAIL"),"FAIL")</f>
        <v>PASS</v>
      </c>
    </row>
    <row r="151" customFormat="false" ht="15" hidden="false" customHeight="false" outlineLevel="0" collapsed="false">
      <c r="B151" s="44" t="n">
        <v>142</v>
      </c>
      <c r="C151" s="9" t="s">
        <v>443</v>
      </c>
      <c r="D151" s="9" t="s">
        <v>576</v>
      </c>
      <c r="E151" s="52" t="n">
        <v>3</v>
      </c>
      <c r="F151" s="53" t="n">
        <f aca="false">Assumptions!$D$19</f>
        <v>3</v>
      </c>
      <c r="G151" s="49" t="n">
        <f aca="false">IFERROR(IF(ISNUMBER(F151),F151-E151,"n/a"),"n/a")</f>
        <v>0</v>
      </c>
      <c r="H151" s="50" t="n">
        <v>0.050000001</v>
      </c>
      <c r="I151" s="43" t="str">
        <f aca="false">IFERROR(IF(ISNUMBER(F151),IF(ABS(F151-E151)&lt;=H151,"PASS","FAIL"),"FAIL"),"FAIL")</f>
        <v>PASS</v>
      </c>
    </row>
    <row r="152" customFormat="false" ht="15" hidden="false" customHeight="false" outlineLevel="0" collapsed="false">
      <c r="B152" s="44" t="n">
        <v>143</v>
      </c>
      <c r="C152" s="9" t="s">
        <v>443</v>
      </c>
      <c r="D152" s="9" t="s">
        <v>577</v>
      </c>
      <c r="E152" s="52" t="n">
        <v>0</v>
      </c>
      <c r="F152" s="53" t="n">
        <f aca="false">Assumptions!$E$19</f>
        <v>0</v>
      </c>
      <c r="G152" s="49" t="n">
        <f aca="false">IFERROR(IF(ISNUMBER(F152),F152-E152,"n/a"),"n/a")</f>
        <v>0</v>
      </c>
      <c r="H152" s="50" t="n">
        <v>0.050000001</v>
      </c>
      <c r="I152" s="43" t="str">
        <f aca="false">IFERROR(IF(ISNUMBER(F152),IF(ABS(F152-E152)&lt;=H152,"PASS","FAIL"),"FAIL"),"FAIL")</f>
        <v>PASS</v>
      </c>
    </row>
    <row r="153" customFormat="false" ht="15" hidden="false" customHeight="false" outlineLevel="0" collapsed="false">
      <c r="B153" s="44" t="n">
        <v>144</v>
      </c>
      <c r="C153" s="9" t="s">
        <v>443</v>
      </c>
      <c r="D153" s="9" t="s">
        <v>578</v>
      </c>
      <c r="E153" s="52" t="n">
        <v>2</v>
      </c>
      <c r="F153" s="53" t="n">
        <f aca="false">Assumptions!$D$20</f>
        <v>2</v>
      </c>
      <c r="G153" s="49" t="n">
        <f aca="false">IFERROR(IF(ISNUMBER(F153),F153-E153,"n/a"),"n/a")</f>
        <v>0</v>
      </c>
      <c r="H153" s="50" t="n">
        <v>0.050000001</v>
      </c>
      <c r="I153" s="43" t="str">
        <f aca="false">IFERROR(IF(ISNUMBER(F153),IF(ABS(F153-E153)&lt;=H153,"PASS","FAIL"),"FAIL"),"FAIL")</f>
        <v>PASS</v>
      </c>
    </row>
    <row r="154" customFormat="false" ht="15" hidden="false" customHeight="false" outlineLevel="0" collapsed="false">
      <c r="B154" s="44" t="n">
        <v>145</v>
      </c>
      <c r="C154" s="9" t="s">
        <v>443</v>
      </c>
      <c r="D154" s="9" t="s">
        <v>579</v>
      </c>
      <c r="E154" s="52" t="n">
        <v>0</v>
      </c>
      <c r="F154" s="53" t="n">
        <f aca="false">Assumptions!$E$20</f>
        <v>0</v>
      </c>
      <c r="G154" s="49" t="n">
        <f aca="false">IFERROR(IF(ISNUMBER(F154),F154-E154,"n/a"),"n/a")</f>
        <v>0</v>
      </c>
      <c r="H154" s="50" t="n">
        <v>0.050000001</v>
      </c>
      <c r="I154" s="43" t="str">
        <f aca="false">IFERROR(IF(ISNUMBER(F154),IF(ABS(F154-E154)&lt;=H154,"PASS","FAIL"),"FAIL"),"FAIL")</f>
        <v>PASS</v>
      </c>
    </row>
    <row r="155" customFormat="false" ht="15" hidden="false" customHeight="false" outlineLevel="0" collapsed="false">
      <c r="B155" s="44" t="n">
        <v>146</v>
      </c>
      <c r="C155" s="9" t="s">
        <v>443</v>
      </c>
      <c r="D155" s="9" t="s">
        <v>580</v>
      </c>
      <c r="E155" s="52" t="n">
        <v>10.6</v>
      </c>
      <c r="F155" s="53" t="n">
        <f aca="false">Assumptions!$D$46</f>
        <v>10.6</v>
      </c>
      <c r="G155" s="49" t="n">
        <f aca="false">IFERROR(IF(ISNUMBER(F155),F155-E155,"n/a"),"n/a")</f>
        <v>0</v>
      </c>
      <c r="H155" s="50" t="n">
        <v>0.050000001</v>
      </c>
      <c r="I155" s="43" t="str">
        <f aca="false">IFERROR(IF(ISNUMBER(F155),IF(ABS(F155-E155)&lt;=H155,"PASS","FAIL"),"FAIL"),"FAIL")</f>
        <v>PASS</v>
      </c>
    </row>
    <row r="156" customFormat="false" ht="15" hidden="false" customHeight="false" outlineLevel="0" collapsed="false">
      <c r="B156" s="44" t="n">
        <v>147</v>
      </c>
      <c r="C156" s="9" t="s">
        <v>443</v>
      </c>
      <c r="D156" s="9" t="s">
        <v>581</v>
      </c>
      <c r="E156" s="52" t="n">
        <v>9.4</v>
      </c>
      <c r="F156" s="53" t="n">
        <f aca="false">Assumptions!$D$47</f>
        <v>9.4</v>
      </c>
      <c r="G156" s="49" t="n">
        <f aca="false">IFERROR(IF(ISNUMBER(F156),F156-E156,"n/a"),"n/a")</f>
        <v>0</v>
      </c>
      <c r="H156" s="50" t="n">
        <v>0.050000001</v>
      </c>
      <c r="I156" s="43" t="str">
        <f aca="false">IFERROR(IF(ISNUMBER(F156),IF(ABS(F156-E156)&lt;=H156,"PASS","FAIL"),"FAIL"),"FAIL")</f>
        <v>PASS</v>
      </c>
    </row>
    <row r="157" customFormat="false" ht="15" hidden="false" customHeight="false" outlineLevel="0" collapsed="false">
      <c r="B157" s="44" t="n">
        <v>148</v>
      </c>
      <c r="C157" s="9" t="s">
        <v>443</v>
      </c>
      <c r="D157" s="9" t="s">
        <v>582</v>
      </c>
      <c r="E157" s="52" t="n">
        <v>8.2</v>
      </c>
      <c r="F157" s="53" t="n">
        <f aca="false">Assumptions!$D$48</f>
        <v>8.2</v>
      </c>
      <c r="G157" s="49" t="n">
        <f aca="false">IFERROR(IF(ISNUMBER(F157),F157-E157,"n/a"),"n/a")</f>
        <v>0</v>
      </c>
      <c r="H157" s="50" t="n">
        <v>0.050000001</v>
      </c>
      <c r="I157" s="43" t="str">
        <f aca="false">IFERROR(IF(ISNUMBER(F157),IF(ABS(F157-E157)&lt;=H157,"PASS","FAIL"),"FAIL"),"FAIL")</f>
        <v>PASS</v>
      </c>
    </row>
    <row r="158" customFormat="false" ht="15" hidden="false" customHeight="false" outlineLevel="0" collapsed="false">
      <c r="B158" s="44" t="n">
        <v>149</v>
      </c>
      <c r="C158" s="9" t="s">
        <v>443</v>
      </c>
      <c r="D158" s="9" t="s">
        <v>583</v>
      </c>
      <c r="E158" s="52" t="n">
        <v>10.1</v>
      </c>
      <c r="F158" s="53" t="n">
        <f aca="false">Assumptions!$D$49</f>
        <v>10.1</v>
      </c>
      <c r="G158" s="49" t="n">
        <f aca="false">IFERROR(IF(ISNUMBER(F158),F158-E158,"n/a"),"n/a")</f>
        <v>0</v>
      </c>
      <c r="H158" s="50" t="n">
        <v>0.050000001</v>
      </c>
      <c r="I158" s="43" t="str">
        <f aca="false">IFERROR(IF(ISNUMBER(F158),IF(ABS(F158-E158)&lt;=H158,"PASS","FAIL"),"FAIL"),"FAIL")</f>
        <v>PASS</v>
      </c>
    </row>
    <row r="159" customFormat="false" ht="15" hidden="false" customHeight="false" outlineLevel="0" collapsed="false">
      <c r="B159" s="44" t="n">
        <v>150</v>
      </c>
      <c r="C159" s="9" t="s">
        <v>443</v>
      </c>
      <c r="D159" s="9" t="s">
        <v>584</v>
      </c>
      <c r="E159" s="52" t="n">
        <v>8.8</v>
      </c>
      <c r="F159" s="53" t="n">
        <f aca="false">Assumptions!$D$50</f>
        <v>8.8</v>
      </c>
      <c r="G159" s="49" t="n">
        <f aca="false">IFERROR(IF(ISNUMBER(F159),F159-E159,"n/a"),"n/a")</f>
        <v>0</v>
      </c>
      <c r="H159" s="50" t="n">
        <v>0.050000001</v>
      </c>
      <c r="I159" s="43" t="str">
        <f aca="false">IFERROR(IF(ISNUMBER(F159),IF(ABS(F159-E159)&lt;=H159,"PASS","FAIL"),"FAIL"),"FAIL")</f>
        <v>PASS</v>
      </c>
    </row>
    <row r="160" customFormat="false" ht="15" hidden="false" customHeight="false" outlineLevel="0" collapsed="false">
      <c r="B160" s="44" t="n">
        <v>151</v>
      </c>
      <c r="C160" s="9" t="s">
        <v>443</v>
      </c>
      <c r="D160" s="9" t="s">
        <v>585</v>
      </c>
      <c r="E160" s="52" t="n">
        <v>9.6</v>
      </c>
      <c r="F160" s="53" t="n">
        <f aca="false">Assumptions!$D$55</f>
        <v>9.6</v>
      </c>
      <c r="G160" s="49" t="n">
        <f aca="false">IFERROR(IF(ISNUMBER(F160),F160-E160,"n/a"),"n/a")</f>
        <v>0</v>
      </c>
      <c r="H160" s="50" t="n">
        <v>0.050000001</v>
      </c>
      <c r="I160" s="43" t="str">
        <f aca="false">IFERROR(IF(ISNUMBER(F160),IF(ABS(F160-E160)&lt;=H160,"PASS","FAIL"),"FAIL"),"FAIL")</f>
        <v>PASS</v>
      </c>
    </row>
    <row r="161" customFormat="false" ht="15" hidden="false" customHeight="false" outlineLevel="0" collapsed="false">
      <c r="B161" s="44" t="n">
        <v>152</v>
      </c>
      <c r="C161" s="9" t="s">
        <v>443</v>
      </c>
      <c r="D161" s="9" t="s">
        <v>586</v>
      </c>
      <c r="E161" s="52" t="n">
        <v>8.5</v>
      </c>
      <c r="F161" s="53" t="n">
        <f aca="false">Assumptions!$D$56</f>
        <v>8.5</v>
      </c>
      <c r="G161" s="49" t="n">
        <f aca="false">IFERROR(IF(ISNUMBER(F161),F161-E161,"n/a"),"n/a")</f>
        <v>0</v>
      </c>
      <c r="H161" s="50" t="n">
        <v>0.050000001</v>
      </c>
      <c r="I161" s="43" t="str">
        <f aca="false">IFERROR(IF(ISNUMBER(F161),IF(ABS(F161-E161)&lt;=H161,"PASS","FAIL"),"FAIL"),"FAIL")</f>
        <v>PASS</v>
      </c>
    </row>
    <row r="162" customFormat="false" ht="15" hidden="false" customHeight="false" outlineLevel="0" collapsed="false">
      <c r="B162" s="44" t="n">
        <v>153</v>
      </c>
      <c r="C162" s="9" t="s">
        <v>443</v>
      </c>
      <c r="D162" s="9" t="s">
        <v>587</v>
      </c>
      <c r="E162" s="52" t="n">
        <v>10</v>
      </c>
      <c r="F162" s="53" t="n">
        <f aca="false">Assumptions!$D$57</f>
        <v>10</v>
      </c>
      <c r="G162" s="49" t="n">
        <f aca="false">IFERROR(IF(ISNUMBER(F162),F162-E162,"n/a"),"n/a")</f>
        <v>0</v>
      </c>
      <c r="H162" s="50" t="n">
        <v>0.050000001</v>
      </c>
      <c r="I162" s="43" t="str">
        <f aca="false">IFERROR(IF(ISNUMBER(F162),IF(ABS(F162-E162)&lt;=H162,"PASS","FAIL"),"FAIL"),"FAIL")</f>
        <v>PASS</v>
      </c>
    </row>
    <row r="163" customFormat="false" ht="15" hidden="false" customHeight="false" outlineLevel="0" collapsed="false">
      <c r="B163" s="44" t="n">
        <v>154</v>
      </c>
      <c r="C163" s="9" t="s">
        <v>443</v>
      </c>
      <c r="D163" s="9" t="s">
        <v>588</v>
      </c>
      <c r="E163" s="52" t="n">
        <v>8.9</v>
      </c>
      <c r="F163" s="53" t="n">
        <f aca="false">Assumptions!$D$58</f>
        <v>8.9</v>
      </c>
      <c r="G163" s="49" t="n">
        <f aca="false">IFERROR(IF(ISNUMBER(F163),F163-E163,"n/a"),"n/a")</f>
        <v>0</v>
      </c>
      <c r="H163" s="50" t="n">
        <v>0.050000001</v>
      </c>
      <c r="I163" s="43" t="str">
        <f aca="false">IFERROR(IF(ISNUMBER(F163),IF(ABS(F163-E163)&lt;=H163,"PASS","FAIL"),"FAIL"),"FAIL")</f>
        <v>PASS</v>
      </c>
    </row>
    <row r="164" customFormat="false" ht="15" hidden="false" customHeight="false" outlineLevel="0" collapsed="false">
      <c r="B164" s="44" t="n">
        <v>155</v>
      </c>
      <c r="C164" s="9" t="s">
        <v>443</v>
      </c>
      <c r="D164" s="9" t="s">
        <v>589</v>
      </c>
      <c r="E164" s="21" t="n">
        <v>0.05</v>
      </c>
      <c r="F164" s="20" t="n">
        <f aca="false">Assumptions!$F$165</f>
        <v>0.05</v>
      </c>
      <c r="G164" s="49" t="n">
        <f aca="false">IFERROR(IF(ISNUMBER(F164),F164-E164,"n/a"),"n/a")</f>
        <v>0</v>
      </c>
      <c r="H164" s="50" t="n">
        <v>0.000500001</v>
      </c>
      <c r="I164" s="43" t="str">
        <f aca="false">IFERROR(IF(ISNUMBER(F164),IF(ABS(F164-E164)&lt;=H164,"PASS","FAIL"),"FAIL"),"FAIL")</f>
        <v>PASS</v>
      </c>
    </row>
    <row r="165" customFormat="false" ht="15" hidden="false" customHeight="false" outlineLevel="0" collapsed="false">
      <c r="B165" s="44" t="n">
        <v>156</v>
      </c>
      <c r="C165" s="9" t="s">
        <v>443</v>
      </c>
      <c r="D165" s="9" t="s">
        <v>590</v>
      </c>
      <c r="E165" s="21" t="n">
        <v>0.06</v>
      </c>
      <c r="F165" s="20" t="n">
        <f aca="false">Assumptions!$G$165</f>
        <v>0.06</v>
      </c>
      <c r="G165" s="49" t="n">
        <f aca="false">IFERROR(IF(ISNUMBER(F165),F165-E165,"n/a"),"n/a")</f>
        <v>0</v>
      </c>
      <c r="H165" s="50" t="n">
        <v>0.000500001</v>
      </c>
      <c r="I165" s="43" t="str">
        <f aca="false">IFERROR(IF(ISNUMBER(F165),IF(ABS(F165-E165)&lt;=H165,"PASS","FAIL"),"FAIL"),"FAIL")</f>
        <v>PASS</v>
      </c>
    </row>
    <row r="166" customFormat="false" ht="15" hidden="false" customHeight="false" outlineLevel="0" collapsed="false">
      <c r="B166" s="44" t="n">
        <v>157</v>
      </c>
      <c r="C166" s="9" t="s">
        <v>443</v>
      </c>
      <c r="D166" s="9" t="s">
        <v>591</v>
      </c>
      <c r="E166" s="21" t="n">
        <v>-0.06</v>
      </c>
      <c r="F166" s="20" t="n">
        <f aca="false">Assumptions!$H$165</f>
        <v>-0.06</v>
      </c>
      <c r="G166" s="49" t="n">
        <f aca="false">IFERROR(IF(ISNUMBER(F166),F166-E166,"n/a"),"n/a")</f>
        <v>0</v>
      </c>
      <c r="H166" s="50" t="n">
        <v>0.000500001</v>
      </c>
      <c r="I166" s="43" t="str">
        <f aca="false">IFERROR(IF(ISNUMBER(F166),IF(ABS(F166-E166)&lt;=H166,"PASS","FAIL"),"FAIL"),"FAIL")</f>
        <v>PASS</v>
      </c>
    </row>
    <row r="167" customFormat="false" ht="15" hidden="false" customHeight="false" outlineLevel="0" collapsed="false">
      <c r="B167" s="44" t="n">
        <v>158</v>
      </c>
      <c r="C167" s="9" t="s">
        <v>443</v>
      </c>
      <c r="D167" s="9" t="s">
        <v>592</v>
      </c>
      <c r="E167" s="21" t="n">
        <v>0.07</v>
      </c>
      <c r="F167" s="20" t="n">
        <f aca="false">Assumptions!$I$165</f>
        <v>0.07</v>
      </c>
      <c r="G167" s="49" t="n">
        <f aca="false">IFERROR(IF(ISNUMBER(F167),F167-E167,"n/a"),"n/a")</f>
        <v>0</v>
      </c>
      <c r="H167" s="50" t="n">
        <v>0.000500001</v>
      </c>
      <c r="I167" s="43" t="str">
        <f aca="false">IFERROR(IF(ISNUMBER(F167),IF(ABS(F167-E167)&lt;=H167,"PASS","FAIL"),"FAIL"),"FAIL")</f>
        <v>PASS</v>
      </c>
    </row>
    <row r="168" customFormat="false" ht="15" hidden="false" customHeight="false" outlineLevel="0" collapsed="false">
      <c r="B168" s="44" t="n">
        <v>159</v>
      </c>
      <c r="C168" s="9" t="s">
        <v>443</v>
      </c>
      <c r="D168" s="9" t="s">
        <v>593</v>
      </c>
      <c r="E168" s="21" t="n">
        <v>0.05</v>
      </c>
      <c r="F168" s="20" t="n">
        <f aca="false">Assumptions!$J$165</f>
        <v>0.05</v>
      </c>
      <c r="G168" s="49" t="n">
        <f aca="false">IFERROR(IF(ISNUMBER(F168),F168-E168,"n/a"),"n/a")</f>
        <v>0</v>
      </c>
      <c r="H168" s="50" t="n">
        <v>0.000500001</v>
      </c>
      <c r="I168" s="43" t="str">
        <f aca="false">IFERROR(IF(ISNUMBER(F168),IF(ABS(F168-E168)&lt;=H168,"PASS","FAIL"),"FAIL"),"FAIL")</f>
        <v>PASS</v>
      </c>
    </row>
    <row r="169" customFormat="false" ht="15" hidden="false" customHeight="false" outlineLevel="0" collapsed="false">
      <c r="B169" s="44" t="n">
        <v>160</v>
      </c>
      <c r="C169" s="9" t="s">
        <v>443</v>
      </c>
      <c r="D169" s="9" t="s">
        <v>594</v>
      </c>
      <c r="E169" s="21" t="n">
        <v>0.04</v>
      </c>
      <c r="F169" s="20" t="n">
        <f aca="false">Assumptions!$K$165</f>
        <v>0.04</v>
      </c>
      <c r="G169" s="49" t="n">
        <f aca="false">IFERROR(IF(ISNUMBER(F169),F169-E169,"n/a"),"n/a")</f>
        <v>0</v>
      </c>
      <c r="H169" s="50" t="n">
        <v>0.000500001</v>
      </c>
      <c r="I169" s="43" t="str">
        <f aca="false">IFERROR(IF(ISNUMBER(F169),IF(ABS(F169-E169)&lt;=H169,"PASS","FAIL"),"FAIL"),"FAIL")</f>
        <v>PASS</v>
      </c>
    </row>
    <row r="170" customFormat="false" ht="15" hidden="false" customHeight="false" outlineLevel="0" collapsed="false">
      <c r="B170" s="44" t="n">
        <v>161</v>
      </c>
      <c r="C170" s="9" t="s">
        <v>443</v>
      </c>
      <c r="D170" s="9" t="s">
        <v>595</v>
      </c>
      <c r="E170" s="21" t="n">
        <v>0.04</v>
      </c>
      <c r="F170" s="20" t="n">
        <f aca="false">Assumptions!$L$165</f>
        <v>0.04</v>
      </c>
      <c r="G170" s="49" t="n">
        <f aca="false">IFERROR(IF(ISNUMBER(F170),F170-E170,"n/a"),"n/a")</f>
        <v>0</v>
      </c>
      <c r="H170" s="50" t="n">
        <v>0.000500001</v>
      </c>
      <c r="I170" s="43" t="str">
        <f aca="false">IFERROR(IF(ISNUMBER(F170),IF(ABS(F170-E170)&lt;=H170,"PASS","FAIL"),"FAIL"),"FAIL")</f>
        <v>PASS</v>
      </c>
    </row>
    <row r="171" customFormat="false" ht="15" hidden="false" customHeight="false" outlineLevel="0" collapsed="false">
      <c r="B171" s="44" t="n">
        <v>162</v>
      </c>
      <c r="C171" s="9" t="s">
        <v>443</v>
      </c>
      <c r="D171" s="9" t="s">
        <v>596</v>
      </c>
      <c r="E171" s="31" t="n">
        <v>0.00625</v>
      </c>
      <c r="F171" s="56" t="n">
        <f aca="false">Assumptions!$F$166</f>
        <v>0.00625</v>
      </c>
      <c r="G171" s="49" t="n">
        <f aca="false">IFERROR(IF(ISNUMBER(F171),F171-E171,"n/a"),"n/a")</f>
        <v>0</v>
      </c>
      <c r="H171" s="50" t="n">
        <v>5.001E-006</v>
      </c>
      <c r="I171" s="43" t="str">
        <f aca="false">IFERROR(IF(ISNUMBER(F171),IF(ABS(F171-E171)&lt;=H171,"PASS","FAIL"),"FAIL"),"FAIL")</f>
        <v>PASS</v>
      </c>
    </row>
    <row r="172" customFormat="false" ht="15" hidden="false" customHeight="false" outlineLevel="0" collapsed="false">
      <c r="B172" s="44" t="n">
        <v>163</v>
      </c>
      <c r="C172" s="9" t="s">
        <v>443</v>
      </c>
      <c r="D172" s="9" t="s">
        <v>597</v>
      </c>
      <c r="E172" s="31" t="n">
        <v>0.01375</v>
      </c>
      <c r="F172" s="56" t="n">
        <f aca="false">Assumptions!$G$166</f>
        <v>0.01375</v>
      </c>
      <c r="G172" s="49" t="n">
        <f aca="false">IFERROR(IF(ISNUMBER(F172),F172-E172,"n/a"),"n/a")</f>
        <v>0</v>
      </c>
      <c r="H172" s="50" t="n">
        <v>5.001E-006</v>
      </c>
      <c r="I172" s="43" t="str">
        <f aca="false">IFERROR(IF(ISNUMBER(F172),IF(ABS(F172-E172)&lt;=H172,"PASS","FAIL"),"FAIL"),"FAIL")</f>
        <v>PASS</v>
      </c>
    </row>
    <row r="173" customFormat="false" ht="15" hidden="false" customHeight="false" outlineLevel="0" collapsed="false">
      <c r="B173" s="44" t="n">
        <v>164</v>
      </c>
      <c r="C173" s="9" t="s">
        <v>443</v>
      </c>
      <c r="D173" s="9" t="s">
        <v>598</v>
      </c>
      <c r="E173" s="31" t="n">
        <v>0.01875</v>
      </c>
      <c r="F173" s="56" t="n">
        <f aca="false">Assumptions!$H$166</f>
        <v>0.01875</v>
      </c>
      <c r="G173" s="49" t="n">
        <f aca="false">IFERROR(IF(ISNUMBER(F173),F173-E173,"n/a"),"n/a")</f>
        <v>0</v>
      </c>
      <c r="H173" s="50" t="n">
        <v>5.001E-006</v>
      </c>
      <c r="I173" s="43" t="str">
        <f aca="false">IFERROR(IF(ISNUMBER(F173),IF(ABS(F173-E173)&lt;=H173,"PASS","FAIL"),"FAIL"),"FAIL")</f>
        <v>PASS</v>
      </c>
    </row>
    <row r="174" customFormat="false" ht="15" hidden="false" customHeight="false" outlineLevel="0" collapsed="false">
      <c r="B174" s="44" t="n">
        <v>165</v>
      </c>
      <c r="C174" s="9" t="s">
        <v>443</v>
      </c>
      <c r="D174" s="9" t="s">
        <v>599</v>
      </c>
      <c r="E174" s="54" t="n">
        <v>5.75</v>
      </c>
      <c r="F174" s="55" t="n">
        <f aca="false">Assumptions!$F$169</f>
        <v>5.75</v>
      </c>
      <c r="G174" s="49" t="n">
        <f aca="false">IFERROR(IF(ISNUMBER(F174),F174-E174,"n/a"),"n/a")</f>
        <v>0</v>
      </c>
      <c r="H174" s="50" t="n">
        <v>0.005000001</v>
      </c>
      <c r="I174" s="43" t="str">
        <f aca="false">IFERROR(IF(ISNUMBER(F174),IF(ABS(F174-E174)&lt;=H174,"PASS","FAIL"),"FAIL"),"FAIL")</f>
        <v>PASS</v>
      </c>
    </row>
    <row r="175" customFormat="false" ht="15" hidden="false" customHeight="false" outlineLevel="0" collapsed="false">
      <c r="B175" s="44" t="n">
        <v>166</v>
      </c>
      <c r="C175" s="9" t="s">
        <v>443</v>
      </c>
      <c r="D175" s="9" t="s">
        <v>600</v>
      </c>
      <c r="E175" s="54" t="n">
        <v>5.25</v>
      </c>
      <c r="F175" s="55" t="n">
        <f aca="false">Assumptions!$G$169</f>
        <v>5.25</v>
      </c>
      <c r="G175" s="49" t="n">
        <f aca="false">IFERROR(IF(ISNUMBER(F175),F175-E175,"n/a"),"n/a")</f>
        <v>0</v>
      </c>
      <c r="H175" s="50" t="n">
        <v>0.005000001</v>
      </c>
      <c r="I175" s="43" t="str">
        <f aca="false">IFERROR(IF(ISNUMBER(F175),IF(ABS(F175-E175)&lt;=H175,"PASS","FAIL"),"FAIL"),"FAIL")</f>
        <v>PASS</v>
      </c>
    </row>
    <row r="176" customFormat="false" ht="15" hidden="false" customHeight="false" outlineLevel="0" collapsed="false">
      <c r="B176" s="44" t="n">
        <v>167</v>
      </c>
      <c r="C176" s="9" t="s">
        <v>443</v>
      </c>
      <c r="D176" s="9" t="s">
        <v>601</v>
      </c>
      <c r="E176" s="54" t="n">
        <v>4.75</v>
      </c>
      <c r="F176" s="55" t="n">
        <f aca="false">Assumptions!$H$169</f>
        <v>4.75</v>
      </c>
      <c r="G176" s="49" t="n">
        <f aca="false">IFERROR(IF(ISNUMBER(F176),F176-E176,"n/a"),"n/a")</f>
        <v>0</v>
      </c>
      <c r="H176" s="50" t="n">
        <v>0.005000001</v>
      </c>
      <c r="I176" s="43" t="str">
        <f aca="false">IFERROR(IF(ISNUMBER(F176),IF(ABS(F176-E176)&lt;=H176,"PASS","FAIL"),"FAIL"),"FAIL")</f>
        <v>PASS</v>
      </c>
    </row>
    <row r="177" customFormat="false" ht="15" hidden="false" customHeight="false" outlineLevel="0" collapsed="false">
      <c r="B177" s="44" t="n">
        <v>168</v>
      </c>
      <c r="C177" s="9" t="s">
        <v>443</v>
      </c>
      <c r="D177" s="9" t="s">
        <v>602</v>
      </c>
      <c r="E177" s="54" t="n">
        <v>4.25</v>
      </c>
      <c r="F177" s="55" t="n">
        <f aca="false">Assumptions!$I$169</f>
        <v>4.25</v>
      </c>
      <c r="G177" s="49" t="n">
        <f aca="false">IFERROR(IF(ISNUMBER(F177),F177-E177,"n/a"),"n/a")</f>
        <v>0</v>
      </c>
      <c r="H177" s="50" t="n">
        <v>0.005000001</v>
      </c>
      <c r="I177" s="43" t="str">
        <f aca="false">IFERROR(IF(ISNUMBER(F177),IF(ABS(F177-E177)&lt;=H177,"PASS","FAIL"),"FAIL"),"FAIL")</f>
        <v>PASS</v>
      </c>
    </row>
    <row r="178" customFormat="false" ht="15" hidden="false" customHeight="false" outlineLevel="0" collapsed="false">
      <c r="B178" s="44" t="n">
        <v>169</v>
      </c>
      <c r="C178" s="9" t="s">
        <v>443</v>
      </c>
      <c r="D178" s="9" t="s">
        <v>603</v>
      </c>
      <c r="E178" s="54" t="n">
        <v>4</v>
      </c>
      <c r="F178" s="55" t="n">
        <f aca="false">Assumptions!$J$169</f>
        <v>4</v>
      </c>
      <c r="G178" s="49" t="n">
        <f aca="false">IFERROR(IF(ISNUMBER(F178),F178-E178,"n/a"),"n/a")</f>
        <v>0</v>
      </c>
      <c r="H178" s="50" t="n">
        <v>0.005000001</v>
      </c>
      <c r="I178" s="43" t="str">
        <f aca="false">IFERROR(IF(ISNUMBER(F178),IF(ABS(F178-E178)&lt;=H178,"PASS","FAIL"),"FAIL"),"FAIL")</f>
        <v>PASS</v>
      </c>
    </row>
    <row r="179" customFormat="false" ht="15" hidden="false" customHeight="false" outlineLevel="0" collapsed="false">
      <c r="B179" s="44" t="n">
        <v>170</v>
      </c>
      <c r="C179" s="9" t="s">
        <v>443</v>
      </c>
      <c r="D179" s="9" t="s">
        <v>604</v>
      </c>
      <c r="E179" s="52" t="n">
        <v>1</v>
      </c>
      <c r="F179" s="53" t="n">
        <f aca="false">Assumptions!$H$168</f>
        <v>1</v>
      </c>
      <c r="G179" s="49" t="n">
        <f aca="false">IFERROR(IF(ISNUMBER(F179),F179-E179,"n/a"),"n/a")</f>
        <v>0</v>
      </c>
      <c r="H179" s="50" t="n">
        <v>0.050000001</v>
      </c>
      <c r="I179" s="43" t="str">
        <f aca="false">IFERROR(IF(ISNUMBER(F179),IF(ABS(F179-E179)&lt;=H179,"PASS","FAIL"),"FAIL"),"FAIL")</f>
        <v>PASS</v>
      </c>
    </row>
    <row r="180" customFormat="false" ht="15" hidden="false" customHeight="false" outlineLevel="0" collapsed="false">
      <c r="B180" s="44" t="n">
        <v>171</v>
      </c>
      <c r="C180" s="9" t="s">
        <v>443</v>
      </c>
      <c r="D180" s="9" t="s">
        <v>605</v>
      </c>
      <c r="E180" s="52" t="n">
        <v>2.5</v>
      </c>
      <c r="F180" s="53" t="n">
        <f aca="false">Assumptions!$I$168</f>
        <v>2.5</v>
      </c>
      <c r="G180" s="49" t="n">
        <f aca="false">IFERROR(IF(ISNUMBER(F180),F180-E180,"n/a"),"n/a")</f>
        <v>0</v>
      </c>
      <c r="H180" s="50" t="n">
        <v>0.050000001</v>
      </c>
      <c r="I180" s="43" t="str">
        <f aca="false">IFERROR(IF(ISNUMBER(F180),IF(ABS(F180-E180)&lt;=H180,"PASS","FAIL"),"FAIL"),"FAIL")</f>
        <v>PASS</v>
      </c>
    </row>
    <row r="181" customFormat="false" ht="15" hidden="false" customHeight="false" outlineLevel="0" collapsed="false">
      <c r="B181" s="44" t="n">
        <v>172</v>
      </c>
      <c r="C181" s="9" t="s">
        <v>443</v>
      </c>
      <c r="D181" s="9" t="s">
        <v>606</v>
      </c>
      <c r="E181" s="52" t="n">
        <v>3</v>
      </c>
      <c r="F181" s="53" t="n">
        <f aca="false">Assumptions!$J$168</f>
        <v>3</v>
      </c>
      <c r="G181" s="49" t="n">
        <f aca="false">IFERROR(IF(ISNUMBER(F181),F181-E181,"n/a"),"n/a")</f>
        <v>0</v>
      </c>
      <c r="H181" s="50" t="n">
        <v>0.050000001</v>
      </c>
      <c r="I181" s="43" t="str">
        <f aca="false">IFERROR(IF(ISNUMBER(F181),IF(ABS(F181-E181)&lt;=H181,"PASS","FAIL"),"FAIL"),"FAIL")</f>
        <v>PASS</v>
      </c>
    </row>
    <row r="182" customFormat="false" ht="15" hidden="false" customHeight="false" outlineLevel="0" collapsed="false">
      <c r="B182" s="44" t="n">
        <v>173</v>
      </c>
      <c r="C182" s="9" t="s">
        <v>429</v>
      </c>
      <c r="D182" s="9" t="s">
        <v>607</v>
      </c>
      <c r="E182" s="52" t="n">
        <v>415</v>
      </c>
      <c r="F182" s="53" t="n">
        <f aca="false">Sources_Uses!$D$14</f>
        <v>415</v>
      </c>
      <c r="G182" s="49" t="n">
        <f aca="false">IFERROR(IF(ISNUMBER(F182),F182-E182,"n/a"),"n/a")</f>
        <v>0</v>
      </c>
      <c r="H182" s="50" t="n">
        <v>0.050000001</v>
      </c>
      <c r="I182" s="43" t="str">
        <f aca="false">IFERROR(IF(ISNUMBER(F182),IF(ABS(F182-E182)&lt;=H182,"PASS","FAIL"),"FAIL"),"FAIL")</f>
        <v>PASS</v>
      </c>
    </row>
    <row r="183" customFormat="false" ht="15" hidden="false" customHeight="false" outlineLevel="0" collapsed="false">
      <c r="B183" s="44" t="n">
        <v>174</v>
      </c>
      <c r="C183" s="9" t="s">
        <v>429</v>
      </c>
      <c r="D183" s="9" t="s">
        <v>608</v>
      </c>
      <c r="E183" s="52" t="n">
        <v>35</v>
      </c>
      <c r="F183" s="53" t="n">
        <f aca="false">Sources_Uses!$D$15</f>
        <v>35</v>
      </c>
      <c r="G183" s="49" t="n">
        <f aca="false">IFERROR(IF(ISNUMBER(F183),F183-E183,"n/a"),"n/a")</f>
        <v>0</v>
      </c>
      <c r="H183" s="50" t="n">
        <v>0.050000001</v>
      </c>
      <c r="I183" s="43" t="str">
        <f aca="false">IFERROR(IF(ISNUMBER(F183),IF(ABS(F183-E183)&lt;=H183,"PASS","FAIL"),"FAIL"),"FAIL")</f>
        <v>PASS</v>
      </c>
    </row>
    <row r="184" customFormat="false" ht="15" hidden="false" customHeight="false" outlineLevel="0" collapsed="false">
      <c r="B184" s="44" t="n">
        <v>175</v>
      </c>
      <c r="C184" s="9" t="s">
        <v>429</v>
      </c>
      <c r="D184" s="9" t="s">
        <v>609</v>
      </c>
      <c r="E184" s="52" t="n">
        <v>450</v>
      </c>
      <c r="F184" s="53" t="n">
        <f aca="false">Sources_Uses!$D$7</f>
        <v>450</v>
      </c>
      <c r="G184" s="49" t="n">
        <f aca="false">IFERROR(IF(ISNUMBER(F184),F184-E184,"n/a"),"n/a")</f>
        <v>0</v>
      </c>
      <c r="H184" s="50" t="n">
        <v>0.050000001</v>
      </c>
      <c r="I184" s="43" t="str">
        <f aca="false">IFERROR(IF(ISNUMBER(F184),IF(ABS(F184-E184)&lt;=H184,"PASS","FAIL"),"FAIL"),"FAIL")</f>
        <v>PASS</v>
      </c>
    </row>
    <row r="185" customFormat="false" ht="15" hidden="false" customHeight="false" outlineLevel="0" collapsed="false">
      <c r="B185" s="44" t="n">
        <v>176</v>
      </c>
      <c r="C185" s="9" t="s">
        <v>429</v>
      </c>
      <c r="D185" s="9" t="s">
        <v>610</v>
      </c>
      <c r="E185" s="52" t="n">
        <v>9.5</v>
      </c>
      <c r="F185" s="53" t="n">
        <f aca="false">Sources_Uses!$D$16</f>
        <v>9.5</v>
      </c>
      <c r="G185" s="49" t="n">
        <f aca="false">IFERROR(IF(ISNUMBER(F185),F185-E185,"n/a"),"n/a")</f>
        <v>0</v>
      </c>
      <c r="H185" s="50" t="n">
        <v>0.050000001</v>
      </c>
      <c r="I185" s="43" t="str">
        <f aca="false">IFERROR(IF(ISNUMBER(F185),IF(ABS(F185-E185)&lt;=H185,"PASS","FAIL"),"FAIL"),"FAIL")</f>
        <v>PASS</v>
      </c>
    </row>
    <row r="186" customFormat="false" ht="15" hidden="false" customHeight="false" outlineLevel="0" collapsed="false">
      <c r="B186" s="44" t="n">
        <v>177</v>
      </c>
      <c r="C186" s="9" t="s">
        <v>429</v>
      </c>
      <c r="D186" s="9" t="s">
        <v>611</v>
      </c>
      <c r="E186" s="52" t="n">
        <v>5.5</v>
      </c>
      <c r="F186" s="53" t="n">
        <f aca="false">Sources_Uses!$D$17</f>
        <v>5.5</v>
      </c>
      <c r="G186" s="49" t="n">
        <f aca="false">IFERROR(IF(ISNUMBER(F186),F186-E186,"n/a"),"n/a")</f>
        <v>0</v>
      </c>
      <c r="H186" s="50" t="n">
        <v>0.050000001</v>
      </c>
      <c r="I186" s="43" t="str">
        <f aca="false">IFERROR(IF(ISNUMBER(F186),IF(ABS(F186-E186)&lt;=H186,"PASS","FAIL"),"FAIL"),"FAIL")</f>
        <v>PASS</v>
      </c>
    </row>
    <row r="187" customFormat="false" ht="15" hidden="false" customHeight="false" outlineLevel="0" collapsed="false">
      <c r="B187" s="44" t="n">
        <v>178</v>
      </c>
      <c r="C187" s="9" t="s">
        <v>429</v>
      </c>
      <c r="D187" s="9" t="s">
        <v>612</v>
      </c>
      <c r="E187" s="52" t="n">
        <v>10</v>
      </c>
      <c r="F187" s="53" t="n">
        <f aca="false">Sources_Uses!$D$18</f>
        <v>10</v>
      </c>
      <c r="G187" s="49" t="n">
        <f aca="false">IFERROR(IF(ISNUMBER(F187),F187-E187,"n/a"),"n/a")</f>
        <v>0</v>
      </c>
      <c r="H187" s="50" t="n">
        <v>0.050000001</v>
      </c>
      <c r="I187" s="43" t="str">
        <f aca="false">IFERROR(IF(ISNUMBER(F187),IF(ABS(F187-E187)&lt;=H187,"PASS","FAIL"),"FAIL"),"FAIL")</f>
        <v>PASS</v>
      </c>
    </row>
    <row r="188" customFormat="false" ht="15" hidden="false" customHeight="false" outlineLevel="0" collapsed="false">
      <c r="B188" s="44" t="n">
        <v>179</v>
      </c>
      <c r="C188" s="9" t="s">
        <v>429</v>
      </c>
      <c r="D188" s="9" t="s">
        <v>613</v>
      </c>
      <c r="E188" s="52" t="n">
        <v>475</v>
      </c>
      <c r="F188" s="53" t="n">
        <f aca="false">Sources_Uses!$D$19</f>
        <v>475</v>
      </c>
      <c r="G188" s="49" t="n">
        <f aca="false">IFERROR(IF(ISNUMBER(F188),F188-E188,"n/a"),"n/a")</f>
        <v>0</v>
      </c>
      <c r="H188" s="50" t="n">
        <v>0.050000001</v>
      </c>
      <c r="I188" s="43" t="str">
        <f aca="false">IFERROR(IF(ISNUMBER(F188),IF(ABS(F188-E188)&lt;=H188,"PASS","FAIL"),"FAIL"),"FAIL")</f>
        <v>PASS</v>
      </c>
    </row>
    <row r="189" customFormat="false" ht="15" hidden="false" customHeight="false" outlineLevel="0" collapsed="false">
      <c r="B189" s="44" t="n">
        <v>180</v>
      </c>
      <c r="C189" s="9" t="s">
        <v>429</v>
      </c>
      <c r="D189" s="9" t="s">
        <v>614</v>
      </c>
      <c r="E189" s="52" t="n">
        <v>225</v>
      </c>
      <c r="F189" s="53" t="n">
        <f aca="false">Sources_Uses!$D$21</f>
        <v>225</v>
      </c>
      <c r="G189" s="49" t="n">
        <f aca="false">IFERROR(IF(ISNUMBER(F189),F189-E189,"n/a"),"n/a")</f>
        <v>0</v>
      </c>
      <c r="H189" s="50" t="n">
        <v>0.050000001</v>
      </c>
      <c r="I189" s="43" t="str">
        <f aca="false">IFERROR(IF(ISNUMBER(F189),IF(ABS(F189-E189)&lt;=H189,"PASS","FAIL"),"FAIL"),"FAIL")</f>
        <v>PASS</v>
      </c>
    </row>
    <row r="190" customFormat="false" ht="15" hidden="false" customHeight="false" outlineLevel="0" collapsed="false">
      <c r="B190" s="44" t="n">
        <v>181</v>
      </c>
      <c r="C190" s="9" t="s">
        <v>429</v>
      </c>
      <c r="D190" s="9" t="s">
        <v>615</v>
      </c>
      <c r="E190" s="52" t="n">
        <v>50</v>
      </c>
      <c r="F190" s="53" t="n">
        <f aca="false">Sources_Uses!$D$22</f>
        <v>50</v>
      </c>
      <c r="G190" s="49" t="n">
        <f aca="false">IFERROR(IF(ISNUMBER(F190),F190-E190,"n/a"),"n/a")</f>
        <v>0</v>
      </c>
      <c r="H190" s="50" t="n">
        <v>0.050000001</v>
      </c>
      <c r="I190" s="43" t="str">
        <f aca="false">IFERROR(IF(ISNUMBER(F190),IF(ABS(F190-E190)&lt;=H190,"PASS","FAIL"),"FAIL"),"FAIL")</f>
        <v>PASS</v>
      </c>
    </row>
    <row r="191" customFormat="false" ht="15" hidden="false" customHeight="false" outlineLevel="0" collapsed="false">
      <c r="B191" s="44" t="n">
        <v>182</v>
      </c>
      <c r="C191" s="9" t="s">
        <v>429</v>
      </c>
      <c r="D191" s="9" t="s">
        <v>616</v>
      </c>
      <c r="E191" s="52" t="n">
        <v>0</v>
      </c>
      <c r="F191" s="53" t="n">
        <f aca="false">Sources_Uses!$D$23</f>
        <v>0</v>
      </c>
      <c r="G191" s="49" t="n">
        <f aca="false">IFERROR(IF(ISNUMBER(F191),F191-E191,"n/a"),"n/a")</f>
        <v>0</v>
      </c>
      <c r="H191" s="50" t="n">
        <v>0.050000001</v>
      </c>
      <c r="I191" s="43" t="str">
        <f aca="false">IFERROR(IF(ISNUMBER(F191),IF(ABS(F191-E191)&lt;=H191,"PASS","FAIL"),"FAIL"),"FAIL")</f>
        <v>PASS</v>
      </c>
    </row>
    <row r="192" customFormat="false" ht="15" hidden="false" customHeight="false" outlineLevel="0" collapsed="false">
      <c r="B192" s="44" t="n">
        <v>183</v>
      </c>
      <c r="C192" s="9" t="s">
        <v>429</v>
      </c>
      <c r="D192" s="9" t="s">
        <v>617</v>
      </c>
      <c r="E192" s="52" t="n">
        <v>190</v>
      </c>
      <c r="F192" s="53" t="n">
        <f aca="false">Sources_Uses!$D$26</f>
        <v>190</v>
      </c>
      <c r="G192" s="49" t="n">
        <f aca="false">IFERROR(IF(ISNUMBER(F192),F192-E192,"n/a"),"n/a")</f>
        <v>0</v>
      </c>
      <c r="H192" s="50" t="n">
        <v>0.050000001</v>
      </c>
      <c r="I192" s="43" t="str">
        <f aca="false">IFERROR(IF(ISNUMBER(F192),IF(ABS(F192-E192)&lt;=H192,"PASS","FAIL"),"FAIL"),"FAIL")</f>
        <v>PASS</v>
      </c>
    </row>
    <row r="193" customFormat="false" ht="15" hidden="false" customHeight="false" outlineLevel="0" collapsed="false">
      <c r="B193" s="44" t="n">
        <v>184</v>
      </c>
      <c r="C193" s="9" t="s">
        <v>429</v>
      </c>
      <c r="D193" s="9" t="s">
        <v>618</v>
      </c>
      <c r="E193" s="52" t="n">
        <v>10</v>
      </c>
      <c r="F193" s="53" t="n">
        <f aca="false">Sources_Uses!$D$25</f>
        <v>10</v>
      </c>
      <c r="G193" s="49" t="n">
        <f aca="false">IFERROR(IF(ISNUMBER(F193),F193-E193,"n/a"),"n/a")</f>
        <v>0</v>
      </c>
      <c r="H193" s="50" t="n">
        <v>0.050000001</v>
      </c>
      <c r="I193" s="43" t="str">
        <f aca="false">IFERROR(IF(ISNUMBER(F193),IF(ABS(F193-E193)&lt;=H193,"PASS","FAIL"),"FAIL"),"FAIL")</f>
        <v>PASS</v>
      </c>
    </row>
    <row r="194" customFormat="false" ht="15" hidden="false" customHeight="false" outlineLevel="0" collapsed="false">
      <c r="B194" s="44" t="n">
        <v>185</v>
      </c>
      <c r="C194" s="9" t="s">
        <v>429</v>
      </c>
      <c r="D194" s="9" t="s">
        <v>619</v>
      </c>
      <c r="E194" s="52" t="n">
        <v>475</v>
      </c>
      <c r="F194" s="53" t="n">
        <f aca="false">Sources_Uses!$D$27</f>
        <v>475</v>
      </c>
      <c r="G194" s="49" t="n">
        <f aca="false">IFERROR(IF(ISNUMBER(F194),F194-E194,"n/a"),"n/a")</f>
        <v>0</v>
      </c>
      <c r="H194" s="50" t="n">
        <v>0.050000001</v>
      </c>
      <c r="I194" s="43" t="str">
        <f aca="false">IFERROR(IF(ISNUMBER(F194),IF(ABS(F194-E194)&lt;=H194,"PASS","FAIL"),"FAIL"),"FAIL")</f>
        <v>PASS</v>
      </c>
    </row>
    <row r="195" customFormat="false" ht="15" hidden="false" customHeight="false" outlineLevel="0" collapsed="false">
      <c r="B195" s="44" t="n">
        <v>186</v>
      </c>
      <c r="C195" s="9" t="s">
        <v>429</v>
      </c>
      <c r="D195" s="9" t="s">
        <v>620</v>
      </c>
      <c r="E195" s="52" t="n">
        <v>275</v>
      </c>
      <c r="F195" s="53" t="n">
        <f aca="false">Sources_Uses!$D$30</f>
        <v>275</v>
      </c>
      <c r="G195" s="49" t="n">
        <f aca="false">IFERROR(IF(ISNUMBER(F195),F195-E195,"n/a"),"n/a")</f>
        <v>0</v>
      </c>
      <c r="H195" s="50" t="n">
        <v>0.050000001</v>
      </c>
      <c r="I195" s="43" t="str">
        <f aca="false">IFERROR(IF(ISNUMBER(F195),IF(ABS(F195-E195)&lt;=H195,"PASS","FAIL"),"FAIL"),"FAIL")</f>
        <v>PASS</v>
      </c>
    </row>
    <row r="196" customFormat="false" ht="15" hidden="false" customHeight="false" outlineLevel="0" collapsed="false">
      <c r="B196" s="44" t="n">
        <v>187</v>
      </c>
      <c r="C196" s="9" t="s">
        <v>429</v>
      </c>
      <c r="D196" s="9" t="s">
        <v>621</v>
      </c>
      <c r="E196" s="52" t="n">
        <v>5.5</v>
      </c>
      <c r="F196" s="53" t="n">
        <f aca="false">Sources_Uses!$D$31</f>
        <v>5.5</v>
      </c>
      <c r="G196" s="49" t="n">
        <f aca="false">IFERROR(IF(ISNUMBER(F196),F196-E196,"n/a"),"n/a")</f>
        <v>0</v>
      </c>
      <c r="H196" s="50" t="n">
        <v>0.050000001</v>
      </c>
      <c r="I196" s="43" t="str">
        <f aca="false">IFERROR(IF(ISNUMBER(F196),IF(ABS(F196-E196)&lt;=H196,"PASS","FAIL"),"FAIL"),"FAIL")</f>
        <v>PASS</v>
      </c>
    </row>
    <row r="197" customFormat="false" ht="15" hidden="false" customHeight="false" outlineLevel="0" collapsed="false">
      <c r="B197" s="44" t="n">
        <v>188</v>
      </c>
      <c r="C197" s="9" t="s">
        <v>429</v>
      </c>
      <c r="D197" s="9" t="s">
        <v>622</v>
      </c>
      <c r="E197" s="52" t="n">
        <v>265</v>
      </c>
      <c r="F197" s="53" t="n">
        <f aca="false">Sources_Uses!$D$32</f>
        <v>265</v>
      </c>
      <c r="G197" s="49" t="n">
        <f aca="false">IFERROR(IF(ISNUMBER(F197),F197-E197,"n/a"),"n/a")</f>
        <v>0</v>
      </c>
      <c r="H197" s="50" t="n">
        <v>0.050000001</v>
      </c>
      <c r="I197" s="43" t="str">
        <f aca="false">IFERROR(IF(ISNUMBER(F197),IF(ABS(F197-E197)&lt;=H197,"PASS","FAIL"),"FAIL"),"FAIL")</f>
        <v>PASS</v>
      </c>
    </row>
    <row r="198" customFormat="false" ht="15" hidden="false" customHeight="false" outlineLevel="0" collapsed="false">
      <c r="B198" s="44" t="n">
        <v>189</v>
      </c>
      <c r="C198" s="9" t="s">
        <v>429</v>
      </c>
      <c r="D198" s="9" t="s">
        <v>623</v>
      </c>
      <c r="E198" s="54" t="n">
        <v>5.3</v>
      </c>
      <c r="F198" s="55" t="n">
        <f aca="false">Sources_Uses!$D$33</f>
        <v>5.3</v>
      </c>
      <c r="G198" s="49" t="n">
        <f aca="false">IFERROR(IF(ISNUMBER(F198),F198-E198,"n/a"),"n/a")</f>
        <v>0</v>
      </c>
      <c r="H198" s="50" t="n">
        <v>0.005000001</v>
      </c>
      <c r="I198" s="43" t="str">
        <f aca="false">IFERROR(IF(ISNUMBER(F198),IF(ABS(F198-E198)&lt;=H198,"PASS","FAIL"),"FAIL"),"FAIL")</f>
        <v>PASS</v>
      </c>
    </row>
    <row r="199" customFormat="false" ht="15" hidden="false" customHeight="false" outlineLevel="0" collapsed="false">
      <c r="B199" s="44" t="n">
        <v>190</v>
      </c>
      <c r="C199" s="9" t="s">
        <v>429</v>
      </c>
      <c r="D199" s="9" t="s">
        <v>624</v>
      </c>
      <c r="E199" s="52" t="n">
        <v>200</v>
      </c>
      <c r="F199" s="53" t="n">
        <f aca="false">Sources_Uses!$D$24</f>
        <v>200</v>
      </c>
      <c r="G199" s="49" t="n">
        <f aca="false">IFERROR(IF(ISNUMBER(F199),F199-E199,"n/a"),"n/a")</f>
        <v>0</v>
      </c>
      <c r="H199" s="50" t="n">
        <v>0.050000001</v>
      </c>
      <c r="I199" s="43" t="str">
        <f aca="false">IFERROR(IF(ISNUMBER(F199),IF(ABS(F199-E199)&lt;=H199,"PASS","FAIL"),"FAIL"),"FAIL")</f>
        <v>PASS</v>
      </c>
    </row>
    <row r="200" customFormat="false" ht="15" hidden="false" customHeight="false" outlineLevel="0" collapsed="false">
      <c r="B200" s="44" t="n">
        <v>191</v>
      </c>
      <c r="C200" s="9" t="s">
        <v>429</v>
      </c>
      <c r="D200" s="9" t="s">
        <v>625</v>
      </c>
      <c r="E200" s="21" t="n">
        <v>0.421</v>
      </c>
      <c r="F200" s="20" t="n">
        <f aca="false">Sources_Uses!$D$34</f>
        <v>0.421052631578947</v>
      </c>
      <c r="G200" s="49" t="n">
        <f aca="false">IFERROR(IF(ISNUMBER(F200),F200-E200,"n/a"),"n/a")</f>
        <v>5.26315789473597E-005</v>
      </c>
      <c r="H200" s="50" t="n">
        <v>0.000500001</v>
      </c>
      <c r="I200" s="43" t="str">
        <f aca="false">IFERROR(IF(ISNUMBER(F200),IF(ABS(F200-E200)&lt;=H200,"PASS","FAIL"),"FAIL"),"FAIL")</f>
        <v>PASS</v>
      </c>
    </row>
    <row r="201" customFormat="false" ht="15" hidden="false" customHeight="false" outlineLevel="0" collapsed="false">
      <c r="B201" s="44" t="n">
        <v>192</v>
      </c>
      <c r="C201" s="9" t="s">
        <v>429</v>
      </c>
      <c r="D201" s="9" t="s">
        <v>626</v>
      </c>
      <c r="E201" s="21" t="n">
        <v>0.579</v>
      </c>
      <c r="F201" s="20" t="n">
        <f aca="false">Sources_Uses!$D$35</f>
        <v>0.578947368421053</v>
      </c>
      <c r="G201" s="49" t="n">
        <f aca="false">IFERROR(IF(ISNUMBER(F201),F201-E201,"n/a"),"n/a")</f>
        <v>-5.26315789473042E-005</v>
      </c>
      <c r="H201" s="50" t="n">
        <v>0.000500001</v>
      </c>
      <c r="I201" s="43" t="str">
        <f aca="false">IFERROR(IF(ISNUMBER(F201),IF(ABS(F201-E201)&lt;=H201,"PASS","FAIL"),"FAIL"),"FAIL")</f>
        <v>PASS</v>
      </c>
    </row>
    <row r="202" customFormat="false" ht="15" hidden="false" customHeight="false" outlineLevel="0" collapsed="false">
      <c r="B202" s="44" t="n">
        <v>193</v>
      </c>
      <c r="C202" s="9" t="s">
        <v>429</v>
      </c>
      <c r="D202" s="9" t="s">
        <v>627</v>
      </c>
      <c r="E202" s="21" t="n">
        <v>0.611</v>
      </c>
      <c r="F202" s="20" t="n">
        <f aca="false">Sources_Uses!$D$36</f>
        <v>0.611111111111111</v>
      </c>
      <c r="G202" s="49" t="n">
        <f aca="false">IFERROR(IF(ISNUMBER(F202),F202-E202,"n/a"),"n/a")</f>
        <v>0.000111111111111173</v>
      </c>
      <c r="H202" s="50" t="n">
        <v>0.000500001</v>
      </c>
      <c r="I202" s="43" t="str">
        <f aca="false">IFERROR(IF(ISNUMBER(F202),IF(ABS(F202-E202)&lt;=H202,"PASS","FAIL"),"FAIL"),"FAIL")</f>
        <v>PASS</v>
      </c>
    </row>
    <row r="203" customFormat="false" ht="15" hidden="false" customHeight="false" outlineLevel="0" collapsed="false">
      <c r="B203" s="44" t="n">
        <v>194</v>
      </c>
      <c r="C203" s="9" t="s">
        <v>429</v>
      </c>
      <c r="D203" s="9" t="s">
        <v>628</v>
      </c>
      <c r="E203" s="52" t="n">
        <v>15</v>
      </c>
      <c r="F203" s="53" t="n">
        <f aca="false">Sources_Uses!$D$37</f>
        <v>15</v>
      </c>
      <c r="G203" s="49" t="n">
        <f aca="false">IFERROR(IF(ISNUMBER(F203),F203-E203,"n/a"),"n/a")</f>
        <v>0</v>
      </c>
      <c r="H203" s="50" t="n">
        <v>0.050000001</v>
      </c>
      <c r="I203" s="43" t="str">
        <f aca="false">IFERROR(IF(ISNUMBER(F203),IF(ABS(F203-E203)&lt;=H203,"PASS","FAIL"),"FAIL"),"FAIL")</f>
        <v>PASS</v>
      </c>
    </row>
    <row r="204" customFormat="false" ht="15" hidden="false" customHeight="false" outlineLevel="0" collapsed="false">
      <c r="B204" s="44" t="n">
        <v>195</v>
      </c>
      <c r="C204" s="9" t="s">
        <v>429</v>
      </c>
      <c r="D204" s="9" t="s">
        <v>629</v>
      </c>
      <c r="E204" s="10" t="n">
        <v>0.0333</v>
      </c>
      <c r="F204" s="51" t="n">
        <f aca="false">Sources_Uses!$D$38</f>
        <v>0.0333333333333333</v>
      </c>
      <c r="G204" s="49" t="n">
        <f aca="false">IFERROR(IF(ISNUMBER(F204),F204-E204,"n/a"),"n/a")</f>
        <v>3.33333333333297E-005</v>
      </c>
      <c r="H204" s="50" t="n">
        <v>5.0001E-005</v>
      </c>
      <c r="I204" s="43" t="str">
        <f aca="false">IFERROR(IF(ISNUMBER(F204),IF(ABS(F204-E204)&lt;=H204,"PASS","FAIL"),"FAIL"),"FAIL")</f>
        <v>PASS</v>
      </c>
    </row>
    <row r="205" customFormat="false" ht="15" hidden="false" customHeight="false" outlineLevel="0" collapsed="false">
      <c r="B205" s="44" t="n">
        <v>196</v>
      </c>
      <c r="C205" s="9" t="s">
        <v>429</v>
      </c>
      <c r="D205" s="9" t="s">
        <v>630</v>
      </c>
      <c r="E205" s="10" t="n">
        <v>0.075</v>
      </c>
      <c r="F205" s="51" t="n">
        <f aca="false">Sources_Uses!$D$39</f>
        <v>0.075</v>
      </c>
      <c r="G205" s="49" t="n">
        <f aca="false">IFERROR(IF(ISNUMBER(F205),F205-E205,"n/a"),"n/a")</f>
        <v>0</v>
      </c>
      <c r="H205" s="50" t="n">
        <v>5.0001E-005</v>
      </c>
      <c r="I205" s="43" t="str">
        <f aca="false">IFERROR(IF(ISNUMBER(F205),IF(ABS(F205-E205)&lt;=H205,"PASS","FAIL"),"FAIL"),"FAIL")</f>
        <v>PASS</v>
      </c>
    </row>
    <row r="206" customFormat="false" ht="15" hidden="false" customHeight="false" outlineLevel="0" collapsed="false">
      <c r="B206" s="44" t="n">
        <v>197</v>
      </c>
      <c r="C206" s="9" t="s">
        <v>429</v>
      </c>
      <c r="D206" s="9" t="s">
        <v>631</v>
      </c>
      <c r="E206" s="52" t="n">
        <v>275</v>
      </c>
      <c r="F206" s="53" t="n">
        <f aca="false">Sources_Uses!$D$30</f>
        <v>275</v>
      </c>
      <c r="G206" s="49" t="n">
        <f aca="false">IFERROR(IF(ISNUMBER(F206),F206-E206,"n/a"),"n/a")</f>
        <v>0</v>
      </c>
      <c r="H206" s="50" t="n">
        <v>0.050000001</v>
      </c>
      <c r="I206" s="43" t="str">
        <f aca="false">IFERROR(IF(ISNUMBER(F206),IF(ABS(F206-E206)&lt;=H206,"PASS","FAIL"),"FAIL"),"FAIL")</f>
        <v>PASS</v>
      </c>
    </row>
    <row r="207" customFormat="false" ht="15" hidden="false" customHeight="false" outlineLevel="0" collapsed="false">
      <c r="B207" s="44" t="n">
        <v>198</v>
      </c>
      <c r="C207" s="9" t="s">
        <v>429</v>
      </c>
      <c r="D207" s="9" t="s">
        <v>632</v>
      </c>
      <c r="E207" s="52" t="n">
        <v>250</v>
      </c>
      <c r="F207" s="53" t="n">
        <f aca="false">Sources_Uses!$D$40</f>
        <v>250</v>
      </c>
      <c r="G207" s="49" t="n">
        <f aca="false">IFERROR(IF(ISNUMBER(F207),F207-E207,"n/a"),"n/a")</f>
        <v>0</v>
      </c>
      <c r="H207" s="50" t="n">
        <v>0.050000001</v>
      </c>
      <c r="I207" s="43" t="str">
        <f aca="false">IFERROR(IF(ISNUMBER(F207),IF(ABS(F207-E207)&lt;=H207,"PASS","FAIL"),"FAIL"),"FAIL")</f>
        <v>PASS</v>
      </c>
    </row>
    <row r="208" customFormat="false" ht="15" hidden="false" customHeight="false" outlineLevel="0" collapsed="false">
      <c r="B208" s="44" t="n">
        <v>199</v>
      </c>
      <c r="C208" s="9" t="s">
        <v>429</v>
      </c>
      <c r="D208" s="9" t="s">
        <v>633</v>
      </c>
      <c r="E208" s="52" t="n">
        <v>190</v>
      </c>
      <c r="F208" s="53" t="n">
        <f aca="false">Sources_Uses!$D$26</f>
        <v>190</v>
      </c>
      <c r="G208" s="49" t="n">
        <f aca="false">IFERROR(IF(ISNUMBER(F208),F208-E208,"n/a"),"n/a")</f>
        <v>0</v>
      </c>
      <c r="H208" s="50" t="n">
        <v>0.050000001</v>
      </c>
      <c r="I208" s="43" t="str">
        <f aca="false">IFERROR(IF(ISNUMBER(F208),IF(ABS(F208-E208)&lt;=H208,"PASS","FAIL"),"FAIL"),"FAIL")</f>
        <v>PASS</v>
      </c>
    </row>
    <row r="209" customFormat="false" ht="15" hidden="false" customHeight="false" outlineLevel="0" collapsed="false">
      <c r="B209" s="44" t="n">
        <v>200</v>
      </c>
      <c r="C209" s="9" t="s">
        <v>429</v>
      </c>
      <c r="D209" s="9" t="s">
        <v>634</v>
      </c>
      <c r="E209" s="52" t="n">
        <v>225</v>
      </c>
      <c r="F209" s="53" t="n">
        <f aca="false">Sources_Uses!$D$21</f>
        <v>225</v>
      </c>
      <c r="G209" s="49" t="n">
        <f aca="false">IFERROR(IF(ISNUMBER(F209),F209-E209,"n/a"),"n/a")</f>
        <v>0</v>
      </c>
      <c r="H209" s="50" t="n">
        <v>0.050000001</v>
      </c>
      <c r="I209" s="43" t="str">
        <f aca="false">IFERROR(IF(ISNUMBER(F209),IF(ABS(F209-E209)&lt;=H209,"PASS","FAIL"),"FAIL"),"FAIL")</f>
        <v>PASS</v>
      </c>
    </row>
    <row r="210" customFormat="false" ht="15" hidden="false" customHeight="false" outlineLevel="0" collapsed="false">
      <c r="B210" s="44" t="n">
        <v>201</v>
      </c>
      <c r="C210" s="9" t="s">
        <v>429</v>
      </c>
      <c r="D210" s="9" t="s">
        <v>635</v>
      </c>
      <c r="E210" s="52" t="n">
        <v>50</v>
      </c>
      <c r="F210" s="53" t="n">
        <f aca="false">Sources_Uses!$D$22</f>
        <v>50</v>
      </c>
      <c r="G210" s="49" t="n">
        <f aca="false">IFERROR(IF(ISNUMBER(F210),F210-E210,"n/a"),"n/a")</f>
        <v>0</v>
      </c>
      <c r="H210" s="50" t="n">
        <v>0.050000001</v>
      </c>
      <c r="I210" s="43" t="str">
        <f aca="false">IFERROR(IF(ISNUMBER(F210),IF(ABS(F210-E210)&lt;=H210,"PASS","FAIL"),"FAIL"),"FAIL")</f>
        <v>PASS</v>
      </c>
    </row>
    <row r="211" customFormat="false" ht="15" hidden="false" customHeight="false" outlineLevel="0" collapsed="false">
      <c r="B211" s="44" t="n">
        <v>202</v>
      </c>
      <c r="C211" s="9" t="s">
        <v>429</v>
      </c>
      <c r="D211" s="9" t="s">
        <v>636</v>
      </c>
      <c r="E211" s="52" t="n">
        <v>275</v>
      </c>
      <c r="F211" s="53" t="n">
        <f aca="false">Sources_Uses!$D$30</f>
        <v>275</v>
      </c>
      <c r="G211" s="49" t="n">
        <f aca="false">IFERROR(IF(ISNUMBER(F211),F211-E211,"n/a"),"n/a")</f>
        <v>0</v>
      </c>
      <c r="H211" s="50" t="n">
        <v>0.050000001</v>
      </c>
      <c r="I211" s="43" t="str">
        <f aca="false">IFERROR(IF(ISNUMBER(F211),IF(ABS(F211-E211)&lt;=H211,"PASS","FAIL"),"FAIL"),"FAIL")</f>
        <v>PASS</v>
      </c>
    </row>
    <row r="212" customFormat="false" ht="15" hidden="false" customHeight="false" outlineLevel="0" collapsed="false">
      <c r="B212" s="44" t="n">
        <v>203</v>
      </c>
      <c r="C212" s="9" t="s">
        <v>429</v>
      </c>
      <c r="D212" s="9" t="s">
        <v>637</v>
      </c>
      <c r="E212" s="52" t="n">
        <v>225</v>
      </c>
      <c r="F212" s="53" t="n">
        <f aca="false">Sources_Uses!$D$21</f>
        <v>225</v>
      </c>
      <c r="G212" s="49" t="n">
        <f aca="false">IFERROR(IF(ISNUMBER(F212),F212-E212,"n/a"),"n/a")</f>
        <v>0</v>
      </c>
      <c r="H212" s="50" t="n">
        <v>0.050000001</v>
      </c>
      <c r="I212" s="43" t="str">
        <f aca="false">IFERROR(IF(ISNUMBER(F212),IF(ABS(F212-E212)&lt;=H212,"PASS","FAIL"),"FAIL"),"FAIL")</f>
        <v>PASS</v>
      </c>
    </row>
    <row r="213" customFormat="false" ht="15" hidden="false" customHeight="false" outlineLevel="0" collapsed="false">
      <c r="B213" s="44" t="n">
        <v>204</v>
      </c>
      <c r="C213" s="9" t="s">
        <v>429</v>
      </c>
      <c r="D213" s="9" t="s">
        <v>638</v>
      </c>
      <c r="E213" s="52" t="n">
        <v>200</v>
      </c>
      <c r="F213" s="53" t="n">
        <f aca="false">Sources_Uses!$D$24</f>
        <v>200</v>
      </c>
      <c r="G213" s="49" t="n">
        <f aca="false">IFERROR(IF(ISNUMBER(F213),F213-E213,"n/a"),"n/a")</f>
        <v>0</v>
      </c>
      <c r="H213" s="50" t="n">
        <v>0.050000001</v>
      </c>
      <c r="I213" s="43" t="str">
        <f aca="false">IFERROR(IF(ISNUMBER(F213),IF(ABS(F213-E213)&lt;=H213,"PASS","FAIL"),"FAIL"),"FAIL")</f>
        <v>PASS</v>
      </c>
    </row>
    <row r="214" customFormat="false" ht="15" hidden="false" customHeight="false" outlineLevel="0" collapsed="false">
      <c r="B214" s="44" t="n">
        <v>205</v>
      </c>
      <c r="C214" s="9" t="s">
        <v>429</v>
      </c>
      <c r="D214" s="9" t="s">
        <v>639</v>
      </c>
      <c r="E214" s="52" t="n">
        <v>190</v>
      </c>
      <c r="F214" s="53" t="n">
        <f aca="false">Sources_Uses!$D$26</f>
        <v>190</v>
      </c>
      <c r="G214" s="49" t="n">
        <f aca="false">IFERROR(IF(ISNUMBER(F214),F214-E214,"n/a"),"n/a")</f>
        <v>0</v>
      </c>
      <c r="H214" s="50" t="n">
        <v>0.050000001</v>
      </c>
      <c r="I214" s="43" t="str">
        <f aca="false">IFERROR(IF(ISNUMBER(F214),IF(ABS(F214-E214)&lt;=H214,"PASS","FAIL"),"FAIL"),"FAIL")</f>
        <v>PASS</v>
      </c>
    </row>
    <row r="215" customFormat="false" ht="15" hidden="false" customHeight="false" outlineLevel="0" collapsed="false">
      <c r="B215" s="44" t="n">
        <v>206</v>
      </c>
      <c r="C215" s="9" t="s">
        <v>429</v>
      </c>
      <c r="D215" s="9" t="s">
        <v>640</v>
      </c>
      <c r="E215" s="52" t="n">
        <v>190</v>
      </c>
      <c r="F215" s="53" t="n">
        <f aca="false">Sources_Uses!$D$26</f>
        <v>190</v>
      </c>
      <c r="G215" s="49" t="n">
        <f aca="false">IFERROR(IF(ISNUMBER(F215),F215-E215,"n/a"),"n/a")</f>
        <v>0</v>
      </c>
      <c r="H215" s="50" t="n">
        <v>0.050000001</v>
      </c>
      <c r="I215" s="43" t="str">
        <f aca="false">IFERROR(IF(ISNUMBER(F215),IF(ABS(F215-E215)&lt;=H215,"PASS","FAIL"),"FAIL"),"FAIL")</f>
        <v>PASS</v>
      </c>
    </row>
    <row r="216" customFormat="false" ht="15" hidden="false" customHeight="false" outlineLevel="0" collapsed="false">
      <c r="B216" s="44" t="n">
        <v>207</v>
      </c>
      <c r="C216" s="9" t="s">
        <v>429</v>
      </c>
      <c r="D216" s="9" t="s">
        <v>641</v>
      </c>
      <c r="E216" s="52" t="n">
        <v>190</v>
      </c>
      <c r="F216" s="53" t="n">
        <f aca="false">Sources_Uses!$D$26</f>
        <v>190</v>
      </c>
      <c r="G216" s="49" t="n">
        <f aca="false">IFERROR(IF(ISNUMBER(F216),F216-E216,"n/a"),"n/a")</f>
        <v>0</v>
      </c>
      <c r="H216" s="50" t="n">
        <v>0.050000001</v>
      </c>
      <c r="I216" s="43" t="str">
        <f aca="false">IFERROR(IF(ISNUMBER(F216),IF(ABS(F216-E216)&lt;=H216,"PASS","FAIL"),"FAIL"),"FAIL")</f>
        <v>PASS</v>
      </c>
    </row>
    <row r="217" customFormat="false" ht="15" hidden="false" customHeight="false" outlineLevel="0" collapsed="false">
      <c r="B217" s="44" t="n">
        <v>208</v>
      </c>
      <c r="C217" s="9" t="s">
        <v>429</v>
      </c>
      <c r="D217" s="9" t="s">
        <v>642</v>
      </c>
      <c r="E217" s="52" t="n">
        <v>200</v>
      </c>
      <c r="F217" s="53" t="n">
        <f aca="false">Sources_Uses!$D$24</f>
        <v>200</v>
      </c>
      <c r="G217" s="49" t="n">
        <f aca="false">IFERROR(IF(ISNUMBER(F217),F217-E217,"n/a"),"n/a")</f>
        <v>0</v>
      </c>
      <c r="H217" s="50" t="n">
        <v>0.050000001</v>
      </c>
      <c r="I217" s="43" t="str">
        <f aca="false">IFERROR(IF(ISNUMBER(F217),IF(ABS(F217-E217)&lt;=H217,"PASS","FAIL"),"FAIL"),"FAIL")</f>
        <v>PASS</v>
      </c>
    </row>
    <row r="218" customFormat="false" ht="15" hidden="false" customHeight="false" outlineLevel="0" collapsed="false">
      <c r="B218" s="44" t="n">
        <v>209</v>
      </c>
      <c r="C218" s="9" t="s">
        <v>429</v>
      </c>
      <c r="D218" s="9" t="s">
        <v>643</v>
      </c>
      <c r="E218" s="52" t="n">
        <v>450</v>
      </c>
      <c r="F218" s="53" t="n">
        <f aca="false">Sources_Uses!$D$7</f>
        <v>450</v>
      </c>
      <c r="G218" s="49" t="n">
        <f aca="false">IFERROR(IF(ISNUMBER(F218),F218-E218,"n/a"),"n/a")</f>
        <v>0</v>
      </c>
      <c r="H218" s="50" t="n">
        <v>0.050000001</v>
      </c>
      <c r="I218" s="43" t="str">
        <f aca="false">IFERROR(IF(ISNUMBER(F218),IF(ABS(F218-E218)&lt;=H218,"PASS","FAIL"),"FAIL"),"FAIL")</f>
        <v>PASS</v>
      </c>
    </row>
    <row r="219" customFormat="false" ht="15" hidden="false" customHeight="false" outlineLevel="0" collapsed="false">
      <c r="B219" s="44" t="n">
        <v>210</v>
      </c>
      <c r="C219" s="9" t="s">
        <v>429</v>
      </c>
      <c r="D219" s="9" t="s">
        <v>644</v>
      </c>
      <c r="E219" s="52" t="n">
        <v>50</v>
      </c>
      <c r="F219" s="53" t="n">
        <f aca="false">Sources_Uses!$D$6</f>
        <v>50</v>
      </c>
      <c r="G219" s="49" t="n">
        <f aca="false">IFERROR(IF(ISNUMBER(F219),F219-E219,"n/a"),"n/a")</f>
        <v>0</v>
      </c>
      <c r="H219" s="50" t="n">
        <v>0.050000001</v>
      </c>
      <c r="I219" s="43" t="str">
        <f aca="false">IFERROR(IF(ISNUMBER(F219),IF(ABS(F219-E219)&lt;=H219,"PASS","FAIL"),"FAIL"),"FAIL")</f>
        <v>PASS</v>
      </c>
    </row>
    <row r="220" customFormat="false" ht="15" hidden="false" customHeight="false" outlineLevel="0" collapsed="false">
      <c r="B220" s="44" t="n">
        <v>211</v>
      </c>
      <c r="C220" s="9" t="s">
        <v>429</v>
      </c>
      <c r="D220" s="9" t="s">
        <v>645</v>
      </c>
      <c r="E220" s="52" t="n">
        <v>190</v>
      </c>
      <c r="F220" s="53" t="n">
        <f aca="false">Sources_Uses!$D$26</f>
        <v>190</v>
      </c>
      <c r="G220" s="49" t="n">
        <f aca="false">IFERROR(IF(ISNUMBER(F220),F220-E220,"n/a"),"n/a")</f>
        <v>0</v>
      </c>
      <c r="H220" s="50" t="n">
        <v>0.050000001</v>
      </c>
      <c r="I220" s="43" t="str">
        <f aca="false">IFERROR(IF(ISNUMBER(F220),IF(ABS(F220-E220)&lt;=H220,"PASS","FAIL"),"FAIL"),"FAIL")</f>
        <v>PASS</v>
      </c>
    </row>
    <row r="221" customFormat="false" ht="15" hidden="false" customHeight="false" outlineLevel="0" collapsed="false">
      <c r="B221" s="44" t="n">
        <v>212</v>
      </c>
      <c r="C221" s="9" t="s">
        <v>429</v>
      </c>
      <c r="D221" s="9" t="s">
        <v>646</v>
      </c>
      <c r="E221" s="52" t="n">
        <v>275</v>
      </c>
      <c r="F221" s="53" t="n">
        <f aca="false">Sources_Uses!$D$30</f>
        <v>275</v>
      </c>
      <c r="G221" s="49" t="n">
        <f aca="false">IFERROR(IF(ISNUMBER(F221),F221-E221,"n/a"),"n/a")</f>
        <v>0</v>
      </c>
      <c r="H221" s="50" t="n">
        <v>0.050000001</v>
      </c>
      <c r="I221" s="43" t="str">
        <f aca="false">IFERROR(IF(ISNUMBER(F221),IF(ABS(F221-E221)&lt;=H221,"PASS","FAIL"),"FAIL"),"FAIL")</f>
        <v>PASS</v>
      </c>
    </row>
    <row r="222" customFormat="false" ht="15" hidden="false" customHeight="false" outlineLevel="0" collapsed="false">
      <c r="B222" s="44" t="n">
        <v>213</v>
      </c>
      <c r="C222" s="9" t="s">
        <v>429</v>
      </c>
      <c r="D222" s="9" t="s">
        <v>647</v>
      </c>
      <c r="E222" s="52" t="n">
        <v>5.5</v>
      </c>
      <c r="F222" s="53" t="n">
        <f aca="false">Sources_Uses!$D$31</f>
        <v>5.5</v>
      </c>
      <c r="G222" s="49" t="n">
        <f aca="false">IFERROR(IF(ISNUMBER(F222),F222-E222,"n/a"),"n/a")</f>
        <v>0</v>
      </c>
      <c r="H222" s="50" t="n">
        <v>0.050000001</v>
      </c>
      <c r="I222" s="43" t="str">
        <f aca="false">IFERROR(IF(ISNUMBER(F222),IF(ABS(F222-E222)&lt;=H222,"PASS","FAIL"),"FAIL"),"FAIL")</f>
        <v>PASS</v>
      </c>
    </row>
    <row r="223" customFormat="false" ht="15" hidden="false" customHeight="false" outlineLevel="0" collapsed="false">
      <c r="B223" s="44" t="n">
        <v>214</v>
      </c>
      <c r="C223" s="9" t="s">
        <v>429</v>
      </c>
      <c r="D223" s="9" t="s">
        <v>648</v>
      </c>
      <c r="E223" s="52" t="n">
        <v>50</v>
      </c>
      <c r="F223" s="53" t="n">
        <f aca="false">Sources_Uses!$D$6</f>
        <v>50</v>
      </c>
      <c r="G223" s="49" t="n">
        <f aca="false">IFERROR(IF(ISNUMBER(F223),F223-E223,"n/a"),"n/a")</f>
        <v>0</v>
      </c>
      <c r="H223" s="50" t="n">
        <v>0.050000001</v>
      </c>
      <c r="I223" s="43" t="str">
        <f aca="false">IFERROR(IF(ISNUMBER(F223),IF(ABS(F223-E223)&lt;=H223,"PASS","FAIL"),"FAIL"),"FAIL")</f>
        <v>PASS</v>
      </c>
    </row>
    <row r="224" customFormat="false" ht="15" hidden="false" customHeight="false" outlineLevel="0" collapsed="false">
      <c r="B224" s="44" t="n">
        <v>215</v>
      </c>
      <c r="C224" s="9" t="s">
        <v>383</v>
      </c>
      <c r="D224" s="9" t="s">
        <v>649</v>
      </c>
      <c r="E224" s="54" t="n">
        <v>12.45</v>
      </c>
      <c r="F224" s="55" t="n">
        <f aca="false">Returns!$D$26</f>
        <v>12.45</v>
      </c>
      <c r="G224" s="49" t="n">
        <f aca="false">IFERROR(IF(ISNUMBER(F224),F224-E224,"n/a"),"n/a")</f>
        <v>0</v>
      </c>
      <c r="H224" s="50" t="n">
        <v>0.005000001</v>
      </c>
      <c r="I224" s="43" t="str">
        <f aca="false">IFERROR(IF(ISNUMBER(F224),IF(ABS(F224-E224)&lt;=H224,"PASS","FAIL"),"FAIL"),"FAIL")</f>
        <v>PASS</v>
      </c>
    </row>
    <row r="225" customFormat="false" ht="15" hidden="false" customHeight="false" outlineLevel="0" collapsed="false">
      <c r="B225" s="44" t="n">
        <v>216</v>
      </c>
      <c r="C225" s="9" t="s">
        <v>383</v>
      </c>
      <c r="D225" s="9" t="s">
        <v>650</v>
      </c>
      <c r="E225" s="52" t="n">
        <v>35.1</v>
      </c>
      <c r="F225" s="53" t="n">
        <f aca="false">Returns!$D$27</f>
        <v>35.1212746620225</v>
      </c>
      <c r="G225" s="49" t="n">
        <f aca="false">IFERROR(IF(ISNUMBER(F225),F225-E225,"n/a"),"n/a")</f>
        <v>0.0212746620224706</v>
      </c>
      <c r="H225" s="50" t="n">
        <v>0.050000001</v>
      </c>
      <c r="I225" s="43" t="str">
        <f aca="false">IFERROR(IF(ISNUMBER(F225),IF(ABS(F225-E225)&lt;=H225,"PASS","FAIL"),"FAIL"),"FAIL")</f>
        <v>PASS</v>
      </c>
    </row>
    <row r="226" customFormat="false" ht="15" hidden="false" customHeight="false" outlineLevel="0" collapsed="false">
      <c r="B226" s="44" t="n">
        <v>217</v>
      </c>
      <c r="C226" s="9" t="s">
        <v>383</v>
      </c>
      <c r="D226" s="9" t="s">
        <v>651</v>
      </c>
      <c r="E226" s="52" t="n">
        <v>47.6</v>
      </c>
      <c r="F226" s="53" t="n">
        <f aca="false">Returns!$D$29</f>
        <v>47.5712746620225</v>
      </c>
      <c r="G226" s="49" t="n">
        <f aca="false">IFERROR(IF(ISNUMBER(F226),F226-E226,"n/a"),"n/a")</f>
        <v>-0.0287253379775265</v>
      </c>
      <c r="H226" s="50" t="n">
        <v>0.050000001</v>
      </c>
      <c r="I226" s="43" t="str">
        <f aca="false">IFERROR(IF(ISNUMBER(F226),IF(ABS(F226-E226)&lt;=H226,"PASS","FAIL"),"FAIL"),"FAIL")</f>
        <v>PASS</v>
      </c>
    </row>
    <row r="227" customFormat="false" ht="15" hidden="false" customHeight="false" outlineLevel="0" collapsed="false">
      <c r="B227" s="44" t="n">
        <v>218</v>
      </c>
      <c r="C227" s="9" t="s">
        <v>383</v>
      </c>
      <c r="D227" s="9" t="s">
        <v>652</v>
      </c>
      <c r="E227" s="52" t="n">
        <v>35.3</v>
      </c>
      <c r="F227" s="53" t="n">
        <f aca="false">Returns!$D$30</f>
        <v>35.3152627370429</v>
      </c>
      <c r="G227" s="49" t="n">
        <f aca="false">IFERROR(IF(ISNUMBER(F227),F227-E227,"n/a"),"n/a")</f>
        <v>0.0152627370429315</v>
      </c>
      <c r="H227" s="50" t="n">
        <v>0.050000001</v>
      </c>
      <c r="I227" s="43" t="str">
        <f aca="false">IFERROR(IF(ISNUMBER(F227),IF(ABS(F227-E227)&lt;=H227,"PASS","FAIL"),"FAIL"),"FAIL")</f>
        <v>PASS</v>
      </c>
    </row>
    <row r="228" customFormat="false" ht="15" hidden="false" customHeight="false" outlineLevel="0" collapsed="false">
      <c r="B228" s="44" t="n">
        <v>219</v>
      </c>
      <c r="C228" s="9" t="s">
        <v>383</v>
      </c>
      <c r="D228" s="9" t="s">
        <v>653</v>
      </c>
      <c r="E228" s="52" t="n">
        <v>88.1</v>
      </c>
      <c r="F228" s="53" t="n">
        <f aca="false">Returns!$D$23</f>
        <v>88.1152627370429</v>
      </c>
      <c r="G228" s="49" t="n">
        <f aca="false">IFERROR(IF(ISNUMBER(F228),F228-E228,"n/a"),"n/a")</f>
        <v>0.0152627370429315</v>
      </c>
      <c r="H228" s="50" t="n">
        <v>0.050000001</v>
      </c>
      <c r="I228" s="43" t="str">
        <f aca="false">IFERROR(IF(ISNUMBER(F228),IF(ABS(F228-E228)&lt;=H228,"PASS","FAIL"),"FAIL"),"FAIL")</f>
        <v>PASS</v>
      </c>
    </row>
    <row r="229" customFormat="false" ht="15" hidden="false" customHeight="false" outlineLevel="0" collapsed="false">
      <c r="B229" s="44" t="n">
        <v>220</v>
      </c>
      <c r="C229" s="9" t="s">
        <v>383</v>
      </c>
      <c r="D229" s="9" t="s">
        <v>654</v>
      </c>
      <c r="E229" s="52" t="n">
        <v>126.5</v>
      </c>
      <c r="F229" s="53" t="n">
        <f aca="false">Returns!$D$24</f>
        <v>126.460291536957</v>
      </c>
      <c r="G229" s="49" t="n">
        <f aca="false">IFERROR(IF(ISNUMBER(F229),F229-E229,"n/a"),"n/a")</f>
        <v>-0.0397084630429134</v>
      </c>
      <c r="H229" s="50" t="n">
        <v>0.050000001</v>
      </c>
      <c r="I229" s="43" t="str">
        <f aca="false">IFERROR(IF(ISNUMBER(F229),IF(ABS(F229-E229)&lt;=H229,"PASS","FAIL"),"FAIL"),"FAIL")</f>
        <v>PASS</v>
      </c>
    </row>
    <row r="230" customFormat="false" ht="15" hidden="false" customHeight="false" outlineLevel="0" collapsed="false">
      <c r="B230" s="44" t="n">
        <v>221</v>
      </c>
      <c r="C230" s="9" t="s">
        <v>383</v>
      </c>
      <c r="D230" s="9" t="s">
        <v>655</v>
      </c>
      <c r="E230" s="52" t="n">
        <v>38.7</v>
      </c>
      <c r="F230" s="53" t="n">
        <f aca="false">Returns!$D$25</f>
        <v>38.700696366</v>
      </c>
      <c r="G230" s="49" t="n">
        <f aca="false">IFERROR(IF(ISNUMBER(F230),F230-E230,"n/a"),"n/a")</f>
        <v>0.000696365999999671</v>
      </c>
      <c r="H230" s="50" t="n">
        <v>0.050000001</v>
      </c>
      <c r="I230" s="43" t="str">
        <f aca="false">IFERROR(IF(ISNUMBER(F230),IF(ABS(F230-E230)&lt;=H230,"PASS","FAIL"),"FAIL"),"FAIL")</f>
        <v>PASS</v>
      </c>
    </row>
    <row r="231" customFormat="false" ht="15" hidden="false" customHeight="false" outlineLevel="0" collapsed="false">
      <c r="B231" s="44" t="n">
        <v>222</v>
      </c>
      <c r="C231" s="9" t="s">
        <v>383</v>
      </c>
      <c r="D231" s="9" t="s">
        <v>656</v>
      </c>
      <c r="E231" s="10" t="n">
        <v>0.0925</v>
      </c>
      <c r="F231" s="51" t="n">
        <f aca="false">Returns!$D$31</f>
        <v>0.0925151535860498</v>
      </c>
      <c r="G231" s="49" t="n">
        <f aca="false">IFERROR(IF(ISNUMBER(F231),F231-E231,"n/a"),"n/a")</f>
        <v>1.5153586049782E-005</v>
      </c>
      <c r="H231" s="50" t="n">
        <v>5.0001E-005</v>
      </c>
      <c r="I231" s="43" t="str">
        <f aca="false">IFERROR(IF(ISNUMBER(F231),IF(ABS(F231-E231)&lt;=H231,"PASS","FAIL"),"FAIL"),"FAIL")</f>
        <v>PASS</v>
      </c>
    </row>
    <row r="232" customFormat="false" ht="15" hidden="false" customHeight="false" outlineLevel="0" collapsed="false">
      <c r="B232" s="44" t="n">
        <v>223</v>
      </c>
      <c r="C232" s="9" t="s">
        <v>383</v>
      </c>
      <c r="D232" s="9" t="s">
        <v>657</v>
      </c>
      <c r="E232" s="10" t="n">
        <v>0.0675</v>
      </c>
      <c r="F232" s="51" t="n">
        <f aca="false">Returns!$D$32</f>
        <v>0.0675149393296168</v>
      </c>
      <c r="G232" s="49" t="n">
        <f aca="false">IFERROR(IF(ISNUMBER(F232),F232-E232,"n/a"),"n/a")</f>
        <v>1.49393296168254E-005</v>
      </c>
      <c r="H232" s="50" t="n">
        <v>5.0001E-005</v>
      </c>
      <c r="I232" s="43" t="str">
        <f aca="false">IFERROR(IF(ISNUMBER(F232),IF(ABS(F232-E232)&lt;=H232,"PASS","FAIL"),"FAIL"),"FAIL")</f>
        <v>PASS</v>
      </c>
    </row>
    <row r="233" customFormat="false" ht="15" hidden="false" customHeight="false" outlineLevel="0" collapsed="false">
      <c r="B233" s="44" t="n">
        <v>224</v>
      </c>
      <c r="C233" s="9" t="s">
        <v>439</v>
      </c>
      <c r="D233" s="9" t="s">
        <v>658</v>
      </c>
      <c r="E233" s="52" t="n">
        <v>77.8</v>
      </c>
      <c r="F233" s="53" t="n">
        <f aca="false">Exit!$D$7</f>
        <v>77.82288952</v>
      </c>
      <c r="G233" s="49" t="n">
        <f aca="false">IFERROR(IF(ISNUMBER(F233),F233-E233,"n/a"),"n/a")</f>
        <v>0.0228895200000068</v>
      </c>
      <c r="H233" s="50" t="n">
        <v>0.050000001</v>
      </c>
      <c r="I233" s="43" t="str">
        <f aca="false">IFERROR(IF(ISNUMBER(F233),IF(ABS(F233-E233)&lt;=H233,"PASS","FAIL"),"FAIL"),"FAIL")</f>
        <v>PASS</v>
      </c>
    </row>
    <row r="234" customFormat="false" ht="15" hidden="false" customHeight="false" outlineLevel="0" collapsed="false">
      <c r="B234" s="44" t="n">
        <v>225</v>
      </c>
      <c r="C234" s="9" t="s">
        <v>439</v>
      </c>
      <c r="D234" s="9" t="s">
        <v>659</v>
      </c>
      <c r="E234" s="52" t="n">
        <v>77.8</v>
      </c>
      <c r="F234" s="53" t="n">
        <f aca="false">Exit!$D$7</f>
        <v>77.82288952</v>
      </c>
      <c r="G234" s="49" t="n">
        <f aca="false">IFERROR(IF(ISNUMBER(F234),F234-E234,"n/a"),"n/a")</f>
        <v>0.0228895200000068</v>
      </c>
      <c r="H234" s="50" t="n">
        <v>0.050000001</v>
      </c>
      <c r="I234" s="43" t="str">
        <f aca="false">IFERROR(IF(ISNUMBER(F234),IF(ABS(F234-E234)&lt;=H234,"PASS","FAIL"),"FAIL"),"FAIL")</f>
        <v>PASS</v>
      </c>
    </row>
    <row r="235" customFormat="false" ht="15" hidden="false" customHeight="false" outlineLevel="0" collapsed="false">
      <c r="B235" s="44" t="n">
        <v>226</v>
      </c>
      <c r="C235" s="9" t="s">
        <v>439</v>
      </c>
      <c r="D235" s="9" t="s">
        <v>660</v>
      </c>
      <c r="E235" s="52" t="n">
        <v>700.4</v>
      </c>
      <c r="F235" s="53" t="n">
        <f aca="false">Exit!$D$8</f>
        <v>700.40600568</v>
      </c>
      <c r="G235" s="49" t="n">
        <f aca="false">IFERROR(IF(ISNUMBER(F235),F235-E235,"n/a"),"n/a")</f>
        <v>0.00600568000004387</v>
      </c>
      <c r="H235" s="50" t="n">
        <v>0.050000001</v>
      </c>
      <c r="I235" s="43" t="str">
        <f aca="false">IFERROR(IF(ISNUMBER(F235),IF(ABS(F235-E235)&lt;=H235,"PASS","FAIL"),"FAIL"),"FAIL")</f>
        <v>PASS</v>
      </c>
    </row>
    <row r="236" customFormat="false" ht="15" hidden="false" customHeight="false" outlineLevel="0" collapsed="false">
      <c r="B236" s="44" t="n">
        <v>227</v>
      </c>
      <c r="C236" s="9" t="s">
        <v>439</v>
      </c>
      <c r="D236" s="9" t="s">
        <v>661</v>
      </c>
      <c r="E236" s="52" t="n">
        <v>229.7</v>
      </c>
      <c r="F236" s="53" t="n">
        <f aca="false">Exit!$D$9</f>
        <v>229.684737262957</v>
      </c>
      <c r="G236" s="49" t="n">
        <f aca="false">IFERROR(IF(ISNUMBER(F236),F236-E236,"n/a"),"n/a")</f>
        <v>-0.0152627370429173</v>
      </c>
      <c r="H236" s="50" t="n">
        <v>0.050000001</v>
      </c>
      <c r="I236" s="43" t="str">
        <f aca="false">IFERROR(IF(ISNUMBER(F236),IF(ABS(F236-E236)&lt;=H236,"PASS","FAIL"),"FAIL"),"FAIL")</f>
        <v>PASS</v>
      </c>
    </row>
    <row r="237" customFormat="false" ht="15" hidden="false" customHeight="false" outlineLevel="0" collapsed="false">
      <c r="B237" s="44" t="n">
        <v>228</v>
      </c>
      <c r="C237" s="9" t="s">
        <v>439</v>
      </c>
      <c r="D237" s="9" t="s">
        <v>662</v>
      </c>
      <c r="E237" s="52" t="n">
        <v>217.4</v>
      </c>
      <c r="F237" s="53" t="n">
        <f aca="false">Exit!$D$10</f>
        <v>217.428725337978</v>
      </c>
      <c r="G237" s="49" t="n">
        <f aca="false">IFERROR(IF(ISNUMBER(F237),F237-E237,"n/a"),"n/a")</f>
        <v>0.0287253379775052</v>
      </c>
      <c r="H237" s="50" t="n">
        <v>0.050000001</v>
      </c>
      <c r="I237" s="43" t="str">
        <f aca="false">IFERROR(IF(ISNUMBER(F237),IF(ABS(F237-E237)&lt;=H237,"PASS","FAIL"),"FAIL"),"FAIL")</f>
        <v>PASS</v>
      </c>
    </row>
    <row r="238" customFormat="false" ht="15" hidden="false" customHeight="false" outlineLevel="0" collapsed="false">
      <c r="B238" s="44" t="n">
        <v>229</v>
      </c>
      <c r="C238" s="9" t="s">
        <v>439</v>
      </c>
      <c r="D238" s="9" t="s">
        <v>663</v>
      </c>
      <c r="E238" s="52" t="n">
        <v>50</v>
      </c>
      <c r="F238" s="53" t="n">
        <f aca="false">Exit!$D$11</f>
        <v>50</v>
      </c>
      <c r="G238" s="49" t="n">
        <f aca="false">IFERROR(IF(ISNUMBER(F238),F238-E238,"n/a"),"n/a")</f>
        <v>0</v>
      </c>
      <c r="H238" s="50" t="n">
        <v>0.050000001</v>
      </c>
      <c r="I238" s="43" t="str">
        <f aca="false">IFERROR(IF(ISNUMBER(F238),IF(ABS(F238-E238)&lt;=H238,"PASS","FAIL"),"FAIL"),"FAIL")</f>
        <v>PASS</v>
      </c>
    </row>
    <row r="239" customFormat="false" ht="15" hidden="false" customHeight="false" outlineLevel="0" collapsed="false">
      <c r="B239" s="44" t="n">
        <v>230</v>
      </c>
      <c r="C239" s="9" t="s">
        <v>439</v>
      </c>
      <c r="D239" s="9" t="s">
        <v>664</v>
      </c>
      <c r="E239" s="52" t="n">
        <v>37.7</v>
      </c>
      <c r="F239" s="53" t="n">
        <f aca="false">Exit!$D$13</f>
        <v>37.7439880750205</v>
      </c>
      <c r="G239" s="49" t="n">
        <f aca="false">IFERROR(IF(ISNUMBER(F239),F239-E239,"n/a"),"n/a")</f>
        <v>0.0439880750204651</v>
      </c>
      <c r="H239" s="50" t="n">
        <v>0.050000001</v>
      </c>
      <c r="I239" s="43" t="str">
        <f aca="false">IFERROR(IF(ISNUMBER(F239),IF(ABS(F239-E239)&lt;=H239,"PASS","FAIL"),"FAIL"),"FAIL")</f>
        <v>PASS</v>
      </c>
    </row>
    <row r="240" customFormat="false" ht="15" hidden="false" customHeight="false" outlineLevel="0" collapsed="false">
      <c r="B240" s="44" t="n">
        <v>231</v>
      </c>
      <c r="C240" s="9" t="s">
        <v>439</v>
      </c>
      <c r="D240" s="9" t="s">
        <v>665</v>
      </c>
      <c r="E240" s="52" t="n">
        <v>10.5</v>
      </c>
      <c r="F240" s="53" t="n">
        <f aca="false">Exit!$D$14</f>
        <v>10.5060900852</v>
      </c>
      <c r="G240" s="49" t="n">
        <f aca="false">IFERROR(IF(ISNUMBER(F240),F240-E240,"n/a"),"n/a")</f>
        <v>0.00609008520000032</v>
      </c>
      <c r="H240" s="50" t="n">
        <v>0.050000001</v>
      </c>
      <c r="I240" s="43" t="str">
        <f aca="false">IFERROR(IF(ISNUMBER(F240),IF(ABS(F240-E240)&lt;=H240,"PASS","FAIL"),"FAIL"),"FAIL")</f>
        <v>PASS</v>
      </c>
    </row>
    <row r="241" customFormat="false" ht="15" hidden="false" customHeight="false" outlineLevel="0" collapsed="false">
      <c r="B241" s="44" t="n">
        <v>232</v>
      </c>
      <c r="C241" s="9" t="s">
        <v>439</v>
      </c>
      <c r="D241" s="9" t="s">
        <v>666</v>
      </c>
      <c r="E241" s="52" t="n">
        <v>460.2</v>
      </c>
      <c r="F241" s="53" t="n">
        <f aca="false">Exit!$D$15</f>
        <v>460.215178331843</v>
      </c>
      <c r="G241" s="49" t="n">
        <f aca="false">IFERROR(IF(ISNUMBER(F241),F241-E241,"n/a"),"n/a")</f>
        <v>0.0151783318429466</v>
      </c>
      <c r="H241" s="50" t="n">
        <v>0.050000001</v>
      </c>
      <c r="I241" s="43" t="str">
        <f aca="false">IFERROR(IF(ISNUMBER(F241),IF(ABS(F241-E241)&lt;=H241,"PASS","FAIL"),"FAIL"),"FAIL")</f>
        <v>PASS</v>
      </c>
    </row>
    <row r="242" customFormat="false" ht="15" hidden="false" customHeight="false" outlineLevel="0" collapsed="false">
      <c r="B242" s="44" t="n">
        <v>233</v>
      </c>
      <c r="C242" s="9" t="s">
        <v>439</v>
      </c>
      <c r="D242" s="9" t="s">
        <v>667</v>
      </c>
      <c r="E242" s="52" t="n">
        <v>417.4</v>
      </c>
      <c r="F242" s="53" t="n">
        <f aca="false">Exit!$D$36</f>
        <v>417.428065862031</v>
      </c>
      <c r="G242" s="49" t="n">
        <f aca="false">IFERROR(IF(ISNUMBER(F242),F242-E242,"n/a"),"n/a")</f>
        <v>0.0280658620307008</v>
      </c>
      <c r="H242" s="50" t="n">
        <v>0.050000001</v>
      </c>
      <c r="I242" s="43" t="str">
        <f aca="false">IFERROR(IF(ISNUMBER(F242),IF(ABS(F242-E242)&lt;=H242,"PASS","FAIL"),"FAIL"),"FAIL")</f>
        <v>PASS</v>
      </c>
    </row>
    <row r="243" customFormat="false" ht="15" hidden="false" customHeight="false" outlineLevel="0" collapsed="false">
      <c r="B243" s="44" t="n">
        <v>234</v>
      </c>
      <c r="C243" s="9" t="s">
        <v>439</v>
      </c>
      <c r="D243" s="9" t="s">
        <v>668</v>
      </c>
      <c r="E243" s="21" t="n">
        <v>0.907</v>
      </c>
      <c r="F243" s="20" t="n">
        <f aca="false">Exit!$D$37</f>
        <v>0.907028028443338</v>
      </c>
      <c r="G243" s="49" t="n">
        <f aca="false">IFERROR(IF(ISNUMBER(F243),F243-E243,"n/a"),"n/a")</f>
        <v>2.80284433379352E-005</v>
      </c>
      <c r="H243" s="50" t="n">
        <v>0.000500001</v>
      </c>
      <c r="I243" s="43" t="str">
        <f aca="false">IFERROR(IF(ISNUMBER(F243),IF(ABS(F243-E243)&lt;=H243,"PASS","FAIL"),"FAIL"),"FAIL")</f>
        <v>PASS</v>
      </c>
    </row>
    <row r="244" customFormat="false" ht="15" hidden="false" customHeight="false" outlineLevel="0" collapsed="false">
      <c r="B244" s="44" t="n">
        <v>235</v>
      </c>
      <c r="C244" s="9" t="s">
        <v>439</v>
      </c>
      <c r="D244" s="9" t="s">
        <v>669</v>
      </c>
      <c r="E244" s="52" t="n">
        <v>22</v>
      </c>
      <c r="F244" s="53" t="n">
        <f aca="false">Exit!$D$38</f>
        <v>21.9698982032648</v>
      </c>
      <c r="G244" s="49" t="n">
        <f aca="false">IFERROR(IF(ISNUMBER(F244),F244-E244,"n/a"),"n/a")</f>
        <v>-0.0301017967352273</v>
      </c>
      <c r="H244" s="50" t="n">
        <v>0.050000001</v>
      </c>
      <c r="I244" s="43" t="str">
        <f aca="false">IFERROR(IF(ISNUMBER(F244),IF(ABS(F244-E244)&lt;=H244,"PASS","FAIL"),"FAIL"),"FAIL")</f>
        <v>PASS</v>
      </c>
    </row>
    <row r="245" customFormat="false" ht="15" hidden="false" customHeight="false" outlineLevel="0" collapsed="false">
      <c r="B245" s="44" t="n">
        <v>236</v>
      </c>
      <c r="C245" s="9" t="s">
        <v>439</v>
      </c>
      <c r="D245" s="9" t="s">
        <v>670</v>
      </c>
      <c r="E245" s="52" t="n">
        <v>20.8</v>
      </c>
      <c r="F245" s="53" t="n">
        <f aca="false">Exit!$D$39</f>
        <v>20.8172142665474</v>
      </c>
      <c r="G245" s="49" t="n">
        <f aca="false">IFERROR(IF(ISNUMBER(F245),F245-E245,"n/a"),"n/a")</f>
        <v>0.0172142665474304</v>
      </c>
      <c r="H245" s="50" t="n">
        <v>0.050000001</v>
      </c>
      <c r="I245" s="43" t="str">
        <f aca="false">IFERROR(IF(ISNUMBER(F245),IF(ABS(F245-E245)&lt;=H245,"PASS","FAIL"),"FAIL"),"FAIL")</f>
        <v>PASS</v>
      </c>
    </row>
    <row r="246" customFormat="false" ht="15" hidden="false" customHeight="false" outlineLevel="0" collapsed="false">
      <c r="B246" s="44" t="n">
        <v>237</v>
      </c>
      <c r="C246" s="9" t="s">
        <v>439</v>
      </c>
      <c r="D246" s="9" t="s">
        <v>671</v>
      </c>
      <c r="E246" s="52" t="n">
        <v>460.2</v>
      </c>
      <c r="F246" s="53" t="n">
        <f aca="false">Exit!$D$15</f>
        <v>460.215178331843</v>
      </c>
      <c r="G246" s="49" t="n">
        <f aca="false">IFERROR(IF(ISNUMBER(F246),F246-E246,"n/a"),"n/a")</f>
        <v>0.0151783318429466</v>
      </c>
      <c r="H246" s="50" t="n">
        <v>0.050000001</v>
      </c>
      <c r="I246" s="43" t="str">
        <f aca="false">IFERROR(IF(ISNUMBER(F246),IF(ABS(F246-E246)&lt;=H246,"PASS","FAIL"),"FAIL"),"FAIL")</f>
        <v>PASS</v>
      </c>
    </row>
    <row r="247" customFormat="false" ht="15" hidden="false" customHeight="false" outlineLevel="0" collapsed="false">
      <c r="B247" s="44" t="n">
        <v>238</v>
      </c>
      <c r="C247" s="9" t="s">
        <v>439</v>
      </c>
      <c r="D247" s="9" t="s">
        <v>672</v>
      </c>
      <c r="E247" s="52" t="n">
        <v>417.4</v>
      </c>
      <c r="F247" s="53" t="n">
        <f aca="false">Exit!$D$36</f>
        <v>417.428065862031</v>
      </c>
      <c r="G247" s="49" t="n">
        <f aca="false">IFERROR(IF(ISNUMBER(F247),F247-E247,"n/a"),"n/a")</f>
        <v>0.0280658620307008</v>
      </c>
      <c r="H247" s="50" t="n">
        <v>0.050000001</v>
      </c>
      <c r="I247" s="43" t="str">
        <f aca="false">IFERROR(IF(ISNUMBER(F247),IF(ABS(F247-E247)&lt;=H247,"PASS","FAIL"),"FAIL"),"FAIL")</f>
        <v>PASS</v>
      </c>
    </row>
    <row r="248" customFormat="false" ht="15" hidden="false" customHeight="false" outlineLevel="0" collapsed="false">
      <c r="B248" s="44" t="n">
        <v>239</v>
      </c>
      <c r="C248" s="9" t="s">
        <v>383</v>
      </c>
      <c r="D248" s="9" t="s">
        <v>673</v>
      </c>
      <c r="E248" s="54" t="n">
        <v>2.2</v>
      </c>
      <c r="F248" s="55" t="n">
        <f aca="false">Returns!$D$17</f>
        <v>2.19698982032648</v>
      </c>
      <c r="G248" s="49" t="n">
        <f aca="false">IFERROR(IF(ISNUMBER(F248),F248-E248,"n/a"),"n/a")</f>
        <v>-0.00301017967352291</v>
      </c>
      <c r="H248" s="50" t="n">
        <v>0.005000001</v>
      </c>
      <c r="I248" s="43" t="str">
        <f aca="false">IFERROR(IF(ISNUMBER(F248),IF(ABS(F248-E248)&lt;=H248,"PASS","FAIL"),"FAIL"),"FAIL")</f>
        <v>PASS</v>
      </c>
    </row>
    <row r="249" customFormat="false" ht="15" hidden="false" customHeight="false" outlineLevel="0" collapsed="false">
      <c r="B249" s="44" t="n">
        <v>240</v>
      </c>
      <c r="C249" s="9" t="s">
        <v>383</v>
      </c>
      <c r="D249" s="9" t="s">
        <v>674</v>
      </c>
      <c r="E249" s="10" t="n">
        <v>0.1705</v>
      </c>
      <c r="F249" s="51" t="n">
        <f aca="false">Returns!$D$15</f>
        <v>0.170484343544686</v>
      </c>
      <c r="G249" s="49" t="n">
        <f aca="false">IFERROR(IF(ISNUMBER(F249),F249-E249,"n/a"),"n/a")</f>
        <v>-1.56564553139005E-005</v>
      </c>
      <c r="H249" s="50" t="n">
        <v>5.0001E-005</v>
      </c>
      <c r="I249" s="43" t="str">
        <f aca="false">IFERROR(IF(ISNUMBER(F249),IF(ABS(F249-E249)&lt;=H249,"PASS","FAIL"),"FAIL"),"FAIL")</f>
        <v>PASS</v>
      </c>
    </row>
    <row r="250" customFormat="false" ht="15" hidden="false" customHeight="false" outlineLevel="0" collapsed="false">
      <c r="B250" s="44" t="n">
        <v>241</v>
      </c>
      <c r="C250" s="9" t="s">
        <v>439</v>
      </c>
      <c r="D250" s="9" t="s">
        <v>675</v>
      </c>
      <c r="E250" s="52" t="n">
        <v>460.2</v>
      </c>
      <c r="F250" s="53" t="n">
        <f aca="false">Exit!$D$15</f>
        <v>460.215178331843</v>
      </c>
      <c r="G250" s="49" t="n">
        <f aca="false">IFERROR(IF(ISNUMBER(F250),F250-E250,"n/a"),"n/a")</f>
        <v>0.0151783318429466</v>
      </c>
      <c r="H250" s="50" t="n">
        <v>0.050000001</v>
      </c>
      <c r="I250" s="43" t="str">
        <f aca="false">IFERROR(IF(ISNUMBER(F250),IF(ABS(F250-E250)&lt;=H250,"PASS","FAIL"),"FAIL"),"FAIL")</f>
        <v>PASS</v>
      </c>
    </row>
    <row r="251" customFormat="false" ht="15" hidden="false" customHeight="false" outlineLevel="0" collapsed="false">
      <c r="B251" s="44" t="n">
        <v>242</v>
      </c>
      <c r="C251" s="9" t="s">
        <v>383</v>
      </c>
      <c r="D251" s="9" t="s">
        <v>676</v>
      </c>
      <c r="E251" s="52" t="n">
        <v>260.2</v>
      </c>
      <c r="F251" s="53" t="n">
        <f aca="false">Returns!$D$21</f>
        <v>260.215178331843</v>
      </c>
      <c r="G251" s="49" t="n">
        <f aca="false">IFERROR(IF(ISNUMBER(F251),F251-E251,"n/a"),"n/a")</f>
        <v>0.0151783318429466</v>
      </c>
      <c r="H251" s="50" t="n">
        <v>0.050000001</v>
      </c>
      <c r="I251" s="43" t="str">
        <f aca="false">IFERROR(IF(ISNUMBER(F251),IF(ABS(F251-E251)&lt;=H251,"PASS","FAIL"),"FAIL"),"FAIL")</f>
        <v>PASS</v>
      </c>
    </row>
    <row r="252" customFormat="false" ht="15" hidden="false" customHeight="false" outlineLevel="0" collapsed="false">
      <c r="B252" s="44" t="n">
        <v>243</v>
      </c>
      <c r="C252" s="9" t="s">
        <v>383</v>
      </c>
      <c r="D252" s="9" t="s">
        <v>677</v>
      </c>
      <c r="E252" s="54" t="n">
        <v>2.3</v>
      </c>
      <c r="F252" s="55" t="n">
        <f aca="false">Returns!$D$20</f>
        <v>2.30107589165922</v>
      </c>
      <c r="G252" s="49" t="n">
        <f aca="false">IFERROR(IF(ISNUMBER(F252),F252-E252,"n/a"),"n/a")</f>
        <v>0.00107589165921507</v>
      </c>
      <c r="H252" s="50" t="n">
        <v>0.005000001</v>
      </c>
      <c r="I252" s="43" t="str">
        <f aca="false">IFERROR(IF(ISNUMBER(F252),IF(ABS(F252-E252)&lt;=H252,"PASS","FAIL"),"FAIL"),"FAIL")</f>
        <v>PASS</v>
      </c>
    </row>
    <row r="253" customFormat="false" ht="15" hidden="false" customHeight="false" outlineLevel="0" collapsed="false">
      <c r="B253" s="44" t="n">
        <v>244</v>
      </c>
      <c r="C253" s="9" t="s">
        <v>383</v>
      </c>
      <c r="D253" s="9" t="s">
        <v>678</v>
      </c>
      <c r="E253" s="10" t="n">
        <v>0.1814</v>
      </c>
      <c r="F253" s="51" t="n">
        <f aca="false">Returns!$D$19</f>
        <v>0.18137068110822</v>
      </c>
      <c r="G253" s="49" t="n">
        <f aca="false">IFERROR(IF(ISNUMBER(F253),F253-E253,"n/a"),"n/a")</f>
        <v>-2.93188917800946E-005</v>
      </c>
      <c r="H253" s="50" t="n">
        <v>5.0001E-005</v>
      </c>
      <c r="I253" s="43" t="str">
        <f aca="false">IFERROR(IF(ISNUMBER(F253),IF(ABS(F253-E253)&lt;=H253,"PASS","FAIL"),"FAIL"),"FAIL")</f>
        <v>PASS</v>
      </c>
    </row>
    <row r="254" customFormat="false" ht="15" hidden="false" customHeight="false" outlineLevel="0" collapsed="false">
      <c r="B254" s="44" t="n">
        <v>245</v>
      </c>
      <c r="C254" s="9" t="s">
        <v>439</v>
      </c>
      <c r="D254" s="9" t="s">
        <v>679</v>
      </c>
      <c r="E254" s="52" t="n">
        <v>76.7</v>
      </c>
      <c r="F254" s="53" t="n">
        <f aca="false">Exit!$D$16</f>
        <v>76.6555461772</v>
      </c>
      <c r="G254" s="49" t="n">
        <f aca="false">IFERROR(IF(ISNUMBER(F254),F254-E254,"n/a"),"n/a")</f>
        <v>-0.0444538227999942</v>
      </c>
      <c r="H254" s="50" t="n">
        <v>0.050000001</v>
      </c>
      <c r="I254" s="43" t="str">
        <f aca="false">IFERROR(IF(ISNUMBER(F254),IF(ABS(F254-E254)&lt;=H254,"PASS","FAIL"),"FAIL"),"FAIL")</f>
        <v>PASS</v>
      </c>
    </row>
    <row r="255" customFormat="false" ht="15" hidden="false" customHeight="false" outlineLevel="0" collapsed="false">
      <c r="B255" s="44" t="n">
        <v>246</v>
      </c>
      <c r="C255" s="9" t="s">
        <v>439</v>
      </c>
      <c r="D255" s="9" t="s">
        <v>680</v>
      </c>
      <c r="E255" s="52" t="n">
        <v>200</v>
      </c>
      <c r="F255" s="53" t="n">
        <f aca="false">Exit!$D$18</f>
        <v>200</v>
      </c>
      <c r="G255" s="49" t="n">
        <f aca="false">IFERROR(IF(ISNUMBER(F255),F255-E255,"n/a"),"n/a")</f>
        <v>0</v>
      </c>
      <c r="H255" s="50" t="n">
        <v>0.050000001</v>
      </c>
      <c r="I255" s="43" t="str">
        <f aca="false">IFERROR(IF(ISNUMBER(F255),IF(ABS(F255-E255)&lt;=H255,"PASS","FAIL"),"FAIL"),"FAIL")</f>
        <v>PASS</v>
      </c>
    </row>
    <row r="256" customFormat="false" ht="15" hidden="false" customHeight="false" outlineLevel="0" collapsed="false">
      <c r="B256" s="44" t="n">
        <v>247</v>
      </c>
      <c r="C256" s="9" t="s">
        <v>439</v>
      </c>
      <c r="D256" s="9" t="s">
        <v>681</v>
      </c>
      <c r="E256" s="52" t="n">
        <v>190</v>
      </c>
      <c r="F256" s="53" t="n">
        <f aca="false">Exit!$D$19</f>
        <v>190</v>
      </c>
      <c r="G256" s="49" t="n">
        <f aca="false">IFERROR(IF(ISNUMBER(F256),F256-E256,"n/a"),"n/a")</f>
        <v>0</v>
      </c>
      <c r="H256" s="50" t="n">
        <v>0.050000001</v>
      </c>
      <c r="I256" s="43" t="str">
        <f aca="false">IFERROR(IF(ISNUMBER(F256),IF(ABS(F256-E256)&lt;=H256,"PASS","FAIL"),"FAIL"),"FAIL")</f>
        <v>PASS</v>
      </c>
    </row>
    <row r="257" customFormat="false" ht="15" hidden="false" customHeight="false" outlineLevel="0" collapsed="false">
      <c r="B257" s="44" t="n">
        <v>248</v>
      </c>
      <c r="C257" s="9" t="s">
        <v>439</v>
      </c>
      <c r="D257" s="9" t="s">
        <v>682</v>
      </c>
      <c r="E257" s="21" t="n">
        <v>0.95</v>
      </c>
      <c r="F257" s="20" t="n">
        <f aca="false">Exit!$D$20</f>
        <v>0.95</v>
      </c>
      <c r="G257" s="49" t="n">
        <f aca="false">IFERROR(IF(ISNUMBER(F257),F257-E257,"n/a"),"n/a")</f>
        <v>0</v>
      </c>
      <c r="H257" s="50" t="n">
        <v>0.000500001</v>
      </c>
      <c r="I257" s="43" t="str">
        <f aca="false">IFERROR(IF(ISNUMBER(F257),IF(ABS(F257-E257)&lt;=H257,"PASS","FAIL"),"FAIL"),"FAIL")</f>
        <v>PASS</v>
      </c>
    </row>
    <row r="258" customFormat="false" ht="15" hidden="false" customHeight="false" outlineLevel="0" collapsed="false">
      <c r="B258" s="44" t="n">
        <v>249</v>
      </c>
      <c r="C258" s="9" t="s">
        <v>439</v>
      </c>
      <c r="D258" s="9" t="s">
        <v>683</v>
      </c>
      <c r="E258" s="52" t="n">
        <v>10</v>
      </c>
      <c r="F258" s="53" t="n">
        <f aca="false">Exit!$D$21</f>
        <v>10</v>
      </c>
      <c r="G258" s="49" t="n">
        <f aca="false">IFERROR(IF(ISNUMBER(F258),F258-E258,"n/a"),"n/a")</f>
        <v>0</v>
      </c>
      <c r="H258" s="50" t="n">
        <v>0.050000001</v>
      </c>
      <c r="I258" s="43" t="str">
        <f aca="false">IFERROR(IF(ISNUMBER(F258),IF(ABS(F258-E258)&lt;=H258,"PASS","FAIL"),"FAIL"),"FAIL")</f>
        <v>PASS</v>
      </c>
    </row>
    <row r="259" customFormat="false" ht="15" hidden="false" customHeight="false" outlineLevel="0" collapsed="false">
      <c r="B259" s="44" t="n">
        <v>250</v>
      </c>
      <c r="C259" s="9" t="s">
        <v>439</v>
      </c>
      <c r="D259" s="9" t="s">
        <v>684</v>
      </c>
      <c r="E259" s="21" t="n">
        <v>0.05</v>
      </c>
      <c r="F259" s="20" t="n">
        <f aca="false">Exit!$D$22</f>
        <v>0.05</v>
      </c>
      <c r="G259" s="49" t="n">
        <f aca="false">IFERROR(IF(ISNUMBER(F259),F259-E259,"n/a"),"n/a")</f>
        <v>0</v>
      </c>
      <c r="H259" s="50" t="n">
        <v>0.000500001</v>
      </c>
      <c r="I259" s="43" t="str">
        <f aca="false">IFERROR(IF(ISNUMBER(F259),IF(ABS(F259-E259)&lt;=H259,"PASS","FAIL"),"FAIL"),"FAIL")</f>
        <v>PASS</v>
      </c>
    </row>
    <row r="260" customFormat="false" ht="15" hidden="false" customHeight="false" outlineLevel="0" collapsed="false">
      <c r="B260" s="44" t="n">
        <v>251</v>
      </c>
      <c r="C260" s="9" t="s">
        <v>439</v>
      </c>
      <c r="D260" s="9" t="s">
        <v>685</v>
      </c>
      <c r="E260" s="52" t="n">
        <v>4</v>
      </c>
      <c r="F260" s="53" t="n">
        <f aca="false">Exit!$D$23</f>
        <v>4</v>
      </c>
      <c r="G260" s="49" t="n">
        <f aca="false">IFERROR(IF(ISNUMBER(F260),F260-E260,"n/a"),"n/a")</f>
        <v>0</v>
      </c>
      <c r="H260" s="50" t="n">
        <v>0.050000001</v>
      </c>
      <c r="I260" s="43" t="str">
        <f aca="false">IFERROR(IF(ISNUMBER(F260),IF(ABS(F260-E260)&lt;=H260,"PASS","FAIL"),"FAIL"),"FAIL")</f>
        <v>PASS</v>
      </c>
    </row>
    <row r="261" customFormat="false" ht="15" hidden="false" customHeight="false" outlineLevel="0" collapsed="false">
      <c r="B261" s="44" t="n">
        <v>252</v>
      </c>
      <c r="C261" s="9" t="s">
        <v>439</v>
      </c>
      <c r="D261" s="9" t="s">
        <v>686</v>
      </c>
      <c r="E261" s="54" t="n">
        <v>17.39</v>
      </c>
      <c r="F261" s="55" t="n">
        <f aca="false">Exit!$D$27</f>
        <v>17.3913043478261</v>
      </c>
      <c r="G261" s="49" t="n">
        <f aca="false">IFERROR(IF(ISNUMBER(F261),F261-E261,"n/a"),"n/a")</f>
        <v>0.00130434782608546</v>
      </c>
      <c r="H261" s="50" t="n">
        <v>0.005000001</v>
      </c>
      <c r="I261" s="43" t="str">
        <f aca="false">IFERROR(IF(ISNUMBER(F261),IF(ABS(F261-E261)&lt;=H261,"PASS","FAIL"),"FAIL"),"FAIL")</f>
        <v>PASS</v>
      </c>
    </row>
    <row r="262" customFormat="false" ht="15" hidden="false" customHeight="false" outlineLevel="0" collapsed="false">
      <c r="B262" s="44" t="n">
        <v>253</v>
      </c>
      <c r="C262" s="9" t="s">
        <v>439</v>
      </c>
      <c r="D262" s="9" t="s">
        <v>687</v>
      </c>
      <c r="E262" s="52" t="n">
        <v>460.2</v>
      </c>
      <c r="F262" s="53" t="n">
        <f aca="false">Exit!$D$15</f>
        <v>460.215178331843</v>
      </c>
      <c r="G262" s="49" t="n">
        <f aca="false">IFERROR(IF(ISNUMBER(F262),F262-E262,"n/a"),"n/a")</f>
        <v>0.0151783318429466</v>
      </c>
      <c r="H262" s="50" t="n">
        <v>0.050000001</v>
      </c>
      <c r="I262" s="43" t="str">
        <f aca="false">IFERROR(IF(ISNUMBER(F262),IF(ABS(F262-E262)&lt;=H262,"PASS","FAIL"),"FAIL"),"FAIL")</f>
        <v>PASS</v>
      </c>
    </row>
    <row r="263" customFormat="false" ht="15" hidden="false" customHeight="false" outlineLevel="0" collapsed="false">
      <c r="B263" s="44" t="n">
        <v>254</v>
      </c>
      <c r="C263" s="9" t="s">
        <v>383</v>
      </c>
      <c r="D263" s="9" t="s">
        <v>688</v>
      </c>
      <c r="E263" s="54" t="n">
        <v>2.2</v>
      </c>
      <c r="F263" s="55" t="n">
        <f aca="false">Returns!$D$17</f>
        <v>2.19698982032648</v>
      </c>
      <c r="G263" s="49" t="n">
        <f aca="false">IFERROR(IF(ISNUMBER(F263),F263-E263,"n/a"),"n/a")</f>
        <v>-0.00301017967352291</v>
      </c>
      <c r="H263" s="50" t="n">
        <v>0.005000001</v>
      </c>
      <c r="I263" s="43" t="str">
        <f aca="false">IFERROR(IF(ISNUMBER(F263),IF(ABS(F263-E263)&lt;=H263,"PASS","FAIL"),"FAIL"),"FAIL")</f>
        <v>PASS</v>
      </c>
    </row>
    <row r="264" customFormat="false" ht="15" hidden="false" customHeight="false" outlineLevel="0" collapsed="false">
      <c r="B264" s="44" t="n">
        <v>255</v>
      </c>
      <c r="C264" s="9" t="s">
        <v>439</v>
      </c>
      <c r="D264" s="9" t="s">
        <v>689</v>
      </c>
      <c r="E264" s="54" t="n">
        <v>17.39</v>
      </c>
      <c r="F264" s="55" t="n">
        <f aca="false">Exit!$D$33</f>
        <v>17.3913043478261</v>
      </c>
      <c r="G264" s="49" t="n">
        <f aca="false">IFERROR(IF(ISNUMBER(F264),F264-E264,"n/a"),"n/a")</f>
        <v>0.00130434782608546</v>
      </c>
      <c r="H264" s="50" t="n">
        <v>0.005000001</v>
      </c>
      <c r="I264" s="43" t="str">
        <f aca="false">IFERROR(IF(ISNUMBER(F264),IF(ABS(F264-E264)&lt;=H264,"PASS","FAIL"),"FAIL"),"FAIL")</f>
        <v>PASS</v>
      </c>
    </row>
    <row r="265" customFormat="false" ht="15" hidden="false" customHeight="false" outlineLevel="0" collapsed="false">
      <c r="B265" s="44" t="n">
        <v>256</v>
      </c>
      <c r="C265" s="9" t="s">
        <v>439</v>
      </c>
      <c r="D265" s="9" t="s">
        <v>690</v>
      </c>
      <c r="E265" s="57" t="n">
        <v>2.197</v>
      </c>
      <c r="F265" s="58" t="n">
        <f aca="false">Exit!$D$34</f>
        <v>2.19698982032648</v>
      </c>
      <c r="G265" s="49" t="n">
        <f aca="false">IFERROR(IF(ISNUMBER(F265),F265-E265,"n/a"),"n/a")</f>
        <v>-1.01796735227921E-005</v>
      </c>
      <c r="H265" s="50" t="n">
        <v>5.0001E-005</v>
      </c>
      <c r="I265" s="43" t="str">
        <f aca="false">IFERROR(IF(ISNUMBER(F265),IF(ABS(F265-E265)&lt;=H265,"PASS","FAIL"),"FAIL"),"FAIL")</f>
        <v>PASS</v>
      </c>
    </row>
    <row r="266" customFormat="false" ht="15" hidden="false" customHeight="false" outlineLevel="0" collapsed="false">
      <c r="B266" s="44" t="n">
        <v>257</v>
      </c>
      <c r="C266" s="9" t="s">
        <v>439</v>
      </c>
      <c r="D266" s="9" t="s">
        <v>691</v>
      </c>
      <c r="E266" s="52" t="n">
        <v>20.8</v>
      </c>
      <c r="F266" s="53" t="n">
        <f aca="false">Exit!$D$39</f>
        <v>20.8172142665474</v>
      </c>
      <c r="G266" s="49" t="n">
        <f aca="false">IFERROR(IF(ISNUMBER(F266),F266-E266,"n/a"),"n/a")</f>
        <v>0.0172142665474304</v>
      </c>
      <c r="H266" s="50" t="n">
        <v>0.050000001</v>
      </c>
      <c r="I266" s="43" t="str">
        <f aca="false">IFERROR(IF(ISNUMBER(F266),IF(ABS(F266-E266)&lt;=H266,"PASS","FAIL"),"FAIL"),"FAIL")</f>
        <v>PASS</v>
      </c>
    </row>
    <row r="267" customFormat="false" ht="15" hidden="false" customHeight="false" outlineLevel="0" collapsed="false">
      <c r="B267" s="44" t="n">
        <v>258</v>
      </c>
      <c r="C267" s="9" t="s">
        <v>439</v>
      </c>
      <c r="D267" s="9" t="s">
        <v>692</v>
      </c>
      <c r="E267" s="52" t="n">
        <v>22</v>
      </c>
      <c r="F267" s="53" t="n">
        <f aca="false">Exit!$D$38</f>
        <v>21.9698982032648</v>
      </c>
      <c r="G267" s="49" t="n">
        <f aca="false">IFERROR(IF(ISNUMBER(F267),F267-E267,"n/a"),"n/a")</f>
        <v>-0.0301017967352273</v>
      </c>
      <c r="H267" s="50" t="n">
        <v>0.050000001</v>
      </c>
      <c r="I267" s="43" t="str">
        <f aca="false">IFERROR(IF(ISNUMBER(F267),IF(ABS(F267-E267)&lt;=H267,"PASS","FAIL"),"FAIL"),"FAIL")</f>
        <v>PASS</v>
      </c>
    </row>
    <row r="268" customFormat="false" ht="15" hidden="false" customHeight="false" outlineLevel="0" collapsed="false">
      <c r="B268" s="44" t="n">
        <v>259</v>
      </c>
      <c r="C268" s="9" t="s">
        <v>439</v>
      </c>
      <c r="D268" s="9" t="s">
        <v>693</v>
      </c>
      <c r="E268" s="52" t="n">
        <v>42.8</v>
      </c>
      <c r="F268" s="53" t="n">
        <f aca="false">Exit!$D$41</f>
        <v>42.7871124698122</v>
      </c>
      <c r="G268" s="49" t="n">
        <f aca="false">IFERROR(IF(ISNUMBER(F268),F268-E268,"n/a"),"n/a")</f>
        <v>-0.0128875301877969</v>
      </c>
      <c r="H268" s="50" t="n">
        <v>0.050000001</v>
      </c>
      <c r="I268" s="43" t="str">
        <f aca="false">IFERROR(IF(ISNUMBER(F268),IF(ABS(F268-E268)&lt;=H268,"PASS","FAIL"),"FAIL"),"FAIL")</f>
        <v>PASS</v>
      </c>
    </row>
    <row r="269" customFormat="false" ht="15" hidden="false" customHeight="false" outlineLevel="0" collapsed="false">
      <c r="B269" s="44" t="n">
        <v>260</v>
      </c>
      <c r="C269" s="9" t="s">
        <v>439</v>
      </c>
      <c r="D269" s="9" t="s">
        <v>694</v>
      </c>
      <c r="E269" s="54" t="n">
        <v>4.28</v>
      </c>
      <c r="F269" s="55" t="n">
        <f aca="false">Exit!$D$42</f>
        <v>4.27871124698122</v>
      </c>
      <c r="G269" s="49" t="n">
        <f aca="false">IFERROR(IF(ISNUMBER(F269),F269-E269,"n/a"),"n/a")</f>
        <v>-0.0012887530187804</v>
      </c>
      <c r="H269" s="50" t="n">
        <v>0.005000001</v>
      </c>
      <c r="I269" s="43" t="str">
        <f aca="false">IFERROR(IF(ISNUMBER(F269),IF(ABS(F269-E269)&lt;=H269,"PASS","FAIL"),"FAIL"),"FAIL")</f>
        <v>PASS</v>
      </c>
    </row>
    <row r="270" customFormat="false" ht="15" hidden="false" customHeight="false" outlineLevel="0" collapsed="false">
      <c r="B270" s="44" t="n">
        <v>261</v>
      </c>
      <c r="C270" s="9" t="s">
        <v>439</v>
      </c>
      <c r="D270" s="9" t="s">
        <v>695</v>
      </c>
      <c r="E270" s="52" t="n">
        <v>417.4</v>
      </c>
      <c r="F270" s="53" t="n">
        <f aca="false">Exit!$D$36</f>
        <v>417.428065862031</v>
      </c>
      <c r="G270" s="49" t="n">
        <f aca="false">IFERROR(IF(ISNUMBER(F270),F270-E270,"n/a"),"n/a")</f>
        <v>0.0280658620307008</v>
      </c>
      <c r="H270" s="50" t="n">
        <v>0.050000001</v>
      </c>
      <c r="I270" s="43" t="str">
        <f aca="false">IFERROR(IF(ISNUMBER(F270),IF(ABS(F270-E270)&lt;=H270,"PASS","FAIL"),"FAIL"),"FAIL")</f>
        <v>PASS</v>
      </c>
    </row>
    <row r="271" customFormat="false" ht="15" hidden="false" customHeight="false" outlineLevel="0" collapsed="false">
      <c r="B271" s="44" t="n">
        <v>262</v>
      </c>
      <c r="C271" s="9" t="s">
        <v>439</v>
      </c>
      <c r="D271" s="9" t="s">
        <v>696</v>
      </c>
      <c r="E271" s="52" t="n">
        <v>8.8</v>
      </c>
      <c r="F271" s="53" t="n">
        <f aca="false">Exit!$D$43</f>
        <v>8.78795928130591</v>
      </c>
      <c r="G271" s="49" t="n">
        <f aca="false">IFERROR(IF(ISNUMBER(F271),F271-E271,"n/a"),"n/a")</f>
        <v>-0.0120407186940916</v>
      </c>
      <c r="H271" s="50" t="n">
        <v>0.050000001</v>
      </c>
      <c r="I271" s="43" t="str">
        <f aca="false">IFERROR(IF(ISNUMBER(F271),IF(ABS(F271-E271)&lt;=H271,"PASS","FAIL"),"FAIL"),"FAIL")</f>
        <v>PASS</v>
      </c>
    </row>
    <row r="272" customFormat="false" ht="15" hidden="false" customHeight="false" outlineLevel="0" collapsed="false">
      <c r="B272" s="44" t="n">
        <v>263</v>
      </c>
      <c r="C272" s="9" t="s">
        <v>439</v>
      </c>
      <c r="D272" s="9" t="s">
        <v>697</v>
      </c>
      <c r="E272" s="52" t="n">
        <v>7.3</v>
      </c>
      <c r="F272" s="53" t="n">
        <f aca="false">Exit!$D$44</f>
        <v>7.2860249932916</v>
      </c>
      <c r="G272" s="49" t="n">
        <f aca="false">IFERROR(IF(ISNUMBER(F272),F272-E272,"n/a"),"n/a")</f>
        <v>-0.0139750067083995</v>
      </c>
      <c r="H272" s="50" t="n">
        <v>0.050000001</v>
      </c>
      <c r="I272" s="43" t="str">
        <f aca="false">IFERROR(IF(ISNUMBER(F272),IF(ABS(F272-E272)&lt;=H272,"PASS","FAIL"),"FAIL"),"FAIL")</f>
        <v>PASS</v>
      </c>
    </row>
    <row r="273" customFormat="false" ht="15" hidden="false" customHeight="false" outlineLevel="0" collapsed="false">
      <c r="B273" s="44" t="n">
        <v>264</v>
      </c>
      <c r="C273" s="9" t="s">
        <v>439</v>
      </c>
      <c r="D273" s="9" t="s">
        <v>698</v>
      </c>
      <c r="E273" s="52" t="n">
        <v>16.1</v>
      </c>
      <c r="F273" s="53" t="n">
        <f aca="false">Exit!$D$45</f>
        <v>16.0739842745975</v>
      </c>
      <c r="G273" s="49" t="n">
        <f aca="false">IFERROR(IF(ISNUMBER(F273),F273-E273,"n/a"),"n/a")</f>
        <v>-0.0260157254024911</v>
      </c>
      <c r="H273" s="50" t="n">
        <v>0.050000001</v>
      </c>
      <c r="I273" s="43" t="str">
        <f aca="false">IFERROR(IF(ISNUMBER(F273),IF(ABS(F273-E273)&lt;=H273,"PASS","FAIL"),"FAIL"),"FAIL")</f>
        <v>PASS</v>
      </c>
    </row>
    <row r="274" customFormat="false" ht="15" hidden="false" customHeight="false" outlineLevel="0" collapsed="false">
      <c r="B274" s="44" t="n">
        <v>265</v>
      </c>
      <c r="C274" s="9" t="s">
        <v>439</v>
      </c>
      <c r="D274" s="9" t="s">
        <v>699</v>
      </c>
      <c r="E274" s="54" t="n">
        <v>4.02</v>
      </c>
      <c r="F274" s="55" t="n">
        <f aca="false">Exit!$D$46</f>
        <v>4.01849606864938</v>
      </c>
      <c r="G274" s="49" t="n">
        <f aca="false">IFERROR(IF(ISNUMBER(F274),F274-E274,"n/a"),"n/a")</f>
        <v>-0.00150393135062199</v>
      </c>
      <c r="H274" s="50" t="n">
        <v>0.005000001</v>
      </c>
      <c r="I274" s="43" t="str">
        <f aca="false">IFERROR(IF(ISNUMBER(F274),IF(ABS(F274-E274)&lt;=H274,"PASS","FAIL"),"FAIL"),"FAIL")</f>
        <v>PASS</v>
      </c>
    </row>
    <row r="275" customFormat="false" ht="15" hidden="false" customHeight="false" outlineLevel="0" collapsed="false">
      <c r="B275" s="44" t="n">
        <v>266</v>
      </c>
      <c r="C275" s="9" t="s">
        <v>439</v>
      </c>
      <c r="D275" s="9" t="s">
        <v>700</v>
      </c>
      <c r="E275" s="52" t="n">
        <v>19.8</v>
      </c>
      <c r="F275" s="53" t="n">
        <f aca="false">Exit!$D$48</f>
        <v>19.7763535532201</v>
      </c>
      <c r="G275" s="49" t="n">
        <f aca="false">IFERROR(IF(ISNUMBER(F275),F275-E275,"n/a"),"n/a")</f>
        <v>-0.0236464467798676</v>
      </c>
      <c r="H275" s="50" t="n">
        <v>0.050000001</v>
      </c>
      <c r="I275" s="43" t="str">
        <f aca="false">IFERROR(IF(ISNUMBER(F275),IF(ABS(F275-E275)&lt;=H275,"PASS","FAIL"),"FAIL"),"FAIL")</f>
        <v>PASS</v>
      </c>
    </row>
    <row r="276" customFormat="false" ht="15" hidden="false" customHeight="false" outlineLevel="0" collapsed="false">
      <c r="B276" s="44" t="n">
        <v>267</v>
      </c>
      <c r="C276" s="9" t="s">
        <v>439</v>
      </c>
      <c r="D276" s="9" t="s">
        <v>701</v>
      </c>
      <c r="E276" s="52" t="n">
        <v>437.2</v>
      </c>
      <c r="F276" s="53" t="n">
        <f aca="false">Exit!$D$47</f>
        <v>437.204419415251</v>
      </c>
      <c r="G276" s="49" t="n">
        <f aca="false">IFERROR(IF(ISNUMBER(F276),F276-E276,"n/a"),"n/a")</f>
        <v>0.00441941525082257</v>
      </c>
      <c r="H276" s="50" t="n">
        <v>0.050000001</v>
      </c>
      <c r="I276" s="43" t="str">
        <f aca="false">IFERROR(IF(ISNUMBER(F276),IF(ABS(F276-E276)&lt;=H276,"PASS","FAIL"),"FAIL"),"FAIL")</f>
        <v>PASS</v>
      </c>
    </row>
    <row r="277" customFormat="false" ht="15" hidden="false" customHeight="false" outlineLevel="0" collapsed="false">
      <c r="B277" s="44" t="n">
        <v>268</v>
      </c>
      <c r="C277" s="9" t="s">
        <v>439</v>
      </c>
      <c r="D277" s="9" t="s">
        <v>702</v>
      </c>
      <c r="E277" s="52" t="n">
        <v>77.8</v>
      </c>
      <c r="F277" s="53" t="n">
        <f aca="false">Exit!$D$7</f>
        <v>77.82288952</v>
      </c>
      <c r="G277" s="49" t="n">
        <f aca="false">IFERROR(IF(ISNUMBER(F277),F277-E277,"n/a"),"n/a")</f>
        <v>0.0228895200000068</v>
      </c>
      <c r="H277" s="50" t="n">
        <v>0.050000001</v>
      </c>
      <c r="I277" s="43" t="str">
        <f aca="false">IFERROR(IF(ISNUMBER(F277),IF(ABS(F277-E277)&lt;=H277,"PASS","FAIL"),"FAIL"),"FAIL")</f>
        <v>PASS</v>
      </c>
    </row>
    <row r="278" customFormat="false" ht="15" hidden="false" customHeight="false" outlineLevel="0" collapsed="false">
      <c r="B278" s="44" t="n">
        <v>269</v>
      </c>
      <c r="C278" s="9" t="s">
        <v>439</v>
      </c>
      <c r="D278" s="9" t="s">
        <v>703</v>
      </c>
      <c r="E278" s="52" t="n">
        <v>460.2</v>
      </c>
      <c r="F278" s="53" t="n">
        <f aca="false">Exit!$D$15</f>
        <v>460.215178331843</v>
      </c>
      <c r="G278" s="49" t="n">
        <f aca="false">IFERROR(IF(ISNUMBER(F278),F278-E278,"n/a"),"n/a")</f>
        <v>0.0151783318429466</v>
      </c>
      <c r="H278" s="50" t="n">
        <v>0.050000001</v>
      </c>
      <c r="I278" s="43" t="str">
        <f aca="false">IFERROR(IF(ISNUMBER(F278),IF(ABS(F278-E278)&lt;=H278,"PASS","FAIL"),"FAIL"),"FAIL")</f>
        <v>PASS</v>
      </c>
    </row>
    <row r="279" customFormat="false" ht="15" hidden="false" customHeight="false" outlineLevel="0" collapsed="false">
      <c r="B279" s="44" t="n">
        <v>270</v>
      </c>
      <c r="C279" s="9" t="s">
        <v>383</v>
      </c>
      <c r="D279" s="9" t="s">
        <v>704</v>
      </c>
      <c r="E279" s="10" t="n">
        <v>0.1705</v>
      </c>
      <c r="F279" s="51" t="n">
        <f aca="false">Returns!$D$15</f>
        <v>0.170484343544686</v>
      </c>
      <c r="G279" s="49" t="n">
        <f aca="false">IFERROR(IF(ISNUMBER(F279),F279-E279,"n/a"),"n/a")</f>
        <v>-1.56564553139005E-005</v>
      </c>
      <c r="H279" s="50" t="n">
        <v>5.0001E-005</v>
      </c>
      <c r="I279" s="43" t="str">
        <f aca="false">IFERROR(IF(ISNUMBER(F279),IF(ABS(F279-E279)&lt;=H279,"PASS","FAIL"),"FAIL"),"FAIL")</f>
        <v>PASS</v>
      </c>
    </row>
    <row r="280" customFormat="false" ht="15" hidden="false" customHeight="false" outlineLevel="0" collapsed="false">
      <c r="B280" s="44" t="n">
        <v>271</v>
      </c>
      <c r="C280" s="9" t="s">
        <v>383</v>
      </c>
      <c r="D280" s="9" t="s">
        <v>705</v>
      </c>
      <c r="E280" s="54" t="n">
        <v>2.2</v>
      </c>
      <c r="F280" s="55" t="n">
        <f aca="false">Returns!$D$17</f>
        <v>2.19698982032648</v>
      </c>
      <c r="G280" s="49" t="n">
        <f aca="false">IFERROR(IF(ISNUMBER(F280),F280-E280,"n/a"),"n/a")</f>
        <v>-0.00301017967352291</v>
      </c>
      <c r="H280" s="50" t="n">
        <v>0.005000001</v>
      </c>
      <c r="I280" s="43" t="str">
        <f aca="false">IFERROR(IF(ISNUMBER(F280),IF(ABS(F280-E280)&lt;=H280,"PASS","FAIL"),"FAIL"),"FAIL")</f>
        <v>PASS</v>
      </c>
    </row>
    <row r="281" customFormat="false" ht="15" hidden="false" customHeight="false" outlineLevel="0" collapsed="false">
      <c r="B281" s="44" t="n">
        <v>272</v>
      </c>
      <c r="C281" s="9" t="s">
        <v>383</v>
      </c>
      <c r="D281" s="9" t="s">
        <v>706</v>
      </c>
      <c r="E281" s="10" t="n">
        <v>0.1705</v>
      </c>
      <c r="F281" s="51" t="n">
        <f aca="false">Returns!$D$15</f>
        <v>0.170484343544686</v>
      </c>
      <c r="G281" s="49" t="n">
        <f aca="false">IFERROR(IF(ISNUMBER(F281),F281-E281,"n/a"),"n/a")</f>
        <v>-1.56564553139005E-005</v>
      </c>
      <c r="H281" s="50" t="n">
        <v>5.0001E-005</v>
      </c>
      <c r="I281" s="43" t="str">
        <f aca="false">IFERROR(IF(ISNUMBER(F281),IF(ABS(F281-E281)&lt;=H281,"PASS","FAIL"),"FAIL"),"FAIL")</f>
        <v>PASS</v>
      </c>
    </row>
    <row r="282" customFormat="false" ht="15" hidden="false" customHeight="false" outlineLevel="0" collapsed="false">
      <c r="B282" s="44" t="n">
        <v>273</v>
      </c>
      <c r="C282" s="9" t="s">
        <v>383</v>
      </c>
      <c r="D282" s="9" t="s">
        <v>707</v>
      </c>
      <c r="E282" s="54" t="n">
        <v>2.2</v>
      </c>
      <c r="F282" s="55" t="n">
        <f aca="false">Returns!$D$17</f>
        <v>2.19698982032648</v>
      </c>
      <c r="G282" s="49" t="n">
        <f aca="false">IFERROR(IF(ISNUMBER(F282),F282-E282,"n/a"),"n/a")</f>
        <v>-0.00301017967352291</v>
      </c>
      <c r="H282" s="50" t="n">
        <v>0.005000001</v>
      </c>
      <c r="I282" s="43" t="str">
        <f aca="false">IFERROR(IF(ISNUMBER(F282),IF(ABS(F282-E282)&lt;=H282,"PASS","FAIL"),"FAIL"),"FAIL")</f>
        <v>PASS</v>
      </c>
    </row>
    <row r="283" customFormat="false" ht="15" hidden="false" customHeight="false" outlineLevel="0" collapsed="false">
      <c r="B283" s="44" t="n">
        <v>274</v>
      </c>
      <c r="C283" s="9" t="s">
        <v>383</v>
      </c>
      <c r="D283" s="9" t="s">
        <v>708</v>
      </c>
      <c r="E283" s="10" t="n">
        <v>0.1705</v>
      </c>
      <c r="F283" s="51" t="n">
        <f aca="false">Returns!$D$15</f>
        <v>0.170484343544686</v>
      </c>
      <c r="G283" s="49" t="n">
        <f aca="false">IFERROR(IF(ISNUMBER(F283),F283-E283,"n/a"),"n/a")</f>
        <v>-1.56564553139005E-005</v>
      </c>
      <c r="H283" s="50" t="n">
        <v>5.0001E-005</v>
      </c>
      <c r="I283" s="43" t="str">
        <f aca="false">IFERROR(IF(ISNUMBER(F283),IF(ABS(F283-E283)&lt;=H283,"PASS","FAIL"),"FAIL"),"FAIL")</f>
        <v>PASS</v>
      </c>
    </row>
    <row r="284" customFormat="false" ht="15" hidden="false" customHeight="false" outlineLevel="0" collapsed="false">
      <c r="B284" s="44" t="n">
        <v>275</v>
      </c>
      <c r="C284" s="9" t="s">
        <v>383</v>
      </c>
      <c r="D284" s="9" t="s">
        <v>709</v>
      </c>
      <c r="E284" s="54" t="n">
        <v>2.2</v>
      </c>
      <c r="F284" s="55" t="n">
        <f aca="false">Returns!$D$17</f>
        <v>2.19698982032648</v>
      </c>
      <c r="G284" s="49" t="n">
        <f aca="false">IFERROR(IF(ISNUMBER(F284),F284-E284,"n/a"),"n/a")</f>
        <v>-0.00301017967352291</v>
      </c>
      <c r="H284" s="50" t="n">
        <v>0.005000001</v>
      </c>
      <c r="I284" s="43" t="str">
        <f aca="false">IFERROR(IF(ISNUMBER(F284),IF(ABS(F284-E284)&lt;=H284,"PASS","FAIL"),"FAIL"),"FAIL")</f>
        <v>PASS</v>
      </c>
    </row>
    <row r="285" customFormat="false" ht="15" hidden="false" customHeight="false" outlineLevel="0" collapsed="false">
      <c r="B285" s="44" t="n">
        <v>276</v>
      </c>
      <c r="C285" s="9" t="s">
        <v>383</v>
      </c>
      <c r="D285" s="9" t="s">
        <v>710</v>
      </c>
      <c r="E285" s="10" t="n">
        <v>0.1705</v>
      </c>
      <c r="F285" s="51" t="n">
        <f aca="false">Returns!$D$15</f>
        <v>0.170484343544686</v>
      </c>
      <c r="G285" s="49" t="n">
        <f aca="false">IFERROR(IF(ISNUMBER(F285),F285-E285,"n/a"),"n/a")</f>
        <v>-1.56564553139005E-005</v>
      </c>
      <c r="H285" s="50" t="n">
        <v>5.0001E-005</v>
      </c>
      <c r="I285" s="43" t="str">
        <f aca="false">IFERROR(IF(ISNUMBER(F285),IF(ABS(F285-E285)&lt;=H285,"PASS","FAIL"),"FAIL"),"FAIL")</f>
        <v>PASS</v>
      </c>
    </row>
    <row r="286" customFormat="false" ht="15" hidden="false" customHeight="false" outlineLevel="0" collapsed="false">
      <c r="B286" s="44" t="n">
        <v>277</v>
      </c>
      <c r="C286" s="9" t="s">
        <v>383</v>
      </c>
      <c r="D286" s="9" t="s">
        <v>711</v>
      </c>
      <c r="E286" s="54" t="n">
        <v>2.2</v>
      </c>
      <c r="F286" s="55" t="n">
        <f aca="false">Returns!$D$17</f>
        <v>2.19698982032648</v>
      </c>
      <c r="G286" s="49" t="n">
        <f aca="false">IFERROR(IF(ISNUMBER(F286),F286-E286,"n/a"),"n/a")</f>
        <v>-0.00301017967352291</v>
      </c>
      <c r="H286" s="50" t="n">
        <v>0.005000001</v>
      </c>
      <c r="I286" s="43" t="str">
        <f aca="false">IFERROR(IF(ISNUMBER(F286),IF(ABS(F286-E286)&lt;=H286,"PASS","FAIL"),"FAIL"),"FAIL")</f>
        <v>PASS</v>
      </c>
    </row>
    <row r="287" customFormat="false" ht="15" hidden="false" customHeight="false" outlineLevel="0" collapsed="false">
      <c r="B287" s="44" t="n">
        <v>278</v>
      </c>
      <c r="C287" s="9" t="s">
        <v>439</v>
      </c>
      <c r="D287" s="9" t="s">
        <v>712</v>
      </c>
      <c r="E287" s="52" t="n">
        <v>460.2</v>
      </c>
      <c r="F287" s="53" t="n">
        <f aca="false">Exit!$D$15</f>
        <v>460.215178331843</v>
      </c>
      <c r="G287" s="49" t="n">
        <f aca="false">IFERROR(IF(ISNUMBER(F287),F287-E287,"n/a"),"n/a")</f>
        <v>0.0151783318429466</v>
      </c>
      <c r="H287" s="50" t="n">
        <v>0.050000001</v>
      </c>
      <c r="I287" s="43" t="str">
        <f aca="false">IFERROR(IF(ISNUMBER(F287),IF(ABS(F287-E287)&lt;=H287,"PASS","FAIL"),"FAIL"),"FAIL")</f>
        <v>PASS</v>
      </c>
    </row>
    <row r="288" customFormat="false" ht="15" hidden="false" customHeight="false" outlineLevel="0" collapsed="false">
      <c r="B288" s="44" t="n">
        <v>279</v>
      </c>
      <c r="C288" s="9" t="s">
        <v>439</v>
      </c>
      <c r="D288" s="9" t="s">
        <v>713</v>
      </c>
      <c r="E288" s="52" t="n">
        <v>229.7</v>
      </c>
      <c r="F288" s="53" t="n">
        <f aca="false">Exit!$D$9</f>
        <v>229.684737262957</v>
      </c>
      <c r="G288" s="49" t="n">
        <f aca="false">IFERROR(IF(ISNUMBER(F288),F288-E288,"n/a"),"n/a")</f>
        <v>-0.0152627370429173</v>
      </c>
      <c r="H288" s="50" t="n">
        <v>0.050000001</v>
      </c>
      <c r="I288" s="43" t="str">
        <f aca="false">IFERROR(IF(ISNUMBER(F288),IF(ABS(F288-E288)&lt;=H288,"PASS","FAIL"),"FAIL"),"FAIL")</f>
        <v>PASS</v>
      </c>
    </row>
    <row r="289" customFormat="false" ht="15" hidden="false" customHeight="false" outlineLevel="0" collapsed="false">
      <c r="B289" s="44" t="n">
        <v>280</v>
      </c>
      <c r="C289" s="9" t="s">
        <v>439</v>
      </c>
      <c r="D289" s="9" t="s">
        <v>714</v>
      </c>
      <c r="E289" s="52" t="n">
        <v>417.4</v>
      </c>
      <c r="F289" s="53" t="n">
        <f aca="false">Exit!$D$36</f>
        <v>417.428065862031</v>
      </c>
      <c r="G289" s="49" t="n">
        <f aca="false">IFERROR(IF(ISNUMBER(F289),F289-E289,"n/a"),"n/a")</f>
        <v>0.0280658620307008</v>
      </c>
      <c r="H289" s="50" t="n">
        <v>0.050000001</v>
      </c>
      <c r="I289" s="43" t="str">
        <f aca="false">IFERROR(IF(ISNUMBER(F289),IF(ABS(F289-E289)&lt;=H289,"PASS","FAIL"),"FAIL"),"FAIL")</f>
        <v>PASS</v>
      </c>
    </row>
    <row r="290" customFormat="false" ht="15" hidden="false" customHeight="false" outlineLevel="0" collapsed="false">
      <c r="B290" s="44" t="n">
        <v>281</v>
      </c>
      <c r="C290" s="9" t="s">
        <v>383</v>
      </c>
      <c r="D290" s="9" t="s">
        <v>715</v>
      </c>
      <c r="E290" s="54" t="n">
        <v>2.2</v>
      </c>
      <c r="F290" s="55" t="n">
        <f aca="false">Returns!$D$17</f>
        <v>2.19698982032648</v>
      </c>
      <c r="G290" s="49" t="n">
        <f aca="false">IFERROR(IF(ISNUMBER(F290),F290-E290,"n/a"),"n/a")</f>
        <v>-0.00301017967352291</v>
      </c>
      <c r="H290" s="50" t="n">
        <v>0.005000001</v>
      </c>
      <c r="I290" s="43" t="str">
        <f aca="false">IFERROR(IF(ISNUMBER(F290),IF(ABS(F290-E290)&lt;=H290,"PASS","FAIL"),"FAIL"),"FAIL")</f>
        <v>PASS</v>
      </c>
    </row>
    <row r="291" customFormat="false" ht="15" hidden="false" customHeight="false" outlineLevel="0" collapsed="false">
      <c r="B291" s="44" t="n">
        <v>282</v>
      </c>
      <c r="C291" s="9" t="s">
        <v>383</v>
      </c>
      <c r="D291" s="9" t="s">
        <v>716</v>
      </c>
      <c r="E291" s="10" t="n">
        <v>0.1705</v>
      </c>
      <c r="F291" s="51" t="n">
        <f aca="false">Returns!$D$15</f>
        <v>0.170484343544686</v>
      </c>
      <c r="G291" s="49" t="n">
        <f aca="false">IFERROR(IF(ISNUMBER(F291),F291-E291,"n/a"),"n/a")</f>
        <v>-1.56564553139005E-005</v>
      </c>
      <c r="H291" s="50" t="n">
        <v>5.0001E-005</v>
      </c>
      <c r="I291" s="43" t="str">
        <f aca="false">IFERROR(IF(ISNUMBER(F291),IF(ABS(F291-E291)&lt;=H291,"PASS","FAIL"),"FAIL"),"FAIL")</f>
        <v>PASS</v>
      </c>
    </row>
    <row r="292" customFormat="false" ht="15" hidden="false" customHeight="false" outlineLevel="0" collapsed="false">
      <c r="B292" s="44" t="n">
        <v>283</v>
      </c>
      <c r="C292" s="9" t="s">
        <v>383</v>
      </c>
      <c r="D292" s="9" t="s">
        <v>717</v>
      </c>
      <c r="E292" s="10" t="n">
        <v>0.1705</v>
      </c>
      <c r="F292" s="51" t="n">
        <f aca="false">Returns!$D$15</f>
        <v>0.170484343544686</v>
      </c>
      <c r="G292" s="49" t="n">
        <f aca="false">IFERROR(IF(ISNUMBER(F292),F292-E292,"n/a"),"n/a")</f>
        <v>-1.56564553139005E-005</v>
      </c>
      <c r="H292" s="50" t="n">
        <v>5.0001E-005</v>
      </c>
      <c r="I292" s="43" t="str">
        <f aca="false">IFERROR(IF(ISNUMBER(F292),IF(ABS(F292-E292)&lt;=H292,"PASS","FAIL"),"FAIL"),"FAIL")</f>
        <v>PASS</v>
      </c>
    </row>
    <row r="293" customFormat="false" ht="15" hidden="false" customHeight="false" outlineLevel="0" collapsed="false">
      <c r="B293" s="44" t="n">
        <v>284</v>
      </c>
      <c r="C293" s="9" t="s">
        <v>439</v>
      </c>
      <c r="D293" s="9" t="s">
        <v>718</v>
      </c>
      <c r="E293" s="52" t="n">
        <v>417.4</v>
      </c>
      <c r="F293" s="53" t="n">
        <f aca="false">Exit!$D$36</f>
        <v>417.428065862031</v>
      </c>
      <c r="G293" s="49" t="n">
        <f aca="false">IFERROR(IF(ISNUMBER(F293),F293-E293,"n/a"),"n/a")</f>
        <v>0.0280658620307008</v>
      </c>
      <c r="H293" s="50" t="n">
        <v>0.050000001</v>
      </c>
      <c r="I293" s="43" t="str">
        <f aca="false">IFERROR(IF(ISNUMBER(F293),IF(ABS(F293-E293)&lt;=H293,"PASS","FAIL"),"FAIL"),"FAIL")</f>
        <v>PASS</v>
      </c>
    </row>
    <row r="294" customFormat="false" ht="15" hidden="false" customHeight="false" outlineLevel="0" collapsed="false">
      <c r="B294" s="44" t="n">
        <v>285</v>
      </c>
      <c r="C294" s="9" t="s">
        <v>316</v>
      </c>
      <c r="D294" s="9" t="s">
        <v>719</v>
      </c>
      <c r="E294" s="10" t="n">
        <v>0.0895</v>
      </c>
      <c r="F294" s="51" t="n">
        <f aca="false">Debt!$D$37</f>
        <v>0.0895454545454545</v>
      </c>
      <c r="G294" s="49" t="n">
        <f aca="false">IFERROR(IF(ISNUMBER(F294),F294-E294,"n/a"),"n/a")</f>
        <v>4.5454545454543E-005</v>
      </c>
      <c r="H294" s="50" t="n">
        <v>5.0001E-005</v>
      </c>
      <c r="I294" s="43" t="str">
        <f aca="false">IFERROR(IF(ISNUMBER(F294),IF(ABS(F294-E294)&lt;=H294,"PASS","FAIL"),"FAIL"),"FAIL")</f>
        <v>PASS</v>
      </c>
    </row>
    <row r="295" customFormat="false" ht="15" hidden="false" customHeight="false" outlineLevel="0" collapsed="false">
      <c r="B295" s="44" t="n">
        <v>286</v>
      </c>
      <c r="C295" s="9" t="s">
        <v>316</v>
      </c>
      <c r="D295" s="9" t="s">
        <v>720</v>
      </c>
      <c r="E295" s="21" t="n">
        <v>0.451</v>
      </c>
      <c r="F295" s="20" t="n">
        <f aca="false">Debt!$D$38</f>
        <v>0.451007326007326</v>
      </c>
      <c r="G295" s="49" t="n">
        <f aca="false">IFERROR(IF(ISNUMBER(F295),F295-E295,"n/a"),"n/a")</f>
        <v>7.32600732600286E-006</v>
      </c>
      <c r="H295" s="50" t="n">
        <v>0.000500001</v>
      </c>
      <c r="I295" s="43" t="str">
        <f aca="false">IFERROR(IF(ISNUMBER(F295),IF(ABS(F295-E295)&lt;=H295,"PASS","FAIL"),"FAIL"),"FAIL")</f>
        <v>PASS</v>
      </c>
    </row>
    <row r="296" customFormat="false" ht="15" hidden="false" customHeight="false" outlineLevel="0" collapsed="false">
      <c r="B296" s="44" t="n">
        <v>287</v>
      </c>
      <c r="C296" s="9" t="s">
        <v>721</v>
      </c>
      <c r="D296" s="9" t="s">
        <v>722</v>
      </c>
      <c r="E296" s="52" t="n">
        <v>4.4</v>
      </c>
      <c r="F296" s="53" t="n">
        <f aca="false">Operating!$D$24</f>
        <v>4.436288544</v>
      </c>
      <c r="G296" s="49" t="n">
        <f aca="false">IFERROR(IF(ISNUMBER(F296),F296-E296,"n/a"),"n/a")</f>
        <v>0.0362885439999996</v>
      </c>
      <c r="H296" s="50" t="n">
        <v>0.050000001</v>
      </c>
      <c r="I296" s="43" t="str">
        <f aca="false">IFERROR(IF(ISNUMBER(F296),IF(ABS(F296-E296)&lt;=H296,"PASS","FAIL"),"FAIL"),"FAIL")</f>
        <v>PASS</v>
      </c>
    </row>
    <row r="297" customFormat="false" ht="15" hidden="false" customHeight="false" outlineLevel="0" collapsed="false">
      <c r="B297" s="44" t="n">
        <v>288</v>
      </c>
      <c r="C297" s="9" t="s">
        <v>721</v>
      </c>
      <c r="D297" s="9" t="s">
        <v>723</v>
      </c>
      <c r="E297" s="52" t="n">
        <v>39.9</v>
      </c>
      <c r="F297" s="53" t="n">
        <f aca="false">Operating!$D$25</f>
        <v>39.926596896</v>
      </c>
      <c r="G297" s="49" t="n">
        <f aca="false">IFERROR(IF(ISNUMBER(F297),F297-E297,"n/a"),"n/a")</f>
        <v>0.0265968960000009</v>
      </c>
      <c r="H297" s="50" t="n">
        <v>0.050000001</v>
      </c>
      <c r="I297" s="43" t="str">
        <f aca="false">IFERROR(IF(ISNUMBER(F297),IF(ABS(F297-E297)&lt;=H297,"PASS","FAIL"),"FAIL"),"FAIL")</f>
        <v>PASS</v>
      </c>
    </row>
    <row r="298" customFormat="false" ht="15" hidden="false" customHeight="false" outlineLevel="0" collapsed="false">
      <c r="B298" s="44" t="n">
        <v>289</v>
      </c>
      <c r="C298" s="9" t="s">
        <v>721</v>
      </c>
      <c r="D298" s="9" t="s">
        <v>724</v>
      </c>
      <c r="E298" s="21" t="n">
        <v>-0.198</v>
      </c>
      <c r="F298" s="20" t="n">
        <f aca="false">Operating!$D$26</f>
        <v>-0.198235294117647</v>
      </c>
      <c r="G298" s="49" t="n">
        <f aca="false">IFERROR(IF(ISNUMBER(F298),F298-E298,"n/a"),"n/a")</f>
        <v>-0.000235294117647278</v>
      </c>
      <c r="H298" s="50" t="n">
        <v>0.000500001</v>
      </c>
      <c r="I298" s="43" t="str">
        <f aca="false">IFERROR(IF(ISNUMBER(F298),IF(ABS(F298-E298)&lt;=H298,"PASS","FAIL"),"FAIL"),"FAIL")</f>
        <v>PASS</v>
      </c>
    </row>
    <row r="299" customFormat="false" ht="15" hidden="false" customHeight="false" outlineLevel="0" collapsed="false">
      <c r="B299" s="44" t="n">
        <v>290</v>
      </c>
      <c r="C299" s="9" t="s">
        <v>721</v>
      </c>
      <c r="D299" s="9" t="s">
        <v>725</v>
      </c>
      <c r="E299" s="52" t="n">
        <v>2.3</v>
      </c>
      <c r="F299" s="53" t="n">
        <f aca="false">Operating!$D$27</f>
        <v>2.27635200000001</v>
      </c>
      <c r="G299" s="49" t="n">
        <f aca="false">IFERROR(IF(ISNUMBER(F299),F299-E299,"n/a"),"n/a")</f>
        <v>-0.0236479999999899</v>
      </c>
      <c r="H299" s="50" t="n">
        <v>0.050000001</v>
      </c>
      <c r="I299" s="43" t="str">
        <f aca="false">IFERROR(IF(ISNUMBER(F299),IF(ABS(F299-E299)&lt;=H299,"PASS","FAIL"),"FAIL"),"FAIL")</f>
        <v>PASS</v>
      </c>
    </row>
    <row r="300" customFormat="false" ht="15" hidden="false" customHeight="false" outlineLevel="0" collapsed="false">
      <c r="B300" s="44" t="n">
        <v>291</v>
      </c>
      <c r="C300" s="9" t="s">
        <v>437</v>
      </c>
      <c r="D300" s="9" t="s">
        <v>726</v>
      </c>
      <c r="E300" s="54" t="n">
        <v>4.25</v>
      </c>
      <c r="F300" s="55" t="n">
        <f aca="false">Covenants!$D$21</f>
        <v>4.25337045130946</v>
      </c>
      <c r="G300" s="49" t="n">
        <f aca="false">IFERROR(IF(ISNUMBER(F300),F300-E300,"n/a"),"n/a")</f>
        <v>0.00337045130946212</v>
      </c>
      <c r="H300" s="50" t="n">
        <v>0.005000001</v>
      </c>
      <c r="I300" s="43" t="str">
        <f aca="false">IFERROR(IF(ISNUMBER(F300),IF(ABS(F300-E300)&lt;=H300,"PASS","FAIL"),"FAIL"),"FAIL")</f>
        <v>PASS</v>
      </c>
    </row>
    <row r="301" customFormat="false" ht="15" hidden="false" customHeight="false" outlineLevel="0" collapsed="false">
      <c r="B301" s="44" t="n">
        <v>292</v>
      </c>
      <c r="C301" s="9" t="s">
        <v>721</v>
      </c>
      <c r="D301" s="9" t="s">
        <v>727</v>
      </c>
      <c r="E301" s="52" t="n">
        <v>320</v>
      </c>
      <c r="F301" s="53" t="n">
        <f aca="false">Operating!$E$13</f>
        <v>320</v>
      </c>
      <c r="G301" s="49" t="n">
        <f aca="false">IFERROR(IF(ISNUMBER(F301),F301-E301,"n/a"),"n/a")</f>
        <v>0</v>
      </c>
      <c r="H301" s="50" t="n">
        <v>0.050000001</v>
      </c>
      <c r="I301" s="43" t="str">
        <f aca="false">IFERROR(IF(ISNUMBER(F301),IF(ABS(F301-E301)&lt;=H301,"PASS","FAIL"),"FAIL"),"FAIL")</f>
        <v>PASS</v>
      </c>
    </row>
    <row r="302" customFormat="false" ht="15" hidden="false" customHeight="false" outlineLevel="0" collapsed="false">
      <c r="B302" s="44" t="n">
        <v>293</v>
      </c>
      <c r="C302" s="9" t="s">
        <v>721</v>
      </c>
      <c r="D302" s="9" t="s">
        <v>728</v>
      </c>
      <c r="E302" s="52" t="n">
        <v>50</v>
      </c>
      <c r="F302" s="53" t="n">
        <f aca="false">Operating!$E$14</f>
        <v>50</v>
      </c>
      <c r="G302" s="49" t="n">
        <f aca="false">IFERROR(IF(ISNUMBER(F302),F302-E302,"n/a"),"n/a")</f>
        <v>0</v>
      </c>
      <c r="H302" s="50" t="n">
        <v>0.050000001</v>
      </c>
      <c r="I302" s="43" t="str">
        <f aca="false">IFERROR(IF(ISNUMBER(F302),IF(ABS(F302-E302)&lt;=H302,"PASS","FAIL"),"FAIL"),"FAIL")</f>
        <v>PASS</v>
      </c>
    </row>
    <row r="303" customFormat="false" ht="15" hidden="false" customHeight="false" outlineLevel="0" collapsed="false">
      <c r="B303" s="44" t="n">
        <v>294</v>
      </c>
      <c r="C303" s="9" t="s">
        <v>721</v>
      </c>
      <c r="D303" s="9" t="s">
        <v>729</v>
      </c>
      <c r="E303" s="21" t="n">
        <v>0.156</v>
      </c>
      <c r="F303" s="20" t="n">
        <f aca="false">Operating!$E$15</f>
        <v>0.15625</v>
      </c>
      <c r="G303" s="49" t="n">
        <f aca="false">IFERROR(IF(ISNUMBER(F303),F303-E303,"n/a"),"n/a")</f>
        <v>0.00025</v>
      </c>
      <c r="H303" s="50" t="n">
        <v>0.000500001</v>
      </c>
      <c r="I303" s="43" t="str">
        <f aca="false">IFERROR(IF(ISNUMBER(F303),IF(ABS(F303-E303)&lt;=H303,"PASS","FAIL"),"FAIL"),"FAIL")</f>
        <v>PASS</v>
      </c>
    </row>
    <row r="304" customFormat="false" ht="15" hidden="false" customHeight="false" outlineLevel="0" collapsed="false">
      <c r="B304" s="44" t="n">
        <v>295</v>
      </c>
      <c r="C304" s="9" t="s">
        <v>721</v>
      </c>
      <c r="D304" s="9" t="s">
        <v>730</v>
      </c>
      <c r="E304" s="52" t="n">
        <v>11.2</v>
      </c>
      <c r="F304" s="53" t="n">
        <f aca="false">Operating!$E$16</f>
        <v>11.2</v>
      </c>
      <c r="G304" s="49" t="n">
        <f aca="false">IFERROR(IF(ISNUMBER(F304),F304-E304,"n/a"),"n/a")</f>
        <v>0</v>
      </c>
      <c r="H304" s="50" t="n">
        <v>0.050000001</v>
      </c>
      <c r="I304" s="43" t="str">
        <f aca="false">IFERROR(IF(ISNUMBER(F304),IF(ABS(F304-E304)&lt;=H304,"PASS","FAIL"),"FAIL"),"FAIL")</f>
        <v>PASS</v>
      </c>
    </row>
    <row r="305" customFormat="false" ht="15" hidden="false" customHeight="false" outlineLevel="0" collapsed="false">
      <c r="B305" s="44" t="n">
        <v>296</v>
      </c>
      <c r="C305" s="9" t="s">
        <v>721</v>
      </c>
      <c r="D305" s="9" t="s">
        <v>731</v>
      </c>
      <c r="E305" s="52" t="n">
        <v>9.6</v>
      </c>
      <c r="F305" s="53" t="n">
        <f aca="false">Operating!$E$17</f>
        <v>9.6</v>
      </c>
      <c r="G305" s="49" t="n">
        <f aca="false">IFERROR(IF(ISNUMBER(F305),F305-E305,"n/a"),"n/a")</f>
        <v>0</v>
      </c>
      <c r="H305" s="50" t="n">
        <v>0.050000001</v>
      </c>
      <c r="I305" s="43" t="str">
        <f aca="false">IFERROR(IF(ISNUMBER(F305),IF(ABS(F305-E305)&lt;=H305,"PASS","FAIL"),"FAIL"),"FAIL")</f>
        <v>PASS</v>
      </c>
    </row>
    <row r="306" customFormat="false" ht="15" hidden="false" customHeight="false" outlineLevel="0" collapsed="false">
      <c r="B306" s="44" t="n">
        <v>297</v>
      </c>
      <c r="C306" s="9" t="s">
        <v>316</v>
      </c>
      <c r="D306" s="9" t="s">
        <v>732</v>
      </c>
      <c r="E306" s="52" t="n">
        <v>225</v>
      </c>
      <c r="F306" s="53" t="n">
        <f aca="false">Debt!$E$26</f>
        <v>225</v>
      </c>
      <c r="G306" s="49" t="n">
        <f aca="false">IFERROR(IF(ISNUMBER(F306),F306-E306,"n/a"),"n/a")</f>
        <v>0</v>
      </c>
      <c r="H306" s="50" t="n">
        <v>0.050000001</v>
      </c>
      <c r="I306" s="43" t="str">
        <f aca="false">IFERROR(IF(ISNUMBER(F306),IF(ABS(F306-E306)&lt;=H306,"PASS","FAIL"),"FAIL"),"FAIL")</f>
        <v>PASS</v>
      </c>
    </row>
    <row r="307" customFormat="false" ht="15" hidden="false" customHeight="false" outlineLevel="0" collapsed="false">
      <c r="B307" s="44" t="n">
        <v>298</v>
      </c>
      <c r="C307" s="9" t="s">
        <v>316</v>
      </c>
      <c r="D307" s="9" t="s">
        <v>733</v>
      </c>
      <c r="E307" s="52" t="n">
        <v>50</v>
      </c>
      <c r="F307" s="53" t="n">
        <f aca="false">Debt!$E$28</f>
        <v>50</v>
      </c>
      <c r="G307" s="49" t="n">
        <f aca="false">IFERROR(IF(ISNUMBER(F307),F307-E307,"n/a"),"n/a")</f>
        <v>0</v>
      </c>
      <c r="H307" s="50" t="n">
        <v>0.050000001</v>
      </c>
      <c r="I307" s="43" t="str">
        <f aca="false">IFERROR(IF(ISNUMBER(F307),IF(ABS(F307-E307)&lt;=H307,"PASS","FAIL"),"FAIL"),"FAIL")</f>
        <v>PASS</v>
      </c>
    </row>
    <row r="308" customFormat="false" ht="15" hidden="false" customHeight="false" outlineLevel="0" collapsed="false">
      <c r="B308" s="44" t="n">
        <v>299</v>
      </c>
      <c r="C308" s="9" t="s">
        <v>316</v>
      </c>
      <c r="D308" s="9" t="s">
        <v>734</v>
      </c>
      <c r="E308" s="52" t="n">
        <v>0</v>
      </c>
      <c r="F308" s="53" t="n">
        <f aca="false">Debt!$E$29</f>
        <v>0</v>
      </c>
      <c r="G308" s="49" t="n">
        <f aca="false">IFERROR(IF(ISNUMBER(F308),F308-E308,"n/a"),"n/a")</f>
        <v>0</v>
      </c>
      <c r="H308" s="50" t="n">
        <v>0.050000001</v>
      </c>
      <c r="I308" s="43" t="str">
        <f aca="false">IFERROR(IF(ISNUMBER(F308),IF(ABS(F308-E308)&lt;=H308,"PASS","FAIL"),"FAIL"),"FAIL")</f>
        <v>PASS</v>
      </c>
    </row>
    <row r="309" customFormat="false" ht="15" hidden="false" customHeight="false" outlineLevel="0" collapsed="false">
      <c r="B309" s="44" t="n">
        <v>300</v>
      </c>
      <c r="C309" s="9" t="s">
        <v>316</v>
      </c>
      <c r="D309" s="9" t="s">
        <v>735</v>
      </c>
      <c r="E309" s="52" t="n">
        <v>275</v>
      </c>
      <c r="F309" s="53" t="n">
        <f aca="false">Debt!$E$30</f>
        <v>275</v>
      </c>
      <c r="G309" s="49" t="n">
        <f aca="false">IFERROR(IF(ISNUMBER(F309),F309-E309,"n/a"),"n/a")</f>
        <v>0</v>
      </c>
      <c r="H309" s="50" t="n">
        <v>0.050000001</v>
      </c>
      <c r="I309" s="43" t="str">
        <f aca="false">IFERROR(IF(ISNUMBER(F309),IF(ABS(F309-E309)&lt;=H309,"PASS","FAIL"),"FAIL"),"FAIL")</f>
        <v>PASS</v>
      </c>
    </row>
    <row r="310" customFormat="false" ht="15" hidden="false" customHeight="false" outlineLevel="0" collapsed="false">
      <c r="B310" s="44" t="n">
        <v>301</v>
      </c>
      <c r="C310" s="9" t="s">
        <v>316</v>
      </c>
      <c r="D310" s="9" t="s">
        <v>736</v>
      </c>
      <c r="E310" s="52" t="n">
        <v>10</v>
      </c>
      <c r="F310" s="53" t="n">
        <f aca="false">Debt!$E$31</f>
        <v>10</v>
      </c>
      <c r="G310" s="49" t="n">
        <f aca="false">IFERROR(IF(ISNUMBER(F310),F310-E310,"n/a"),"n/a")</f>
        <v>0</v>
      </c>
      <c r="H310" s="50" t="n">
        <v>0.050000001</v>
      </c>
      <c r="I310" s="43" t="str">
        <f aca="false">IFERROR(IF(ISNUMBER(F310),IF(ABS(F310-E310)&lt;=H310,"PASS","FAIL"),"FAIL"),"FAIL")</f>
        <v>PASS</v>
      </c>
    </row>
    <row r="311" customFormat="false" ht="15" hidden="false" customHeight="false" outlineLevel="0" collapsed="false">
      <c r="B311" s="44" t="n">
        <v>302</v>
      </c>
      <c r="C311" s="9" t="s">
        <v>316</v>
      </c>
      <c r="D311" s="9" t="s">
        <v>737</v>
      </c>
      <c r="E311" s="52" t="n">
        <v>265</v>
      </c>
      <c r="F311" s="53" t="n">
        <f aca="false">Debt!$E$32</f>
        <v>265</v>
      </c>
      <c r="G311" s="49" t="n">
        <f aca="false">IFERROR(IF(ISNUMBER(F311),F311-E311,"n/a"),"n/a")</f>
        <v>0</v>
      </c>
      <c r="H311" s="50" t="n">
        <v>0.050000001</v>
      </c>
      <c r="I311" s="43" t="str">
        <f aca="false">IFERROR(IF(ISNUMBER(F311),IF(ABS(F311-E311)&lt;=H311,"PASS","FAIL"),"FAIL"),"FAIL")</f>
        <v>PASS</v>
      </c>
    </row>
    <row r="312" customFormat="false" ht="15" hidden="false" customHeight="false" outlineLevel="0" collapsed="false">
      <c r="B312" s="44" t="n">
        <v>303</v>
      </c>
      <c r="C312" s="9" t="s">
        <v>316</v>
      </c>
      <c r="D312" s="9" t="s">
        <v>738</v>
      </c>
      <c r="E312" s="54" t="n">
        <v>5.3</v>
      </c>
      <c r="F312" s="55" t="n">
        <f aca="false">Debt!$E$33</f>
        <v>5.3</v>
      </c>
      <c r="G312" s="49" t="n">
        <f aca="false">IFERROR(IF(ISNUMBER(F312),F312-E312,"n/a"),"n/a")</f>
        <v>0</v>
      </c>
      <c r="H312" s="50" t="n">
        <v>0.005000001</v>
      </c>
      <c r="I312" s="43" t="str">
        <f aca="false">IFERROR(IF(ISNUMBER(F312),IF(ABS(F312-E312)&lt;=H312,"PASS","FAIL"),"FAIL"),"FAIL")</f>
        <v>PASS</v>
      </c>
    </row>
    <row r="313" customFormat="false" ht="15" hidden="false" customHeight="false" outlineLevel="0" collapsed="false">
      <c r="B313" s="44" t="n">
        <v>304</v>
      </c>
      <c r="C313" s="9" t="s">
        <v>721</v>
      </c>
      <c r="D313" s="9" t="s">
        <v>739</v>
      </c>
      <c r="E313" s="52" t="n">
        <v>336</v>
      </c>
      <c r="F313" s="53" t="n">
        <f aca="false">Operating!$F$13</f>
        <v>336</v>
      </c>
      <c r="G313" s="49" t="n">
        <f aca="false">IFERROR(IF(ISNUMBER(F313),F313-E313,"n/a"),"n/a")</f>
        <v>0</v>
      </c>
      <c r="H313" s="50" t="n">
        <v>0.050000001</v>
      </c>
      <c r="I313" s="43" t="str">
        <f aca="false">IFERROR(IF(ISNUMBER(F313),IF(ABS(F313-E313)&lt;=H313,"PASS","FAIL"),"FAIL"),"FAIL")</f>
        <v>PASS</v>
      </c>
    </row>
    <row r="314" customFormat="false" ht="15" hidden="false" customHeight="false" outlineLevel="0" collapsed="false">
      <c r="B314" s="44" t="n">
        <v>305</v>
      </c>
      <c r="C314" s="9" t="s">
        <v>721</v>
      </c>
      <c r="D314" s="9" t="s">
        <v>740</v>
      </c>
      <c r="E314" s="52" t="n">
        <v>54.6</v>
      </c>
      <c r="F314" s="53" t="n">
        <f aca="false">Operating!$F$14</f>
        <v>54.6</v>
      </c>
      <c r="G314" s="49" t="n">
        <f aca="false">IFERROR(IF(ISNUMBER(F314),F314-E314,"n/a"),"n/a")</f>
        <v>0</v>
      </c>
      <c r="H314" s="50" t="n">
        <v>0.050000001</v>
      </c>
      <c r="I314" s="43" t="str">
        <f aca="false">IFERROR(IF(ISNUMBER(F314),IF(ABS(F314-E314)&lt;=H314,"PASS","FAIL"),"FAIL"),"FAIL")</f>
        <v>PASS</v>
      </c>
    </row>
    <row r="315" customFormat="false" ht="15" hidden="false" customHeight="false" outlineLevel="0" collapsed="false">
      <c r="B315" s="44" t="n">
        <v>306</v>
      </c>
      <c r="C315" s="9" t="s">
        <v>721</v>
      </c>
      <c r="D315" s="9" t="s">
        <v>741</v>
      </c>
      <c r="E315" s="21" t="n">
        <v>0.163</v>
      </c>
      <c r="F315" s="20" t="n">
        <f aca="false">Operating!$F$15</f>
        <v>0.1625</v>
      </c>
      <c r="G315" s="49" t="n">
        <f aca="false">IFERROR(IF(ISNUMBER(F315),F315-E315,"n/a"),"n/a")</f>
        <v>-0.0005</v>
      </c>
      <c r="H315" s="50" t="n">
        <v>0.000500001</v>
      </c>
      <c r="I315" s="43" t="str">
        <f aca="false">IFERROR(IF(ISNUMBER(F315),IF(ABS(F315-E315)&lt;=H315,"PASS","FAIL"),"FAIL"),"FAIL")</f>
        <v>PASS</v>
      </c>
    </row>
    <row r="316" customFormat="false" ht="15" hidden="false" customHeight="false" outlineLevel="0" collapsed="false">
      <c r="B316" s="44" t="n">
        <v>307</v>
      </c>
      <c r="C316" s="9" t="s">
        <v>721</v>
      </c>
      <c r="D316" s="9" t="s">
        <v>742</v>
      </c>
      <c r="E316" s="52" t="n">
        <v>11.8</v>
      </c>
      <c r="F316" s="53" t="n">
        <f aca="false">Operating!$F$16</f>
        <v>11.76</v>
      </c>
      <c r="G316" s="49" t="n">
        <f aca="false">IFERROR(IF(ISNUMBER(F316),F316-E316,"n/a"),"n/a")</f>
        <v>-0.0399999999999992</v>
      </c>
      <c r="H316" s="50" t="n">
        <v>0.050000001</v>
      </c>
      <c r="I316" s="43" t="str">
        <f aca="false">IFERROR(IF(ISNUMBER(F316),IF(ABS(F316-E316)&lt;=H316,"PASS","FAIL"),"FAIL"),"FAIL")</f>
        <v>PASS</v>
      </c>
    </row>
    <row r="317" customFormat="false" ht="15" hidden="false" customHeight="false" outlineLevel="0" collapsed="false">
      <c r="B317" s="44" t="n">
        <v>308</v>
      </c>
      <c r="C317" s="9" t="s">
        <v>721</v>
      </c>
      <c r="D317" s="9" t="s">
        <v>743</v>
      </c>
      <c r="E317" s="52" t="n">
        <v>10.1</v>
      </c>
      <c r="F317" s="53" t="n">
        <f aca="false">Operating!$F$17</f>
        <v>10.08</v>
      </c>
      <c r="G317" s="49" t="n">
        <f aca="false">IFERROR(IF(ISNUMBER(F317),F317-E317,"n/a"),"n/a")</f>
        <v>-0.0199999999999996</v>
      </c>
      <c r="H317" s="50" t="n">
        <v>0.050000001</v>
      </c>
      <c r="I317" s="43" t="str">
        <f aca="false">IFERROR(IF(ISNUMBER(F317),IF(ABS(F317-E317)&lt;=H317,"PASS","FAIL"),"FAIL"),"FAIL")</f>
        <v>PASS</v>
      </c>
    </row>
    <row r="318" customFormat="false" ht="15" hidden="false" customHeight="false" outlineLevel="0" collapsed="false">
      <c r="B318" s="44" t="n">
        <v>309</v>
      </c>
      <c r="C318" s="9" t="s">
        <v>721</v>
      </c>
      <c r="D318" s="9" t="s">
        <v>744</v>
      </c>
      <c r="E318" s="52" t="n">
        <v>1.9</v>
      </c>
      <c r="F318" s="53" t="n">
        <f aca="false">Operating!$F$21</f>
        <v>1.92</v>
      </c>
      <c r="G318" s="49" t="n">
        <f aca="false">IFERROR(IF(ISNUMBER(F318),F318-E318,"n/a"),"n/a")</f>
        <v>0.0200000000000018</v>
      </c>
      <c r="H318" s="50" t="n">
        <v>0.050000001</v>
      </c>
      <c r="I318" s="43" t="str">
        <f aca="false">IFERROR(IF(ISNUMBER(F318),IF(ABS(F318-E318)&lt;=H318,"PASS","FAIL"),"FAIL"),"FAIL")</f>
        <v>PASS</v>
      </c>
    </row>
    <row r="319" customFormat="false" ht="15" hidden="false" customHeight="false" outlineLevel="0" collapsed="false">
      <c r="B319" s="44" t="n">
        <v>310</v>
      </c>
      <c r="C319" s="9" t="s">
        <v>721</v>
      </c>
      <c r="D319" s="9" t="s">
        <v>745</v>
      </c>
      <c r="E319" s="52" t="n">
        <v>54.6</v>
      </c>
      <c r="F319" s="53" t="n">
        <f aca="false">Operating!$F$9</f>
        <v>54.6</v>
      </c>
      <c r="G319" s="49" t="n">
        <f aca="false">IFERROR(IF(ISNUMBER(F319),F319-E319,"n/a"),"n/a")</f>
        <v>0</v>
      </c>
      <c r="H319" s="50" t="n">
        <v>0.050000001</v>
      </c>
      <c r="I319" s="43" t="str">
        <f aca="false">IFERROR(IF(ISNUMBER(F319),IF(ABS(F319-E319)&lt;=H319,"PASS","FAIL"),"FAIL"),"FAIL")</f>
        <v>PASS</v>
      </c>
    </row>
    <row r="320" customFormat="false" ht="15" hidden="false" customHeight="false" outlineLevel="0" collapsed="false">
      <c r="B320" s="44" t="n">
        <v>311</v>
      </c>
      <c r="C320" s="9" t="s">
        <v>316</v>
      </c>
      <c r="D320" s="9" t="s">
        <v>746</v>
      </c>
      <c r="E320" s="54" t="n">
        <v>24.63</v>
      </c>
      <c r="F320" s="55" t="n">
        <f aca="false">Debt!$F$13</f>
        <v>24.625</v>
      </c>
      <c r="G320" s="49" t="n">
        <f aca="false">IFERROR(IF(ISNUMBER(F320),F320-E320,"n/a"),"n/a")</f>
        <v>-0.00499999999999901</v>
      </c>
      <c r="H320" s="50" t="n">
        <v>0.005000001</v>
      </c>
      <c r="I320" s="43" t="str">
        <f aca="false">IFERROR(IF(ISNUMBER(F320),IF(ABS(F320-E320)&lt;=H320,"PASS","FAIL"),"FAIL"),"FAIL")</f>
        <v>PASS</v>
      </c>
    </row>
    <row r="321" customFormat="false" ht="15" hidden="false" customHeight="false" outlineLevel="0" collapsed="false">
      <c r="B321" s="44" t="n">
        <v>312</v>
      </c>
      <c r="C321" s="9" t="s">
        <v>747</v>
      </c>
      <c r="D321" s="9" t="s">
        <v>748</v>
      </c>
      <c r="E321" s="54" t="n">
        <v>6.62</v>
      </c>
      <c r="F321" s="55" t="n">
        <f aca="false">Tax!$F$17</f>
        <v>6.615</v>
      </c>
      <c r="G321" s="49" t="n">
        <f aca="false">IFERROR(IF(ISNUMBER(F321),F321-E321,"n/a"),"n/a")</f>
        <v>-0.00499999999999901</v>
      </c>
      <c r="H321" s="50" t="n">
        <v>0.005000001</v>
      </c>
      <c r="I321" s="43" t="str">
        <f aca="false">IFERROR(IF(ISNUMBER(F321),IF(ABS(F321-E321)&lt;=H321,"PASS","FAIL"),"FAIL"),"FAIL")</f>
        <v>PASS</v>
      </c>
    </row>
    <row r="322" customFormat="false" ht="15" hidden="false" customHeight="false" outlineLevel="0" collapsed="false">
      <c r="B322" s="44" t="n">
        <v>313</v>
      </c>
      <c r="C322" s="9" t="s">
        <v>749</v>
      </c>
      <c r="D322" s="9" t="s">
        <v>750</v>
      </c>
      <c r="E322" s="52" t="n">
        <v>12</v>
      </c>
      <c r="F322" s="53" t="n">
        <f aca="false">Cash_Flow!$F$17</f>
        <v>12</v>
      </c>
      <c r="G322" s="49" t="n">
        <f aca="false">IFERROR(IF(ISNUMBER(F322),F322-E322,"n/a"),"n/a")</f>
        <v>0</v>
      </c>
      <c r="H322" s="50" t="n">
        <v>0.050000001</v>
      </c>
      <c r="I322" s="43" t="str">
        <f aca="false">IFERROR(IF(ISNUMBER(F322),IF(ABS(F322-E322)&lt;=H322,"PASS","FAIL"),"FAIL"),"FAIL")</f>
        <v>PASS</v>
      </c>
    </row>
    <row r="323" customFormat="false" ht="15" hidden="false" customHeight="false" outlineLevel="0" collapsed="false">
      <c r="B323" s="44" t="n">
        <v>314</v>
      </c>
      <c r="C323" s="9" t="s">
        <v>749</v>
      </c>
      <c r="D323" s="9" t="s">
        <v>751</v>
      </c>
      <c r="E323" s="52" t="n">
        <v>11.4</v>
      </c>
      <c r="F323" s="53" t="n">
        <f aca="false">Cash_Flow!$F$16</f>
        <v>11.36</v>
      </c>
      <c r="G323" s="49" t="n">
        <f aca="false">IFERROR(IF(ISNUMBER(F323),F323-E323,"n/a"),"n/a")</f>
        <v>-0.0400000000000027</v>
      </c>
      <c r="H323" s="50" t="n">
        <v>0.050000001</v>
      </c>
      <c r="I323" s="43" t="str">
        <f aca="false">IFERROR(IF(ISNUMBER(F323),IF(ABS(F323-E323)&lt;=H323,"PASS","FAIL"),"FAIL"),"FAIL")</f>
        <v>PASS</v>
      </c>
    </row>
    <row r="324" customFormat="false" ht="15" hidden="false" customHeight="false" outlineLevel="0" collapsed="false">
      <c r="B324" s="44" t="n">
        <v>315</v>
      </c>
      <c r="C324" s="9" t="s">
        <v>316</v>
      </c>
      <c r="D324" s="9" t="s">
        <v>752</v>
      </c>
      <c r="E324" s="54" t="n">
        <v>2.25</v>
      </c>
      <c r="F324" s="55" t="n">
        <f aca="false">Debt!$F$17</f>
        <v>2.25</v>
      </c>
      <c r="G324" s="49" t="n">
        <f aca="false">IFERROR(IF(ISNUMBER(F324),F324-E324,"n/a"),"n/a")</f>
        <v>0</v>
      </c>
      <c r="H324" s="50" t="n">
        <v>0.005000001</v>
      </c>
      <c r="I324" s="43" t="str">
        <f aca="false">IFERROR(IF(ISNUMBER(F324),IF(ABS(F324-E324)&lt;=H324,"PASS","FAIL"),"FAIL"),"FAIL")</f>
        <v>PASS</v>
      </c>
    </row>
    <row r="325" customFormat="false" ht="15" hidden="false" customHeight="false" outlineLevel="0" collapsed="false">
      <c r="B325" s="44" t="n">
        <v>316</v>
      </c>
      <c r="C325" s="9" t="s">
        <v>316</v>
      </c>
      <c r="D325" s="9" t="s">
        <v>753</v>
      </c>
      <c r="E325" s="52" t="n">
        <v>4.6</v>
      </c>
      <c r="F325" s="53" t="n">
        <f aca="false">Debt!$F$23</f>
        <v>4.555</v>
      </c>
      <c r="G325" s="49" t="n">
        <f aca="false">IFERROR(IF(ISNUMBER(F325),F325-E325,"n/a"),"n/a")</f>
        <v>-0.0449999999999999</v>
      </c>
      <c r="H325" s="50" t="n">
        <v>0.050000001</v>
      </c>
      <c r="I325" s="43" t="str">
        <f aca="false">IFERROR(IF(ISNUMBER(F325),IF(ABS(F325-E325)&lt;=H325,"PASS","FAIL"),"FAIL"),"FAIL")</f>
        <v>PASS</v>
      </c>
    </row>
    <row r="326" customFormat="false" ht="15" hidden="false" customHeight="false" outlineLevel="0" collapsed="false">
      <c r="B326" s="44" t="n">
        <v>317</v>
      </c>
      <c r="C326" s="9" t="s">
        <v>316</v>
      </c>
      <c r="D326" s="9" t="s">
        <v>754</v>
      </c>
      <c r="E326" s="54" t="n">
        <v>2.22</v>
      </c>
      <c r="F326" s="55" t="n">
        <f aca="false">Debt!$F$15</f>
        <v>2.21725888324873</v>
      </c>
      <c r="G326" s="49" t="n">
        <f aca="false">IFERROR(IF(ISNUMBER(F326),F326-E326,"n/a"),"n/a")</f>
        <v>-0.00274111675126898</v>
      </c>
      <c r="H326" s="50" t="n">
        <v>0.005000001</v>
      </c>
      <c r="I326" s="43" t="str">
        <f aca="false">IFERROR(IF(ISNUMBER(F326),IF(ABS(F326-E326)&lt;=H326,"PASS","FAIL"),"FAIL"),"FAIL")</f>
        <v>PASS</v>
      </c>
    </row>
    <row r="327" customFormat="false" ht="15" hidden="false" customHeight="false" outlineLevel="0" collapsed="false">
      <c r="B327" s="44" t="n">
        <v>318</v>
      </c>
      <c r="C327" s="9" t="s">
        <v>747</v>
      </c>
      <c r="D327" s="9" t="s">
        <v>755</v>
      </c>
      <c r="E327" s="52" t="n">
        <v>10.8</v>
      </c>
      <c r="F327" s="53" t="n">
        <f aca="false">Tax!$F$18</f>
        <v>10.8142857142857</v>
      </c>
      <c r="G327" s="49" t="n">
        <f aca="false">IFERROR(IF(ISNUMBER(F327),F327-E327,"n/a"),"n/a")</f>
        <v>0.014285714285716</v>
      </c>
      <c r="H327" s="50" t="n">
        <v>0.050000001</v>
      </c>
      <c r="I327" s="43" t="str">
        <f aca="false">IFERROR(IF(ISNUMBER(F327),IF(ABS(F327-E327)&lt;=H327,"PASS","FAIL"),"FAIL"),"FAIL")</f>
        <v>PASS</v>
      </c>
    </row>
    <row r="328" customFormat="false" ht="15" hidden="false" customHeight="false" outlineLevel="0" collapsed="false">
      <c r="B328" s="44" t="n">
        <v>319</v>
      </c>
      <c r="C328" s="9" t="s">
        <v>437</v>
      </c>
      <c r="D328" s="9" t="s">
        <v>756</v>
      </c>
      <c r="E328" s="52" t="n">
        <v>54.6</v>
      </c>
      <c r="F328" s="53" t="n">
        <f aca="false">Covenants!$F$9</f>
        <v>54.6</v>
      </c>
      <c r="G328" s="49" t="n">
        <f aca="false">IFERROR(IF(ISNUMBER(F328),F328-E328,"n/a"),"n/a")</f>
        <v>0</v>
      </c>
      <c r="H328" s="50" t="n">
        <v>0.050000001</v>
      </c>
      <c r="I328" s="43" t="str">
        <f aca="false">IFERROR(IF(ISNUMBER(F328),IF(ABS(F328-E328)&lt;=H328,"PASS","FAIL"),"FAIL"),"FAIL")</f>
        <v>PASS</v>
      </c>
    </row>
    <row r="329" customFormat="false" ht="15" hidden="false" customHeight="false" outlineLevel="0" collapsed="false">
      <c r="B329" s="44" t="n">
        <v>320</v>
      </c>
      <c r="C329" s="9" t="s">
        <v>437</v>
      </c>
      <c r="D329" s="9" t="s">
        <v>757</v>
      </c>
      <c r="E329" s="54" t="n">
        <v>4.65</v>
      </c>
      <c r="F329" s="55" t="n">
        <f aca="false">Covenants!$F$11</f>
        <v>4.64542124542125</v>
      </c>
      <c r="G329" s="49" t="n">
        <f aca="false">IFERROR(IF(ISNUMBER(F329),F329-E329,"n/a"),"n/a")</f>
        <v>-0.00457875457875545</v>
      </c>
      <c r="H329" s="50" t="n">
        <v>0.005000001</v>
      </c>
      <c r="I329" s="43" t="str">
        <f aca="false">IFERROR(IF(ISNUMBER(F329),IF(ABS(F329-E329)&lt;=H329,"PASS","FAIL"),"FAIL"),"FAIL")</f>
        <v>PASS</v>
      </c>
    </row>
    <row r="330" customFormat="false" ht="15" hidden="false" customHeight="false" outlineLevel="0" collapsed="false">
      <c r="B330" s="44" t="n">
        <v>321</v>
      </c>
      <c r="C330" s="9" t="s">
        <v>437</v>
      </c>
      <c r="D330" s="9" t="s">
        <v>758</v>
      </c>
      <c r="E330" s="54" t="n">
        <v>1.1</v>
      </c>
      <c r="F330" s="55" t="n">
        <f aca="false">Covenants!$F$13</f>
        <v>1.10457875457876</v>
      </c>
      <c r="G330" s="49" t="n">
        <f aca="false">IFERROR(IF(ISNUMBER(F330),F330-E330,"n/a"),"n/a")</f>
        <v>0.00457875457875501</v>
      </c>
      <c r="H330" s="50" t="n">
        <v>0.005000001</v>
      </c>
      <c r="I330" s="43" t="str">
        <f aca="false">IFERROR(IF(ISNUMBER(F330),IF(ABS(F330-E330)&lt;=H330,"PASS","FAIL"),"FAIL"),"FAIL")</f>
        <v>PASS</v>
      </c>
    </row>
    <row r="331" customFormat="false" ht="15" hidden="false" customHeight="false" outlineLevel="0" collapsed="false">
      <c r="B331" s="44" t="n">
        <v>322</v>
      </c>
      <c r="C331" s="9" t="s">
        <v>437</v>
      </c>
      <c r="D331" s="9" t="s">
        <v>759</v>
      </c>
      <c r="E331" s="21" t="n">
        <v>0.192</v>
      </c>
      <c r="F331" s="20" t="n">
        <f aca="false">Covenants!$F$14</f>
        <v>0.192100652970218</v>
      </c>
      <c r="G331" s="49" t="n">
        <f aca="false">IFERROR(IF(ISNUMBER(F331),F331-E331,"n/a"),"n/a")</f>
        <v>0.000100652970218162</v>
      </c>
      <c r="H331" s="50" t="n">
        <v>0.000500001</v>
      </c>
      <c r="I331" s="43" t="str">
        <f aca="false">IFERROR(IF(ISNUMBER(F331),IF(ABS(F331-E331)&lt;=H331,"PASS","FAIL"),"FAIL"),"FAIL")</f>
        <v>PASS</v>
      </c>
    </row>
    <row r="332" customFormat="false" ht="15" hidden="false" customHeight="false" outlineLevel="0" collapsed="false">
      <c r="B332" s="44" t="n">
        <v>323</v>
      </c>
      <c r="C332" s="9" t="s">
        <v>316</v>
      </c>
      <c r="D332" s="9" t="s">
        <v>760</v>
      </c>
      <c r="E332" s="52" t="n">
        <v>218.2</v>
      </c>
      <c r="F332" s="53" t="n">
        <f aca="false">Debt!$F$26</f>
        <v>218.195</v>
      </c>
      <c r="G332" s="49" t="n">
        <f aca="false">IFERROR(IF(ISNUMBER(F332),F332-E332,"n/a"),"n/a")</f>
        <v>-0.00499999999999545</v>
      </c>
      <c r="H332" s="50" t="n">
        <v>0.050000001</v>
      </c>
      <c r="I332" s="43" t="str">
        <f aca="false">IFERROR(IF(ISNUMBER(F332),IF(ABS(F332-E332)&lt;=H332,"PASS","FAIL"),"FAIL"),"FAIL")</f>
        <v>PASS</v>
      </c>
    </row>
    <row r="333" customFormat="false" ht="15" hidden="false" customHeight="false" outlineLevel="0" collapsed="false">
      <c r="B333" s="44" t="n">
        <v>324</v>
      </c>
      <c r="C333" s="9" t="s">
        <v>316</v>
      </c>
      <c r="D333" s="9" t="s">
        <v>761</v>
      </c>
      <c r="E333" s="52" t="n">
        <v>50</v>
      </c>
      <c r="F333" s="53" t="n">
        <f aca="false">Debt!$F$28</f>
        <v>50</v>
      </c>
      <c r="G333" s="49" t="n">
        <f aca="false">IFERROR(IF(ISNUMBER(F333),F333-E333,"n/a"),"n/a")</f>
        <v>0</v>
      </c>
      <c r="H333" s="50" t="n">
        <v>0.050000001</v>
      </c>
      <c r="I333" s="43" t="str">
        <f aca="false">IFERROR(IF(ISNUMBER(F333),IF(ABS(F333-E333)&lt;=H333,"PASS","FAIL"),"FAIL"),"FAIL")</f>
        <v>PASS</v>
      </c>
    </row>
    <row r="334" customFormat="false" ht="15" hidden="false" customHeight="false" outlineLevel="0" collapsed="false">
      <c r="B334" s="44" t="n">
        <v>325</v>
      </c>
      <c r="C334" s="9" t="s">
        <v>316</v>
      </c>
      <c r="D334" s="9" t="s">
        <v>762</v>
      </c>
      <c r="E334" s="52" t="n">
        <v>0</v>
      </c>
      <c r="F334" s="53" t="n">
        <f aca="false">Debt!$F$29</f>
        <v>0</v>
      </c>
      <c r="G334" s="49" t="n">
        <f aca="false">IFERROR(IF(ISNUMBER(F334),F334-E334,"n/a"),"n/a")</f>
        <v>0</v>
      </c>
      <c r="H334" s="50" t="n">
        <v>0.050000001</v>
      </c>
      <c r="I334" s="43" t="str">
        <f aca="false">IFERROR(IF(ISNUMBER(F334),IF(ABS(F334-E334)&lt;=H334,"PASS","FAIL"),"FAIL"),"FAIL")</f>
        <v>PASS</v>
      </c>
    </row>
    <row r="335" customFormat="false" ht="15" hidden="false" customHeight="false" outlineLevel="0" collapsed="false">
      <c r="B335" s="44" t="n">
        <v>326</v>
      </c>
      <c r="C335" s="9" t="s">
        <v>316</v>
      </c>
      <c r="D335" s="9" t="s">
        <v>763</v>
      </c>
      <c r="E335" s="52" t="n">
        <v>268.2</v>
      </c>
      <c r="F335" s="53" t="n">
        <f aca="false">Debt!$F$30</f>
        <v>268.195</v>
      </c>
      <c r="G335" s="49" t="n">
        <f aca="false">IFERROR(IF(ISNUMBER(F335),F335-E335,"n/a"),"n/a")</f>
        <v>-0.00499999999999545</v>
      </c>
      <c r="H335" s="50" t="n">
        <v>0.050000001</v>
      </c>
      <c r="I335" s="43" t="str">
        <f aca="false">IFERROR(IF(ISNUMBER(F335),IF(ABS(F335-E335)&lt;=H335,"PASS","FAIL"),"FAIL"),"FAIL")</f>
        <v>PASS</v>
      </c>
    </row>
    <row r="336" customFormat="false" ht="15" hidden="false" customHeight="false" outlineLevel="0" collapsed="false">
      <c r="B336" s="44" t="n">
        <v>327</v>
      </c>
      <c r="C336" s="9" t="s">
        <v>316</v>
      </c>
      <c r="D336" s="9" t="s">
        <v>764</v>
      </c>
      <c r="E336" s="52" t="n">
        <v>14.6</v>
      </c>
      <c r="F336" s="53" t="n">
        <f aca="false">Debt!$F$31</f>
        <v>14.555</v>
      </c>
      <c r="G336" s="49" t="n">
        <f aca="false">IFERROR(IF(ISNUMBER(F336),F336-E336,"n/a"),"n/a")</f>
        <v>-0.0449999999999999</v>
      </c>
      <c r="H336" s="50" t="n">
        <v>0.050000001</v>
      </c>
      <c r="I336" s="43" t="str">
        <f aca="false">IFERROR(IF(ISNUMBER(F336),IF(ABS(F336-E336)&lt;=H336,"PASS","FAIL"),"FAIL"),"FAIL")</f>
        <v>PASS</v>
      </c>
    </row>
    <row r="337" customFormat="false" ht="15" hidden="false" customHeight="false" outlineLevel="0" collapsed="false">
      <c r="B337" s="44" t="n">
        <v>328</v>
      </c>
      <c r="C337" s="9" t="s">
        <v>316</v>
      </c>
      <c r="D337" s="9" t="s">
        <v>765</v>
      </c>
      <c r="E337" s="52" t="n">
        <v>253.6</v>
      </c>
      <c r="F337" s="53" t="n">
        <f aca="false">Debt!$F$32</f>
        <v>253.64</v>
      </c>
      <c r="G337" s="49" t="n">
        <f aca="false">IFERROR(IF(ISNUMBER(F337),F337-E337,"n/a"),"n/a")</f>
        <v>0.039999999999992</v>
      </c>
      <c r="H337" s="50" t="n">
        <v>0.050000001</v>
      </c>
      <c r="I337" s="43" t="str">
        <f aca="false">IFERROR(IF(ISNUMBER(F337),IF(ABS(F337-E337)&lt;=H337,"PASS","FAIL"),"FAIL"),"FAIL")</f>
        <v>PASS</v>
      </c>
    </row>
    <row r="338" customFormat="false" ht="15" hidden="false" customHeight="false" outlineLevel="0" collapsed="false">
      <c r="B338" s="44" t="n">
        <v>329</v>
      </c>
      <c r="C338" s="9" t="s">
        <v>316</v>
      </c>
      <c r="D338" s="9" t="s">
        <v>766</v>
      </c>
      <c r="E338" s="54" t="n">
        <v>4.65</v>
      </c>
      <c r="F338" s="55" t="n">
        <f aca="false">Debt!$F$33</f>
        <v>4.64542124542125</v>
      </c>
      <c r="G338" s="49" t="n">
        <f aca="false">IFERROR(IF(ISNUMBER(F338),F338-E338,"n/a"),"n/a")</f>
        <v>-0.00457875457875545</v>
      </c>
      <c r="H338" s="50" t="n">
        <v>0.005000001</v>
      </c>
      <c r="I338" s="43" t="str">
        <f aca="false">IFERROR(IF(ISNUMBER(F338),IF(ABS(F338-E338)&lt;=H338,"PASS","FAIL"),"FAIL"),"FAIL")</f>
        <v>PASS</v>
      </c>
    </row>
    <row r="339" customFormat="false" ht="15" hidden="false" customHeight="false" outlineLevel="0" collapsed="false">
      <c r="B339" s="44" t="n">
        <v>330</v>
      </c>
      <c r="C339" s="9" t="s">
        <v>721</v>
      </c>
      <c r="D339" s="9" t="s">
        <v>767</v>
      </c>
      <c r="E339" s="52" t="n">
        <v>356.2</v>
      </c>
      <c r="F339" s="53" t="n">
        <f aca="false">Operating!$G$13</f>
        <v>356.16</v>
      </c>
      <c r="G339" s="49" t="n">
        <f aca="false">IFERROR(IF(ISNUMBER(F339),F339-E339,"n/a"),"n/a")</f>
        <v>-0.0399999999999636</v>
      </c>
      <c r="H339" s="50" t="n">
        <v>0.050000001</v>
      </c>
      <c r="I339" s="43" t="str">
        <f aca="false">IFERROR(IF(ISNUMBER(F339),IF(ABS(F339-E339)&lt;=H339,"PASS","FAIL"),"FAIL"),"FAIL")</f>
        <v>PASS</v>
      </c>
    </row>
    <row r="340" customFormat="false" ht="15" hidden="false" customHeight="false" outlineLevel="0" collapsed="false">
      <c r="B340" s="44" t="n">
        <v>331</v>
      </c>
      <c r="C340" s="9" t="s">
        <v>721</v>
      </c>
      <c r="D340" s="9" t="s">
        <v>768</v>
      </c>
      <c r="E340" s="52" t="n">
        <v>60.5</v>
      </c>
      <c r="F340" s="53" t="n">
        <f aca="false">Operating!$G$14</f>
        <v>60.5472</v>
      </c>
      <c r="G340" s="49" t="n">
        <f aca="false">IFERROR(IF(ISNUMBER(F340),F340-E340,"n/a"),"n/a")</f>
        <v>0.0472000000000108</v>
      </c>
      <c r="H340" s="50" t="n">
        <v>0.050000001</v>
      </c>
      <c r="I340" s="43" t="str">
        <f aca="false">IFERROR(IF(ISNUMBER(F340),IF(ABS(F340-E340)&lt;=H340,"PASS","FAIL"),"FAIL"),"FAIL")</f>
        <v>PASS</v>
      </c>
    </row>
    <row r="341" customFormat="false" ht="15" hidden="false" customHeight="false" outlineLevel="0" collapsed="false">
      <c r="B341" s="44" t="n">
        <v>332</v>
      </c>
      <c r="C341" s="9" t="s">
        <v>721</v>
      </c>
      <c r="D341" s="9" t="s">
        <v>769</v>
      </c>
      <c r="E341" s="21" t="n">
        <v>0.17</v>
      </c>
      <c r="F341" s="20" t="n">
        <f aca="false">Operating!$G$15</f>
        <v>0.17</v>
      </c>
      <c r="G341" s="49" t="n">
        <f aca="false">IFERROR(IF(ISNUMBER(F341),F341-E341,"n/a"),"n/a")</f>
        <v>0</v>
      </c>
      <c r="H341" s="50" t="n">
        <v>0.000500001</v>
      </c>
      <c r="I341" s="43" t="str">
        <f aca="false">IFERROR(IF(ISNUMBER(F341),IF(ABS(F341-E341)&lt;=H341,"PASS","FAIL"),"FAIL"),"FAIL")</f>
        <v>PASS</v>
      </c>
    </row>
    <row r="342" customFormat="false" ht="15" hidden="false" customHeight="false" outlineLevel="0" collapsed="false">
      <c r="B342" s="44" t="n">
        <v>333</v>
      </c>
      <c r="C342" s="9" t="s">
        <v>721</v>
      </c>
      <c r="D342" s="9" t="s">
        <v>770</v>
      </c>
      <c r="E342" s="52" t="n">
        <v>12.5</v>
      </c>
      <c r="F342" s="53" t="n">
        <f aca="false">Operating!$G$16</f>
        <v>12.4656</v>
      </c>
      <c r="G342" s="49" t="n">
        <f aca="false">IFERROR(IF(ISNUMBER(F342),F342-E342,"n/a"),"n/a")</f>
        <v>-0.034399999999998</v>
      </c>
      <c r="H342" s="50" t="n">
        <v>0.050000001</v>
      </c>
      <c r="I342" s="43" t="str">
        <f aca="false">IFERROR(IF(ISNUMBER(F342),IF(ABS(F342-E342)&lt;=H342,"PASS","FAIL"),"FAIL"),"FAIL")</f>
        <v>PASS</v>
      </c>
    </row>
    <row r="343" customFormat="false" ht="15" hidden="false" customHeight="false" outlineLevel="0" collapsed="false">
      <c r="B343" s="44" t="n">
        <v>334</v>
      </c>
      <c r="C343" s="9" t="s">
        <v>721</v>
      </c>
      <c r="D343" s="9" t="s">
        <v>771</v>
      </c>
      <c r="E343" s="52" t="n">
        <v>10.7</v>
      </c>
      <c r="F343" s="53" t="n">
        <f aca="false">Operating!$G$17</f>
        <v>10.6848</v>
      </c>
      <c r="G343" s="49" t="n">
        <f aca="false">IFERROR(IF(ISNUMBER(F343),F343-E343,"n/a"),"n/a")</f>
        <v>-0.0151999999999983</v>
      </c>
      <c r="H343" s="50" t="n">
        <v>0.050000001</v>
      </c>
      <c r="I343" s="43" t="str">
        <f aca="false">IFERROR(IF(ISNUMBER(F343),IF(ABS(F343-E343)&lt;=H343,"PASS","FAIL"),"FAIL"),"FAIL")</f>
        <v>PASS</v>
      </c>
    </row>
    <row r="344" customFormat="false" ht="15" hidden="false" customHeight="false" outlineLevel="0" collapsed="false">
      <c r="B344" s="44" t="n">
        <v>335</v>
      </c>
      <c r="C344" s="9" t="s">
        <v>721</v>
      </c>
      <c r="D344" s="9" t="s">
        <v>772</v>
      </c>
      <c r="E344" s="52" t="n">
        <v>2.4</v>
      </c>
      <c r="F344" s="53" t="n">
        <f aca="false">Operating!$G$21</f>
        <v>2.4192</v>
      </c>
      <c r="G344" s="49" t="n">
        <f aca="false">IFERROR(IF(ISNUMBER(F344),F344-E344,"n/a"),"n/a")</f>
        <v>0.0192000000000001</v>
      </c>
      <c r="H344" s="50" t="n">
        <v>0.050000001</v>
      </c>
      <c r="I344" s="43" t="str">
        <f aca="false">IFERROR(IF(ISNUMBER(F344),IF(ABS(F344-E344)&lt;=H344,"PASS","FAIL"),"FAIL"),"FAIL")</f>
        <v>PASS</v>
      </c>
    </row>
    <row r="345" customFormat="false" ht="15" hidden="false" customHeight="false" outlineLevel="0" collapsed="false">
      <c r="B345" s="44" t="n">
        <v>336</v>
      </c>
      <c r="C345" s="9" t="s">
        <v>721</v>
      </c>
      <c r="D345" s="9" t="s">
        <v>773</v>
      </c>
      <c r="E345" s="52" t="n">
        <v>60.5</v>
      </c>
      <c r="F345" s="53" t="n">
        <f aca="false">Operating!$G$9</f>
        <v>60.5472</v>
      </c>
      <c r="G345" s="49" t="n">
        <f aca="false">IFERROR(IF(ISNUMBER(F345),F345-E345,"n/a"),"n/a")</f>
        <v>0.0472000000000108</v>
      </c>
      <c r="H345" s="50" t="n">
        <v>0.050000001</v>
      </c>
      <c r="I345" s="43" t="str">
        <f aca="false">IFERROR(IF(ISNUMBER(F345),IF(ABS(F345-E345)&lt;=H345,"PASS","FAIL"),"FAIL"),"FAIL")</f>
        <v>PASS</v>
      </c>
    </row>
    <row r="346" customFormat="false" ht="15" hidden="false" customHeight="false" outlineLevel="0" collapsed="false">
      <c r="B346" s="44" t="n">
        <v>337</v>
      </c>
      <c r="C346" s="9" t="s">
        <v>316</v>
      </c>
      <c r="D346" s="9" t="s">
        <v>774</v>
      </c>
      <c r="E346" s="54" t="n">
        <v>23.96</v>
      </c>
      <c r="F346" s="55" t="n">
        <f aca="false">Debt!$G$13</f>
        <v>23.955475</v>
      </c>
      <c r="G346" s="49" t="n">
        <f aca="false">IFERROR(IF(ISNUMBER(F346),F346-E346,"n/a"),"n/a")</f>
        <v>-0.00452500000000455</v>
      </c>
      <c r="H346" s="50" t="n">
        <v>0.005000001</v>
      </c>
      <c r="I346" s="43" t="str">
        <f aca="false">IFERROR(IF(ISNUMBER(F346),IF(ABS(F346-E346)&lt;=H346,"PASS","FAIL"),"FAIL"),"FAIL")</f>
        <v>PASS</v>
      </c>
    </row>
    <row r="347" customFormat="false" ht="15" hidden="false" customHeight="false" outlineLevel="0" collapsed="false">
      <c r="B347" s="44" t="n">
        <v>338</v>
      </c>
      <c r="C347" s="9" t="s">
        <v>747</v>
      </c>
      <c r="D347" s="9" t="s">
        <v>775</v>
      </c>
      <c r="E347" s="54" t="n">
        <v>7.1</v>
      </c>
      <c r="F347" s="55" t="n">
        <f aca="false">Tax!$G$17</f>
        <v>7.10436</v>
      </c>
      <c r="G347" s="49" t="n">
        <f aca="false">IFERROR(IF(ISNUMBER(F347),F347-E347,"n/a"),"n/a")</f>
        <v>0.00436000000000192</v>
      </c>
      <c r="H347" s="50" t="n">
        <v>0.005000001</v>
      </c>
      <c r="I347" s="43" t="str">
        <f aca="false">IFERROR(IF(ISNUMBER(F347),IF(ABS(F347-E347)&lt;=H347,"PASS","FAIL"),"FAIL"),"FAIL")</f>
        <v>PASS</v>
      </c>
    </row>
    <row r="348" customFormat="false" ht="15" hidden="false" customHeight="false" outlineLevel="0" collapsed="false">
      <c r="B348" s="44" t="n">
        <v>339</v>
      </c>
      <c r="C348" s="9" t="s">
        <v>749</v>
      </c>
      <c r="D348" s="9" t="s">
        <v>776</v>
      </c>
      <c r="E348" s="52" t="n">
        <v>13.1</v>
      </c>
      <c r="F348" s="53" t="n">
        <f aca="false">Cash_Flow!$G$17</f>
        <v>13.104</v>
      </c>
      <c r="G348" s="49" t="n">
        <f aca="false">IFERROR(IF(ISNUMBER(F348),F348-E348,"n/a"),"n/a")</f>
        <v>0.00400000000000134</v>
      </c>
      <c r="H348" s="50" t="n">
        <v>0.050000001</v>
      </c>
      <c r="I348" s="43" t="str">
        <f aca="false">IFERROR(IF(ISNUMBER(F348),IF(ABS(F348-E348)&lt;=H348,"PASS","FAIL"),"FAIL"),"FAIL")</f>
        <v>PASS</v>
      </c>
    </row>
    <row r="349" customFormat="false" ht="15" hidden="false" customHeight="false" outlineLevel="0" collapsed="false">
      <c r="B349" s="44" t="n">
        <v>340</v>
      </c>
      <c r="C349" s="9" t="s">
        <v>749</v>
      </c>
      <c r="D349" s="9" t="s">
        <v>777</v>
      </c>
      <c r="E349" s="52" t="n">
        <v>14.9</v>
      </c>
      <c r="F349" s="53" t="n">
        <f aca="false">Cash_Flow!$G$16</f>
        <v>14.883365</v>
      </c>
      <c r="G349" s="49" t="n">
        <f aca="false">IFERROR(IF(ISNUMBER(F349),F349-E349,"n/a"),"n/a")</f>
        <v>-0.0166349999999849</v>
      </c>
      <c r="H349" s="50" t="n">
        <v>0.050000001</v>
      </c>
      <c r="I349" s="43" t="str">
        <f aca="false">IFERROR(IF(ISNUMBER(F349),IF(ABS(F349-E349)&lt;=H349,"PASS","FAIL"),"FAIL"),"FAIL")</f>
        <v>PASS</v>
      </c>
    </row>
    <row r="350" customFormat="false" ht="15" hidden="false" customHeight="false" outlineLevel="0" collapsed="false">
      <c r="B350" s="44" t="n">
        <v>341</v>
      </c>
      <c r="C350" s="9" t="s">
        <v>316</v>
      </c>
      <c r="D350" s="9" t="s">
        <v>778</v>
      </c>
      <c r="E350" s="54" t="n">
        <v>2.25</v>
      </c>
      <c r="F350" s="55" t="n">
        <f aca="false">Debt!$G$17</f>
        <v>2.25</v>
      </c>
      <c r="G350" s="49" t="n">
        <f aca="false">IFERROR(IF(ISNUMBER(F350),F350-E350,"n/a"),"n/a")</f>
        <v>0</v>
      </c>
      <c r="H350" s="50" t="n">
        <v>0.005000001</v>
      </c>
      <c r="I350" s="43" t="str">
        <f aca="false">IFERROR(IF(ISNUMBER(F350),IF(ABS(F350-E350)&lt;=H350,"PASS","FAIL"),"FAIL"),"FAIL")</f>
        <v>PASS</v>
      </c>
    </row>
    <row r="351" customFormat="false" ht="15" hidden="false" customHeight="false" outlineLevel="0" collapsed="false">
      <c r="B351" s="44" t="n">
        <v>342</v>
      </c>
      <c r="C351" s="9" t="s">
        <v>316</v>
      </c>
      <c r="D351" s="9" t="s">
        <v>779</v>
      </c>
      <c r="E351" s="52" t="n">
        <v>2.2</v>
      </c>
      <c r="F351" s="53" t="n">
        <f aca="false">Debt!$G$23</f>
        <v>2.19418250000001</v>
      </c>
      <c r="G351" s="49" t="n">
        <f aca="false">IFERROR(IF(ISNUMBER(F351),F351-E351,"n/a"),"n/a")</f>
        <v>-0.00581749999999293</v>
      </c>
      <c r="H351" s="50" t="n">
        <v>0.050000001</v>
      </c>
      <c r="I351" s="43" t="str">
        <f aca="false">IFERROR(IF(ISNUMBER(F351),IF(ABS(F351-E351)&lt;=H351,"PASS","FAIL"),"FAIL"),"FAIL")</f>
        <v>PASS</v>
      </c>
    </row>
    <row r="352" customFormat="false" ht="15" hidden="false" customHeight="false" outlineLevel="0" collapsed="false">
      <c r="B352" s="44" t="n">
        <v>343</v>
      </c>
      <c r="C352" s="9" t="s">
        <v>316</v>
      </c>
      <c r="D352" s="9" t="s">
        <v>780</v>
      </c>
      <c r="E352" s="54" t="n">
        <v>2.53</v>
      </c>
      <c r="F352" s="55" t="n">
        <f aca="false">Debt!$G$15</f>
        <v>2.52748901868988</v>
      </c>
      <c r="G352" s="49" t="n">
        <f aca="false">IFERROR(IF(ISNUMBER(F352),F352-E352,"n/a"),"n/a")</f>
        <v>-0.00251098131011718</v>
      </c>
      <c r="H352" s="50" t="n">
        <v>0.005000001</v>
      </c>
      <c r="I352" s="43" t="str">
        <f aca="false">IFERROR(IF(ISNUMBER(F352),IF(ABS(F352-E352)&lt;=H352,"PASS","FAIL"),"FAIL"),"FAIL")</f>
        <v>PASS</v>
      </c>
    </row>
    <row r="353" customFormat="false" ht="15" hidden="false" customHeight="false" outlineLevel="0" collapsed="false">
      <c r="B353" s="44" t="n">
        <v>344</v>
      </c>
      <c r="C353" s="9" t="s">
        <v>747</v>
      </c>
      <c r="D353" s="9" t="s">
        <v>781</v>
      </c>
      <c r="E353" s="52" t="n">
        <v>14.7</v>
      </c>
      <c r="F353" s="53" t="n">
        <f aca="false">Tax!$G$18</f>
        <v>14.7360507142857</v>
      </c>
      <c r="G353" s="49" t="n">
        <f aca="false">IFERROR(IF(ISNUMBER(F353),F353-E353,"n/a"),"n/a")</f>
        <v>0.0360507142857269</v>
      </c>
      <c r="H353" s="50" t="n">
        <v>0.050000001</v>
      </c>
      <c r="I353" s="43" t="str">
        <f aca="false">IFERROR(IF(ISNUMBER(F353),IF(ABS(F353-E353)&lt;=H353,"PASS","FAIL"),"FAIL"),"FAIL")</f>
        <v>PASS</v>
      </c>
    </row>
    <row r="354" customFormat="false" ht="15" hidden="false" customHeight="false" outlineLevel="0" collapsed="false">
      <c r="B354" s="44" t="n">
        <v>345</v>
      </c>
      <c r="C354" s="9" t="s">
        <v>437</v>
      </c>
      <c r="D354" s="9" t="s">
        <v>782</v>
      </c>
      <c r="E354" s="52" t="n">
        <v>71.5</v>
      </c>
      <c r="F354" s="53" t="n">
        <f aca="false">Covenants!$G$9</f>
        <v>71.5472</v>
      </c>
      <c r="G354" s="49" t="n">
        <f aca="false">IFERROR(IF(ISNUMBER(F354),F354-E354,"n/a"),"n/a")</f>
        <v>0.0472000000000037</v>
      </c>
      <c r="H354" s="50" t="n">
        <v>0.050000001</v>
      </c>
      <c r="I354" s="43" t="str">
        <f aca="false">IFERROR(IF(ISNUMBER(F354),IF(ABS(F354-E354)&lt;=H354,"PASS","FAIL"),"FAIL"),"FAIL")</f>
        <v>PASS</v>
      </c>
    </row>
    <row r="355" customFormat="false" ht="15" hidden="false" customHeight="false" outlineLevel="0" collapsed="false">
      <c r="B355" s="44" t="n">
        <v>346</v>
      </c>
      <c r="C355" s="9" t="s">
        <v>437</v>
      </c>
      <c r="D355" s="9" t="s">
        <v>783</v>
      </c>
      <c r="E355" s="54" t="n">
        <v>4.08</v>
      </c>
      <c r="F355" s="55" t="n">
        <f aca="false">Covenants!$G$11</f>
        <v>4.0750250883333</v>
      </c>
      <c r="G355" s="49" t="n">
        <f aca="false">IFERROR(IF(ISNUMBER(F355),F355-E355,"n/a"),"n/a")</f>
        <v>-0.00497491166670461</v>
      </c>
      <c r="H355" s="50" t="n">
        <v>0.005000001</v>
      </c>
      <c r="I355" s="43" t="str">
        <f aca="false">IFERROR(IF(ISNUMBER(F355),IF(ABS(F355-E355)&lt;=H355,"PASS","FAIL"),"FAIL"),"FAIL")</f>
        <v>PASS</v>
      </c>
    </row>
    <row r="356" customFormat="false" ht="15" hidden="false" customHeight="false" outlineLevel="0" collapsed="false">
      <c r="B356" s="44" t="n">
        <v>347</v>
      </c>
      <c r="C356" s="9" t="s">
        <v>437</v>
      </c>
      <c r="D356" s="9" t="s">
        <v>784</v>
      </c>
      <c r="E356" s="54" t="n">
        <v>1.17</v>
      </c>
      <c r="F356" s="55" t="n">
        <f aca="false">Covenants!$G$13</f>
        <v>1.1749749116667</v>
      </c>
      <c r="G356" s="49" t="n">
        <f aca="false">IFERROR(IF(ISNUMBER(F356),F356-E356,"n/a"),"n/a")</f>
        <v>0.00497491166670461</v>
      </c>
      <c r="H356" s="50" t="n">
        <v>0.005000001</v>
      </c>
      <c r="I356" s="43" t="str">
        <f aca="false">IFERROR(IF(ISNUMBER(F356),IF(ABS(F356-E356)&lt;=H356,"PASS","FAIL"),"FAIL"),"FAIL")</f>
        <v>PASS</v>
      </c>
    </row>
    <row r="357" customFormat="false" ht="15" hidden="false" customHeight="false" outlineLevel="0" collapsed="false">
      <c r="B357" s="44" t="n">
        <v>348</v>
      </c>
      <c r="C357" s="9" t="s">
        <v>437</v>
      </c>
      <c r="D357" s="9" t="s">
        <v>785</v>
      </c>
      <c r="E357" s="21" t="n">
        <v>0.224</v>
      </c>
      <c r="F357" s="20" t="n">
        <f aca="false">Covenants!$G$14</f>
        <v>0.223804745079372</v>
      </c>
      <c r="G357" s="49" t="n">
        <f aca="false">IFERROR(IF(ISNUMBER(F357),F357-E357,"n/a"),"n/a")</f>
        <v>-0.000195254920627691</v>
      </c>
      <c r="H357" s="50" t="n">
        <v>0.000500001</v>
      </c>
      <c r="I357" s="43" t="str">
        <f aca="false">IFERROR(IF(ISNUMBER(F357),IF(ABS(F357-E357)&lt;=H357,"PASS","FAIL"),"FAIL"),"FAIL")</f>
        <v>PASS</v>
      </c>
    </row>
    <row r="358" customFormat="false" ht="15" hidden="false" customHeight="false" outlineLevel="0" collapsed="false">
      <c r="B358" s="44" t="n">
        <v>349</v>
      </c>
      <c r="C358" s="9" t="s">
        <v>316</v>
      </c>
      <c r="D358" s="9" t="s">
        <v>786</v>
      </c>
      <c r="E358" s="52" t="n">
        <v>253.8</v>
      </c>
      <c r="F358" s="53" t="n">
        <f aca="false">Debt!$G$26</f>
        <v>253.7508175</v>
      </c>
      <c r="G358" s="49" t="n">
        <f aca="false">IFERROR(IF(ISNUMBER(F358),F358-E358,"n/a"),"n/a")</f>
        <v>-0.049182500000029</v>
      </c>
      <c r="H358" s="50" t="n">
        <v>0.050000001</v>
      </c>
      <c r="I358" s="43" t="str">
        <f aca="false">IFERROR(IF(ISNUMBER(F358),IF(ABS(F358-E358)&lt;=H358,"PASS","FAIL"),"FAIL"),"FAIL")</f>
        <v>PASS</v>
      </c>
    </row>
    <row r="359" customFormat="false" ht="15" hidden="false" customHeight="false" outlineLevel="0" collapsed="false">
      <c r="B359" s="44" t="n">
        <v>350</v>
      </c>
      <c r="C359" s="9" t="s">
        <v>316</v>
      </c>
      <c r="D359" s="9" t="s">
        <v>787</v>
      </c>
      <c r="E359" s="52" t="n">
        <v>50</v>
      </c>
      <c r="F359" s="53" t="n">
        <f aca="false">Debt!$G$28</f>
        <v>50</v>
      </c>
      <c r="G359" s="49" t="n">
        <f aca="false">IFERROR(IF(ISNUMBER(F359),F359-E359,"n/a"),"n/a")</f>
        <v>0</v>
      </c>
      <c r="H359" s="50" t="n">
        <v>0.050000001</v>
      </c>
      <c r="I359" s="43" t="str">
        <f aca="false">IFERROR(IF(ISNUMBER(F359),IF(ABS(F359-E359)&lt;=H359,"PASS","FAIL"),"FAIL"),"FAIL")</f>
        <v>PASS</v>
      </c>
    </row>
    <row r="360" customFormat="false" ht="15" hidden="false" customHeight="false" outlineLevel="0" collapsed="false">
      <c r="B360" s="44" t="n">
        <v>351</v>
      </c>
      <c r="C360" s="9" t="s">
        <v>316</v>
      </c>
      <c r="D360" s="9" t="s">
        <v>788</v>
      </c>
      <c r="E360" s="52" t="n">
        <v>0</v>
      </c>
      <c r="F360" s="53" t="n">
        <f aca="false">Debt!$G$29</f>
        <v>0</v>
      </c>
      <c r="G360" s="49" t="n">
        <f aca="false">IFERROR(IF(ISNUMBER(F360),F360-E360,"n/a"),"n/a")</f>
        <v>0</v>
      </c>
      <c r="H360" s="50" t="n">
        <v>0.050000001</v>
      </c>
      <c r="I360" s="43" t="str">
        <f aca="false">IFERROR(IF(ISNUMBER(F360),IF(ABS(F360-E360)&lt;=H360,"PASS","FAIL"),"FAIL"),"FAIL")</f>
        <v>PASS</v>
      </c>
    </row>
    <row r="361" customFormat="false" ht="15" hidden="false" customHeight="false" outlineLevel="0" collapsed="false">
      <c r="B361" s="44" t="n">
        <v>352</v>
      </c>
      <c r="C361" s="9" t="s">
        <v>316</v>
      </c>
      <c r="D361" s="9" t="s">
        <v>789</v>
      </c>
      <c r="E361" s="52" t="n">
        <v>303.8</v>
      </c>
      <c r="F361" s="53" t="n">
        <f aca="false">Debt!$G$30</f>
        <v>303.7508175</v>
      </c>
      <c r="G361" s="49" t="n">
        <f aca="false">IFERROR(IF(ISNUMBER(F361),F361-E361,"n/a"),"n/a")</f>
        <v>-0.049182500000029</v>
      </c>
      <c r="H361" s="50" t="n">
        <v>0.050000001</v>
      </c>
      <c r="I361" s="43" t="str">
        <f aca="false">IFERROR(IF(ISNUMBER(F361),IF(ABS(F361-E361)&lt;=H361,"PASS","FAIL"),"FAIL"),"FAIL")</f>
        <v>PASS</v>
      </c>
    </row>
    <row r="362" customFormat="false" ht="15" hidden="false" customHeight="false" outlineLevel="0" collapsed="false">
      <c r="B362" s="44" t="n">
        <v>353</v>
      </c>
      <c r="C362" s="9" t="s">
        <v>316</v>
      </c>
      <c r="D362" s="9" t="s">
        <v>790</v>
      </c>
      <c r="E362" s="52" t="n">
        <v>12.2</v>
      </c>
      <c r="F362" s="53" t="n">
        <f aca="false">Debt!$G$31</f>
        <v>12.1941825</v>
      </c>
      <c r="G362" s="49" t="n">
        <f aca="false">IFERROR(IF(ISNUMBER(F362),F362-E362,"n/a"),"n/a")</f>
        <v>-0.00581749999999204</v>
      </c>
      <c r="H362" s="50" t="n">
        <v>0.050000001</v>
      </c>
      <c r="I362" s="43" t="str">
        <f aca="false">IFERROR(IF(ISNUMBER(F362),IF(ABS(F362-E362)&lt;=H362,"PASS","FAIL"),"FAIL"),"FAIL")</f>
        <v>PASS</v>
      </c>
    </row>
    <row r="363" customFormat="false" ht="15" hidden="false" customHeight="false" outlineLevel="0" collapsed="false">
      <c r="B363" s="44" t="n">
        <v>354</v>
      </c>
      <c r="C363" s="9" t="s">
        <v>316</v>
      </c>
      <c r="D363" s="9" t="s">
        <v>791</v>
      </c>
      <c r="E363" s="52" t="n">
        <v>291.6</v>
      </c>
      <c r="F363" s="53" t="n">
        <f aca="false">Debt!$G$32</f>
        <v>291.556635</v>
      </c>
      <c r="G363" s="49" t="n">
        <f aca="false">IFERROR(IF(ISNUMBER(F363),F363-E363,"n/a"),"n/a")</f>
        <v>-0.0433650000000512</v>
      </c>
      <c r="H363" s="50" t="n">
        <v>0.050000001</v>
      </c>
      <c r="I363" s="43" t="str">
        <f aca="false">IFERROR(IF(ISNUMBER(F363),IF(ABS(F363-E363)&lt;=H363,"PASS","FAIL"),"FAIL"),"FAIL")</f>
        <v>PASS</v>
      </c>
    </row>
    <row r="364" customFormat="false" ht="15" hidden="false" customHeight="false" outlineLevel="0" collapsed="false">
      <c r="B364" s="44" t="n">
        <v>355</v>
      </c>
      <c r="C364" s="9" t="s">
        <v>316</v>
      </c>
      <c r="D364" s="9" t="s">
        <v>792</v>
      </c>
      <c r="E364" s="54" t="n">
        <v>4.82</v>
      </c>
      <c r="F364" s="55" t="n">
        <f aca="false">Debt!$G$33</f>
        <v>4.81536115625495</v>
      </c>
      <c r="G364" s="49" t="n">
        <f aca="false">IFERROR(IF(ISNUMBER(F364),F364-E364,"n/a"),"n/a")</f>
        <v>-0.00463884374504708</v>
      </c>
      <c r="H364" s="50" t="n">
        <v>0.005000001</v>
      </c>
      <c r="I364" s="43" t="str">
        <f aca="false">IFERROR(IF(ISNUMBER(F364),IF(ABS(F364-E364)&lt;=H364,"PASS","FAIL"),"FAIL"),"FAIL")</f>
        <v>PASS</v>
      </c>
    </row>
    <row r="365" customFormat="false" ht="15" hidden="false" customHeight="false" outlineLevel="0" collapsed="false">
      <c r="B365" s="44" t="n">
        <v>356</v>
      </c>
      <c r="C365" s="9" t="s">
        <v>721</v>
      </c>
      <c r="D365" s="9" t="s">
        <v>793</v>
      </c>
      <c r="E365" s="52" t="n">
        <v>397.2</v>
      </c>
      <c r="F365" s="53" t="n">
        <f aca="false">Operating!$H$13</f>
        <v>397.1904</v>
      </c>
      <c r="G365" s="49" t="n">
        <f aca="false">IFERROR(IF(ISNUMBER(F365),F365-E365,"n/a"),"n/a")</f>
        <v>-0.00960000000003447</v>
      </c>
      <c r="H365" s="50" t="n">
        <v>0.050000001</v>
      </c>
      <c r="I365" s="43" t="str">
        <f aca="false">IFERROR(IF(ISNUMBER(F365),IF(ABS(F365-E365)&lt;=H365,"PASS","FAIL"),"FAIL"),"FAIL")</f>
        <v>PASS</v>
      </c>
    </row>
    <row r="366" customFormat="false" ht="15" hidden="false" customHeight="false" outlineLevel="0" collapsed="false">
      <c r="B366" s="44" t="n">
        <v>357</v>
      </c>
      <c r="C366" s="9" t="s">
        <v>721</v>
      </c>
      <c r="D366" s="9" t="s">
        <v>794</v>
      </c>
      <c r="E366" s="52" t="n">
        <v>57.9</v>
      </c>
      <c r="F366" s="53" t="n">
        <f aca="false">Operating!$H$14</f>
        <v>57.864608</v>
      </c>
      <c r="G366" s="49" t="n">
        <f aca="false">IFERROR(IF(ISNUMBER(F366),F366-E366,"n/a"),"n/a")</f>
        <v>-0.0353920000000016</v>
      </c>
      <c r="H366" s="50" t="n">
        <v>0.050000001</v>
      </c>
      <c r="I366" s="43" t="str">
        <f aca="false">IFERROR(IF(ISNUMBER(F366),IF(ABS(F366-E366)&lt;=H366,"PASS","FAIL"),"FAIL"),"FAIL")</f>
        <v>PASS</v>
      </c>
    </row>
    <row r="367" customFormat="false" ht="15" hidden="false" customHeight="false" outlineLevel="0" collapsed="false">
      <c r="B367" s="44" t="n">
        <v>358</v>
      </c>
      <c r="C367" s="9" t="s">
        <v>721</v>
      </c>
      <c r="D367" s="9" t="s">
        <v>795</v>
      </c>
      <c r="E367" s="21" t="n">
        <v>0.146</v>
      </c>
      <c r="F367" s="20" t="n">
        <f aca="false">Operating!$H$15</f>
        <v>0.145684810106186</v>
      </c>
      <c r="G367" s="49" t="n">
        <f aca="false">IFERROR(IF(ISNUMBER(F367),F367-E367,"n/a"),"n/a")</f>
        <v>-0.000315189893814127</v>
      </c>
      <c r="H367" s="50" t="n">
        <v>0.000500001</v>
      </c>
      <c r="I367" s="43" t="str">
        <f aca="false">IFERROR(IF(ISNUMBER(F367),IF(ABS(F367-E367)&lt;=H367,"PASS","FAIL"),"FAIL"),"FAIL")</f>
        <v>PASS</v>
      </c>
    </row>
    <row r="368" customFormat="false" ht="15" hidden="false" customHeight="false" outlineLevel="0" collapsed="false">
      <c r="B368" s="44" t="n">
        <v>359</v>
      </c>
      <c r="C368" s="9" t="s">
        <v>721</v>
      </c>
      <c r="D368" s="9" t="s">
        <v>796</v>
      </c>
      <c r="E368" s="52" t="n">
        <v>13.9</v>
      </c>
      <c r="F368" s="53" t="n">
        <f aca="false">Operating!$H$16</f>
        <v>13.901664</v>
      </c>
      <c r="G368" s="49" t="n">
        <f aca="false">IFERROR(IF(ISNUMBER(F368),F368-E368,"n/a"),"n/a")</f>
        <v>0.00166399999999989</v>
      </c>
      <c r="H368" s="50" t="n">
        <v>0.050000001</v>
      </c>
      <c r="I368" s="43" t="str">
        <f aca="false">IFERROR(IF(ISNUMBER(F368),IF(ABS(F368-E368)&lt;=H368,"PASS","FAIL"),"FAIL"),"FAIL")</f>
        <v>PASS</v>
      </c>
    </row>
    <row r="369" customFormat="false" ht="15" hidden="false" customHeight="false" outlineLevel="0" collapsed="false">
      <c r="B369" s="44" t="n">
        <v>360</v>
      </c>
      <c r="C369" s="9" t="s">
        <v>721</v>
      </c>
      <c r="D369" s="9" t="s">
        <v>797</v>
      </c>
      <c r="E369" s="52" t="n">
        <v>11.9</v>
      </c>
      <c r="F369" s="53" t="n">
        <f aca="false">Operating!$H$17</f>
        <v>11.915712</v>
      </c>
      <c r="G369" s="49" t="n">
        <f aca="false">IFERROR(IF(ISNUMBER(F369),F369-E369,"n/a"),"n/a")</f>
        <v>0.0157119999999971</v>
      </c>
      <c r="H369" s="50" t="n">
        <v>0.050000001</v>
      </c>
      <c r="I369" s="43" t="str">
        <f aca="false">IFERROR(IF(ISNUMBER(F369),IF(ABS(F369-E369)&lt;=H369,"PASS","FAIL"),"FAIL"),"FAIL")</f>
        <v>PASS</v>
      </c>
    </row>
    <row r="370" customFormat="false" ht="15" hidden="false" customHeight="false" outlineLevel="0" collapsed="false">
      <c r="B370" s="44" t="n">
        <v>361</v>
      </c>
      <c r="C370" s="9" t="s">
        <v>721</v>
      </c>
      <c r="D370" s="9" t="s">
        <v>798</v>
      </c>
      <c r="E370" s="52" t="n">
        <v>-2.3</v>
      </c>
      <c r="F370" s="53" t="n">
        <f aca="false">Operating!$H$21</f>
        <v>-2.27635200000001</v>
      </c>
      <c r="G370" s="49" t="n">
        <f aca="false">IFERROR(IF(ISNUMBER(F370),F370-E370,"n/a"),"n/a")</f>
        <v>0.0236479999999899</v>
      </c>
      <c r="H370" s="50" t="n">
        <v>0.050000001</v>
      </c>
      <c r="I370" s="43" t="str">
        <f aca="false">IFERROR(IF(ISNUMBER(F370),IF(ABS(F370-E370)&lt;=H370,"PASS","FAIL"),"FAIL"),"FAIL")</f>
        <v>PASS</v>
      </c>
    </row>
    <row r="371" customFormat="false" ht="15" hidden="false" customHeight="false" outlineLevel="0" collapsed="false">
      <c r="B371" s="44" t="n">
        <v>362</v>
      </c>
      <c r="C371" s="9" t="s">
        <v>721</v>
      </c>
      <c r="D371" s="9" t="s">
        <v>799</v>
      </c>
      <c r="E371" s="52" t="n">
        <v>48.5</v>
      </c>
      <c r="F371" s="53" t="n">
        <f aca="false">Operating!$H$9</f>
        <v>48.544608</v>
      </c>
      <c r="G371" s="49" t="n">
        <f aca="false">IFERROR(IF(ISNUMBER(F371),F371-E371,"n/a"),"n/a")</f>
        <v>0.0446079999999967</v>
      </c>
      <c r="H371" s="50" t="n">
        <v>0.050000001</v>
      </c>
      <c r="I371" s="43" t="str">
        <f aca="false">IFERROR(IF(ISNUMBER(F371),IF(ABS(F371-E371)&lt;=H371,"PASS","FAIL"),"FAIL"),"FAIL")</f>
        <v>PASS</v>
      </c>
    </row>
    <row r="372" customFormat="false" ht="15" hidden="false" customHeight="false" outlineLevel="0" collapsed="false">
      <c r="B372" s="44" t="n">
        <v>363</v>
      </c>
      <c r="C372" s="9" t="s">
        <v>316</v>
      </c>
      <c r="D372" s="9" t="s">
        <v>800</v>
      </c>
      <c r="E372" s="54" t="n">
        <v>27.02</v>
      </c>
      <c r="F372" s="55" t="n">
        <f aca="false">Debt!$H$13</f>
        <v>27.0249358375</v>
      </c>
      <c r="G372" s="49" t="n">
        <f aca="false">IFERROR(IF(ISNUMBER(F372),F372-E372,"n/a"),"n/a")</f>
        <v>0.00493583749999615</v>
      </c>
      <c r="H372" s="50" t="n">
        <v>0.005000001</v>
      </c>
      <c r="I372" s="43" t="str">
        <f aca="false">IFERROR(IF(ISNUMBER(F372),IF(ABS(F372-E372)&lt;=H372,"PASS","FAIL"),"FAIL"),"FAIL")</f>
        <v>PASS</v>
      </c>
    </row>
    <row r="373" customFormat="false" ht="15" hidden="false" customHeight="false" outlineLevel="0" collapsed="false">
      <c r="B373" s="44" t="n">
        <v>364</v>
      </c>
      <c r="C373" s="9" t="s">
        <v>747</v>
      </c>
      <c r="D373" s="9" t="s">
        <v>801</v>
      </c>
      <c r="E373" s="54" t="n">
        <v>6.65</v>
      </c>
      <c r="F373" s="55" t="n">
        <f aca="false">Tax!$H$17</f>
        <v>6.6508904</v>
      </c>
      <c r="G373" s="49" t="n">
        <f aca="false">IFERROR(IF(ISNUMBER(F373),F373-E373,"n/a"),"n/a")</f>
        <v>0.000890399999998515</v>
      </c>
      <c r="H373" s="50" t="n">
        <v>0.005000001</v>
      </c>
      <c r="I373" s="43" t="str">
        <f aca="false">IFERROR(IF(ISNUMBER(F373),IF(ABS(F373-E373)&lt;=H373,"PASS","FAIL"),"FAIL"),"FAIL")</f>
        <v>PASS</v>
      </c>
    </row>
    <row r="374" customFormat="false" ht="15" hidden="false" customHeight="false" outlineLevel="0" collapsed="false">
      <c r="B374" s="44" t="n">
        <v>365</v>
      </c>
      <c r="C374" s="9" t="s">
        <v>749</v>
      </c>
      <c r="D374" s="9" t="s">
        <v>802</v>
      </c>
      <c r="E374" s="52" t="n">
        <v>9.6</v>
      </c>
      <c r="F374" s="53" t="n">
        <f aca="false">Cash_Flow!$H$17</f>
        <v>9.63935999999999</v>
      </c>
      <c r="G374" s="49" t="n">
        <f aca="false">IFERROR(IF(ISNUMBER(F374),F374-E374,"n/a"),"n/a")</f>
        <v>0.0393599999999879</v>
      </c>
      <c r="H374" s="50" t="n">
        <v>0.050000001</v>
      </c>
      <c r="I374" s="43" t="str">
        <f aca="false">IFERROR(IF(ISNUMBER(F374),IF(ABS(F374-E374)&lt;=H374,"PASS","FAIL"),"FAIL"),"FAIL")</f>
        <v>PASS</v>
      </c>
    </row>
    <row r="375" customFormat="false" ht="15" hidden="false" customHeight="false" outlineLevel="0" collapsed="false">
      <c r="B375" s="44" t="n">
        <v>366</v>
      </c>
      <c r="C375" s="9" t="s">
        <v>749</v>
      </c>
      <c r="D375" s="9" t="s">
        <v>803</v>
      </c>
      <c r="E375" s="52" t="n">
        <v>14.5</v>
      </c>
      <c r="F375" s="53" t="n">
        <f aca="false">Cash_Flow!$H$16</f>
        <v>14.5494217625</v>
      </c>
      <c r="G375" s="49" t="n">
        <f aca="false">IFERROR(IF(ISNUMBER(F375),F375-E375,"n/a"),"n/a")</f>
        <v>0.0494217625000122</v>
      </c>
      <c r="H375" s="50" t="n">
        <v>0.050000001</v>
      </c>
      <c r="I375" s="43" t="str">
        <f aca="false">IFERROR(IF(ISNUMBER(F375),IF(ABS(F375-E375)&lt;=H375,"PASS","FAIL"),"FAIL"),"FAIL")</f>
        <v>PASS</v>
      </c>
    </row>
    <row r="376" customFormat="false" ht="15" hidden="false" customHeight="false" outlineLevel="0" collapsed="false">
      <c r="B376" s="44" t="n">
        <v>367</v>
      </c>
      <c r="C376" s="9" t="s">
        <v>316</v>
      </c>
      <c r="D376" s="9" t="s">
        <v>804</v>
      </c>
      <c r="E376" s="54" t="n">
        <v>2.65</v>
      </c>
      <c r="F376" s="55" t="n">
        <f aca="false">Debt!$H$17</f>
        <v>2.65</v>
      </c>
      <c r="G376" s="49" t="n">
        <f aca="false">IFERROR(IF(ISNUMBER(F376),F376-E376,"n/a"),"n/a")</f>
        <v>0</v>
      </c>
      <c r="H376" s="50" t="n">
        <v>0.005000001</v>
      </c>
      <c r="I376" s="43" t="str">
        <f aca="false">IFERROR(IF(ISNUMBER(F376),IF(ABS(F376-E376)&lt;=H376,"PASS","FAIL"),"FAIL"),"FAIL")</f>
        <v>PASS</v>
      </c>
    </row>
    <row r="377" customFormat="false" ht="15" hidden="false" customHeight="false" outlineLevel="0" collapsed="false">
      <c r="B377" s="44" t="n">
        <v>368</v>
      </c>
      <c r="C377" s="9" t="s">
        <v>316</v>
      </c>
      <c r="D377" s="9" t="s">
        <v>805</v>
      </c>
      <c r="E377" s="52" t="n">
        <v>7</v>
      </c>
      <c r="F377" s="53" t="n">
        <f aca="false">Debt!$H$23</f>
        <v>7.04680213125001</v>
      </c>
      <c r="G377" s="49" t="n">
        <f aca="false">IFERROR(IF(ISNUMBER(F377),F377-E377,"n/a"),"n/a")</f>
        <v>0.0468021312500113</v>
      </c>
      <c r="H377" s="50" t="n">
        <v>0.050000001</v>
      </c>
      <c r="I377" s="43" t="str">
        <f aca="false">IFERROR(IF(ISNUMBER(F377),IF(ABS(F377-E377)&lt;=H377,"PASS","FAIL"),"FAIL"),"FAIL")</f>
        <v>PASS</v>
      </c>
    </row>
    <row r="378" customFormat="false" ht="15" hidden="false" customHeight="false" outlineLevel="0" collapsed="false">
      <c r="B378" s="44" t="n">
        <v>369</v>
      </c>
      <c r="C378" s="9" t="s">
        <v>316</v>
      </c>
      <c r="D378" s="9" t="s">
        <v>806</v>
      </c>
      <c r="E378" s="54" t="n">
        <v>2.14</v>
      </c>
      <c r="F378" s="55" t="n">
        <f aca="false">Debt!$H$15</f>
        <v>2.14115616584394</v>
      </c>
      <c r="G378" s="49" t="n">
        <f aca="false">IFERROR(IF(ISNUMBER(F378),F378-E378,"n/a"),"n/a")</f>
        <v>0.00115616584394074</v>
      </c>
      <c r="H378" s="50" t="n">
        <v>0.005000001</v>
      </c>
      <c r="I378" s="43" t="str">
        <f aca="false">IFERROR(IF(ISNUMBER(F378),IF(ABS(F378-E378)&lt;=H378,"PASS","FAIL"),"FAIL"),"FAIL")</f>
        <v>PASS</v>
      </c>
    </row>
    <row r="379" customFormat="false" ht="15" hidden="false" customHeight="false" outlineLevel="0" collapsed="false">
      <c r="B379" s="44" t="n">
        <v>370</v>
      </c>
      <c r="C379" s="9" t="s">
        <v>747</v>
      </c>
      <c r="D379" s="9" t="s">
        <v>807</v>
      </c>
      <c r="E379" s="52" t="n">
        <v>9.3</v>
      </c>
      <c r="F379" s="53" t="n">
        <f aca="false">Tax!$H$18</f>
        <v>9.34140347678572</v>
      </c>
      <c r="G379" s="49" t="n">
        <f aca="false">IFERROR(IF(ISNUMBER(F379),F379-E379,"n/a"),"n/a")</f>
        <v>0.0414034767857139</v>
      </c>
      <c r="H379" s="50" t="n">
        <v>0.050000001</v>
      </c>
      <c r="I379" s="43" t="str">
        <f aca="false">IFERROR(IF(ISNUMBER(F379),IF(ABS(F379-E379)&lt;=H379,"PASS","FAIL"),"FAIL"),"FAIL")</f>
        <v>PASS</v>
      </c>
    </row>
    <row r="380" customFormat="false" ht="15" hidden="false" customHeight="false" outlineLevel="0" collapsed="false">
      <c r="B380" s="44" t="n">
        <v>371</v>
      </c>
      <c r="C380" s="9" t="s">
        <v>437</v>
      </c>
      <c r="D380" s="9" t="s">
        <v>808</v>
      </c>
      <c r="E380" s="52" t="n">
        <v>59.9</v>
      </c>
      <c r="F380" s="53" t="n">
        <f aca="false">Covenants!$H$9</f>
        <v>59.864608</v>
      </c>
      <c r="G380" s="49" t="n">
        <f aca="false">IFERROR(IF(ISNUMBER(F380),F380-E380,"n/a"),"n/a")</f>
        <v>-0.0353920000000016</v>
      </c>
      <c r="H380" s="50" t="n">
        <v>0.050000001</v>
      </c>
      <c r="I380" s="43" t="str">
        <f aca="false">IFERROR(IF(ISNUMBER(F380),IF(ABS(F380-E380)&lt;=H380,"PASS","FAIL"),"FAIL"),"FAIL")</f>
        <v>PASS</v>
      </c>
    </row>
    <row r="381" customFormat="false" ht="15" hidden="false" customHeight="false" outlineLevel="0" collapsed="false">
      <c r="B381" s="44" t="n">
        <v>372</v>
      </c>
      <c r="C381" s="9" t="s">
        <v>437</v>
      </c>
      <c r="D381" s="9" t="s">
        <v>809</v>
      </c>
      <c r="E381" s="54" t="n">
        <v>4.63</v>
      </c>
      <c r="F381" s="55" t="n">
        <f aca="false">Covenants!$H$11</f>
        <v>4.62722838237745</v>
      </c>
      <c r="G381" s="49" t="n">
        <f aca="false">IFERROR(IF(ISNUMBER(F381),F381-E381,"n/a"),"n/a")</f>
        <v>-0.00277161762255229</v>
      </c>
      <c r="H381" s="50" t="n">
        <v>0.005000001</v>
      </c>
      <c r="I381" s="43" t="str">
        <f aca="false">IFERROR(IF(ISNUMBER(F381),IF(ABS(F381-E381)&lt;=H381,"PASS","FAIL"),"FAIL"),"FAIL")</f>
        <v>PASS</v>
      </c>
    </row>
    <row r="382" customFormat="false" ht="15" hidden="false" customHeight="false" outlineLevel="0" collapsed="false">
      <c r="B382" s="44" t="n">
        <v>373</v>
      </c>
      <c r="C382" s="9" t="s">
        <v>437</v>
      </c>
      <c r="D382" s="9" t="s">
        <v>810</v>
      </c>
      <c r="E382" s="54" t="n">
        <v>0.12</v>
      </c>
      <c r="F382" s="55" t="n">
        <f aca="false">Covenants!$H$13</f>
        <v>0.122771617622552</v>
      </c>
      <c r="G382" s="49" t="n">
        <f aca="false">IFERROR(IF(ISNUMBER(F382),F382-E382,"n/a"),"n/a")</f>
        <v>0.0027716176225524</v>
      </c>
      <c r="H382" s="50" t="n">
        <v>0.005000001</v>
      </c>
      <c r="I382" s="43" t="str">
        <f aca="false">IFERROR(IF(ISNUMBER(F382),IF(ABS(F382-E382)&lt;=H382,"PASS","FAIL"),"FAIL"),"FAIL")</f>
        <v>PASS</v>
      </c>
    </row>
    <row r="383" customFormat="false" ht="15" hidden="false" customHeight="false" outlineLevel="0" collapsed="false">
      <c r="B383" s="44" t="n">
        <v>374</v>
      </c>
      <c r="C383" s="9" t="s">
        <v>437</v>
      </c>
      <c r="D383" s="9" t="s">
        <v>811</v>
      </c>
      <c r="E383" s="21" t="n">
        <v>0.026</v>
      </c>
      <c r="F383" s="20" t="n">
        <f aca="false">Covenants!$H$14</f>
        <v>0.02584665634159</v>
      </c>
      <c r="G383" s="49" t="n">
        <f aca="false">IFERROR(IF(ISNUMBER(F383),F383-E383,"n/a"),"n/a")</f>
        <v>-0.000153343658409997</v>
      </c>
      <c r="H383" s="50" t="n">
        <v>0.000500001</v>
      </c>
      <c r="I383" s="43" t="str">
        <f aca="false">IFERROR(IF(ISNUMBER(F383),IF(ABS(F383-E383)&lt;=H383,"PASS","FAIL"),"FAIL"),"FAIL")</f>
        <v>PASS</v>
      </c>
    </row>
    <row r="384" customFormat="false" ht="15" hidden="false" customHeight="false" outlineLevel="0" collapsed="false">
      <c r="B384" s="44" t="n">
        <v>375</v>
      </c>
      <c r="C384" s="9" t="s">
        <v>316</v>
      </c>
      <c r="D384" s="9" t="s">
        <v>812</v>
      </c>
      <c r="E384" s="52" t="n">
        <v>244.1</v>
      </c>
      <c r="F384" s="53" t="n">
        <f aca="false">Debt!$H$26</f>
        <v>244.05401536875</v>
      </c>
      <c r="G384" s="49" t="n">
        <f aca="false">IFERROR(IF(ISNUMBER(F384),F384-E384,"n/a"),"n/a")</f>
        <v>-0.045984631250036</v>
      </c>
      <c r="H384" s="50" t="n">
        <v>0.050000001</v>
      </c>
      <c r="I384" s="43" t="str">
        <f aca="false">IFERROR(IF(ISNUMBER(F384),IF(ABS(F384-E384)&lt;=H384,"PASS","FAIL"),"FAIL"),"FAIL")</f>
        <v>PASS</v>
      </c>
    </row>
    <row r="385" customFormat="false" ht="15" hidden="false" customHeight="false" outlineLevel="0" collapsed="false">
      <c r="B385" s="44" t="n">
        <v>376</v>
      </c>
      <c r="C385" s="9" t="s">
        <v>316</v>
      </c>
      <c r="D385" s="9" t="s">
        <v>813</v>
      </c>
      <c r="E385" s="52" t="n">
        <v>50</v>
      </c>
      <c r="F385" s="53" t="n">
        <f aca="false">Debt!$H$28</f>
        <v>50</v>
      </c>
      <c r="G385" s="49" t="n">
        <f aca="false">IFERROR(IF(ISNUMBER(F385),F385-E385,"n/a"),"n/a")</f>
        <v>0</v>
      </c>
      <c r="H385" s="50" t="n">
        <v>0.050000001</v>
      </c>
      <c r="I385" s="43" t="str">
        <f aca="false">IFERROR(IF(ISNUMBER(F385),IF(ABS(F385-E385)&lt;=H385,"PASS","FAIL"),"FAIL"),"FAIL")</f>
        <v>PASS</v>
      </c>
    </row>
    <row r="386" customFormat="false" ht="15" hidden="false" customHeight="false" outlineLevel="0" collapsed="false">
      <c r="B386" s="44" t="n">
        <v>377</v>
      </c>
      <c r="C386" s="9" t="s">
        <v>316</v>
      </c>
      <c r="D386" s="9" t="s">
        <v>814</v>
      </c>
      <c r="E386" s="52" t="n">
        <v>0</v>
      </c>
      <c r="F386" s="53" t="n">
        <f aca="false">Debt!$H$29</f>
        <v>0</v>
      </c>
      <c r="G386" s="49" t="n">
        <f aca="false">IFERROR(IF(ISNUMBER(F386),F386-E386,"n/a"),"n/a")</f>
        <v>0</v>
      </c>
      <c r="H386" s="50" t="n">
        <v>0.050000001</v>
      </c>
      <c r="I386" s="43" t="str">
        <f aca="false">IFERROR(IF(ISNUMBER(F386),IF(ABS(F386-E386)&lt;=H386,"PASS","FAIL"),"FAIL"),"FAIL")</f>
        <v>PASS</v>
      </c>
    </row>
    <row r="387" customFormat="false" ht="15" hidden="false" customHeight="false" outlineLevel="0" collapsed="false">
      <c r="B387" s="44" t="n">
        <v>378</v>
      </c>
      <c r="C387" s="9" t="s">
        <v>316</v>
      </c>
      <c r="D387" s="9" t="s">
        <v>815</v>
      </c>
      <c r="E387" s="52" t="n">
        <v>294.1</v>
      </c>
      <c r="F387" s="53" t="n">
        <f aca="false">Debt!$H$30</f>
        <v>294.05401536875</v>
      </c>
      <c r="G387" s="49" t="n">
        <f aca="false">IFERROR(IF(ISNUMBER(F387),F387-E387,"n/a"),"n/a")</f>
        <v>-0.0459846312500645</v>
      </c>
      <c r="H387" s="50" t="n">
        <v>0.050000001</v>
      </c>
      <c r="I387" s="43" t="str">
        <f aca="false">IFERROR(IF(ISNUMBER(F387),IF(ABS(F387-E387)&lt;=H387,"PASS","FAIL"),"FAIL"),"FAIL")</f>
        <v>PASS</v>
      </c>
    </row>
    <row r="388" customFormat="false" ht="15" hidden="false" customHeight="false" outlineLevel="0" collapsed="false">
      <c r="B388" s="44" t="n">
        <v>379</v>
      </c>
      <c r="C388" s="9" t="s">
        <v>316</v>
      </c>
      <c r="D388" s="9" t="s">
        <v>816</v>
      </c>
      <c r="E388" s="52" t="n">
        <v>17</v>
      </c>
      <c r="F388" s="53" t="n">
        <f aca="false">Debt!$H$31</f>
        <v>17.04680213125</v>
      </c>
      <c r="G388" s="49" t="n">
        <f aca="false">IFERROR(IF(ISNUMBER(F388),F388-E388,"n/a"),"n/a")</f>
        <v>0.0468021312500113</v>
      </c>
      <c r="H388" s="50" t="n">
        <v>0.050000001</v>
      </c>
      <c r="I388" s="43" t="str">
        <f aca="false">IFERROR(IF(ISNUMBER(F388),IF(ABS(F388-E388)&lt;=H388,"PASS","FAIL"),"FAIL"),"FAIL")</f>
        <v>PASS</v>
      </c>
    </row>
    <row r="389" customFormat="false" ht="15" hidden="false" customHeight="false" outlineLevel="0" collapsed="false">
      <c r="B389" s="44" t="n">
        <v>380</v>
      </c>
      <c r="C389" s="9" t="s">
        <v>316</v>
      </c>
      <c r="D389" s="9" t="s">
        <v>817</v>
      </c>
      <c r="E389" s="52" t="n">
        <v>277</v>
      </c>
      <c r="F389" s="53" t="n">
        <f aca="false">Debt!$H$32</f>
        <v>277.0072132375</v>
      </c>
      <c r="G389" s="49" t="n">
        <f aca="false">IFERROR(IF(ISNUMBER(F389),F389-E389,"n/a"),"n/a")</f>
        <v>0.00721323749996827</v>
      </c>
      <c r="H389" s="50" t="n">
        <v>0.050000001</v>
      </c>
      <c r="I389" s="43" t="str">
        <f aca="false">IFERROR(IF(ISNUMBER(F389),IF(ABS(F389-E389)&lt;=H389,"PASS","FAIL"),"FAIL"),"FAIL")</f>
        <v>PASS</v>
      </c>
    </row>
    <row r="390" customFormat="false" ht="15" hidden="false" customHeight="false" outlineLevel="0" collapsed="false">
      <c r="B390" s="44" t="n">
        <v>381</v>
      </c>
      <c r="C390" s="9" t="s">
        <v>316</v>
      </c>
      <c r="D390" s="9" t="s">
        <v>818</v>
      </c>
      <c r="E390" s="54" t="n">
        <v>4.79</v>
      </c>
      <c r="F390" s="55" t="n">
        <f aca="false">Debt!$H$33</f>
        <v>4.7871613203964</v>
      </c>
      <c r="G390" s="49" t="n">
        <f aca="false">IFERROR(IF(ISNUMBER(F390),F390-E390,"n/a"),"n/a")</f>
        <v>-0.00283867960360151</v>
      </c>
      <c r="H390" s="50" t="n">
        <v>0.005000001</v>
      </c>
      <c r="I390" s="43" t="str">
        <f aca="false">IFERROR(IF(ISNUMBER(F390),IF(ABS(F390-E390)&lt;=H390,"PASS","FAIL"),"FAIL"),"FAIL")</f>
        <v>PASS</v>
      </c>
    </row>
    <row r="391" customFormat="false" ht="15" hidden="false" customHeight="false" outlineLevel="0" collapsed="false">
      <c r="B391" s="44" t="n">
        <v>382</v>
      </c>
      <c r="C391" s="9" t="s">
        <v>721</v>
      </c>
      <c r="D391" s="9" t="s">
        <v>819</v>
      </c>
      <c r="E391" s="52" t="n">
        <v>423.1</v>
      </c>
      <c r="F391" s="53" t="n">
        <f aca="false">Operating!$I$13</f>
        <v>423.121728</v>
      </c>
      <c r="G391" s="49" t="n">
        <f aca="false">IFERROR(IF(ISNUMBER(F391),F391-E391,"n/a"),"n/a")</f>
        <v>0.021727999999996</v>
      </c>
      <c r="H391" s="50" t="n">
        <v>0.050000001</v>
      </c>
      <c r="I391" s="43" t="str">
        <f aca="false">IFERROR(IF(ISNUMBER(F391),IF(ABS(F391-E391)&lt;=H391,"PASS","FAIL"),"FAIL"),"FAIL")</f>
        <v>PASS</v>
      </c>
    </row>
    <row r="392" customFormat="false" ht="15" hidden="false" customHeight="false" outlineLevel="0" collapsed="false">
      <c r="B392" s="44" t="n">
        <v>383</v>
      </c>
      <c r="C392" s="9" t="s">
        <v>721</v>
      </c>
      <c r="D392" s="9" t="s">
        <v>820</v>
      </c>
      <c r="E392" s="52" t="n">
        <v>70.3</v>
      </c>
      <c r="F392" s="53" t="n">
        <f aca="false">Operating!$I$14</f>
        <v>70.26004512</v>
      </c>
      <c r="G392" s="49" t="n">
        <f aca="false">IFERROR(IF(ISNUMBER(F392),F392-E392,"n/a"),"n/a")</f>
        <v>-0.0399548799999963</v>
      </c>
      <c r="H392" s="50" t="n">
        <v>0.050000001</v>
      </c>
      <c r="I392" s="43" t="str">
        <f aca="false">IFERROR(IF(ISNUMBER(F392),IF(ABS(F392-E392)&lt;=H392,"PASS","FAIL"),"FAIL"),"FAIL")</f>
        <v>PASS</v>
      </c>
    </row>
    <row r="393" customFormat="false" ht="15" hidden="false" customHeight="false" outlineLevel="0" collapsed="false">
      <c r="B393" s="44" t="n">
        <v>384</v>
      </c>
      <c r="C393" s="9" t="s">
        <v>721</v>
      </c>
      <c r="D393" s="9" t="s">
        <v>821</v>
      </c>
      <c r="E393" s="21" t="n">
        <v>0.166</v>
      </c>
      <c r="F393" s="20" t="n">
        <f aca="false">Operating!$I$15</f>
        <v>0.166051612267948</v>
      </c>
      <c r="G393" s="49" t="n">
        <f aca="false">IFERROR(IF(ISNUMBER(F393),F393-E393,"n/a"),"n/a")</f>
        <v>5.1612267947615E-005</v>
      </c>
      <c r="H393" s="50" t="n">
        <v>0.000500001</v>
      </c>
      <c r="I393" s="43" t="str">
        <f aca="false">IFERROR(IF(ISNUMBER(F393),IF(ABS(F393-E393)&lt;=H393,"PASS","FAIL"),"FAIL"),"FAIL")</f>
        <v>PASS</v>
      </c>
    </row>
    <row r="394" customFormat="false" ht="15" hidden="false" customHeight="false" outlineLevel="0" collapsed="false">
      <c r="B394" s="44" t="n">
        <v>385</v>
      </c>
      <c r="C394" s="9" t="s">
        <v>721</v>
      </c>
      <c r="D394" s="9" t="s">
        <v>822</v>
      </c>
      <c r="E394" s="52" t="n">
        <v>14.8</v>
      </c>
      <c r="F394" s="53" t="n">
        <f aca="false">Operating!$I$16</f>
        <v>14.80926048</v>
      </c>
      <c r="G394" s="49" t="n">
        <f aca="false">IFERROR(IF(ISNUMBER(F394),F394-E394,"n/a"),"n/a")</f>
        <v>0.00926048000000179</v>
      </c>
      <c r="H394" s="50" t="n">
        <v>0.050000001</v>
      </c>
      <c r="I394" s="43" t="str">
        <f aca="false">IFERROR(IF(ISNUMBER(F394),IF(ABS(F394-E394)&lt;=H394,"PASS","FAIL"),"FAIL"),"FAIL")</f>
        <v>PASS</v>
      </c>
    </row>
    <row r="395" customFormat="false" ht="15" hidden="false" customHeight="false" outlineLevel="0" collapsed="false">
      <c r="B395" s="44" t="n">
        <v>386</v>
      </c>
      <c r="C395" s="9" t="s">
        <v>721</v>
      </c>
      <c r="D395" s="9" t="s">
        <v>823</v>
      </c>
      <c r="E395" s="52" t="n">
        <v>12.7</v>
      </c>
      <c r="F395" s="53" t="n">
        <f aca="false">Operating!$I$17</f>
        <v>12.69365184</v>
      </c>
      <c r="G395" s="49" t="n">
        <f aca="false">IFERROR(IF(ISNUMBER(F395),F395-E395,"n/a"),"n/a")</f>
        <v>-0.00634815999999994</v>
      </c>
      <c r="H395" s="50" t="n">
        <v>0.050000001</v>
      </c>
      <c r="I395" s="43" t="str">
        <f aca="false">IFERROR(IF(ISNUMBER(F395),IF(ABS(F395-E395)&lt;=H395,"PASS","FAIL"),"FAIL"),"FAIL")</f>
        <v>PASS</v>
      </c>
    </row>
    <row r="396" customFormat="false" ht="15" hidden="false" customHeight="false" outlineLevel="0" collapsed="false">
      <c r="B396" s="44" t="n">
        <v>387</v>
      </c>
      <c r="C396" s="9" t="s">
        <v>721</v>
      </c>
      <c r="D396" s="9" t="s">
        <v>824</v>
      </c>
      <c r="E396" s="52" t="n">
        <v>3.1</v>
      </c>
      <c r="F396" s="53" t="n">
        <f aca="false">Operating!$I$21</f>
        <v>3.11175936000001</v>
      </c>
      <c r="G396" s="49" t="n">
        <f aca="false">IFERROR(IF(ISNUMBER(F396),F396-E396,"n/a"),"n/a")</f>
        <v>0.0117593600000077</v>
      </c>
      <c r="H396" s="50" t="n">
        <v>0.050000001</v>
      </c>
      <c r="I396" s="43" t="str">
        <f aca="false">IFERROR(IF(ISNUMBER(F396),IF(ABS(F396-E396)&lt;=H396,"PASS","FAIL"),"FAIL"),"FAIL")</f>
        <v>PASS</v>
      </c>
    </row>
    <row r="397" customFormat="false" ht="15" hidden="false" customHeight="false" outlineLevel="0" collapsed="false">
      <c r="B397" s="44" t="n">
        <v>388</v>
      </c>
      <c r="C397" s="9" t="s">
        <v>721</v>
      </c>
      <c r="D397" s="9" t="s">
        <v>825</v>
      </c>
      <c r="E397" s="52" t="n">
        <v>59.1</v>
      </c>
      <c r="F397" s="53" t="n">
        <f aca="false">Operating!$I$9</f>
        <v>59.10724512</v>
      </c>
      <c r="G397" s="49" t="n">
        <f aca="false">IFERROR(IF(ISNUMBER(F397),F397-E397,"n/a"),"n/a")</f>
        <v>0.00724511999999322</v>
      </c>
      <c r="H397" s="50" t="n">
        <v>0.050000001</v>
      </c>
      <c r="I397" s="43" t="str">
        <f aca="false">IFERROR(IF(ISNUMBER(F397),IF(ABS(F397-E397)&lt;=H397,"PASS","FAIL"),"FAIL"),"FAIL")</f>
        <v>PASS</v>
      </c>
    </row>
    <row r="398" customFormat="false" ht="15" hidden="false" customHeight="false" outlineLevel="0" collapsed="false">
      <c r="B398" s="44" t="n">
        <v>389</v>
      </c>
      <c r="C398" s="9" t="s">
        <v>316</v>
      </c>
      <c r="D398" s="9" t="s">
        <v>826</v>
      </c>
      <c r="E398" s="54" t="n">
        <v>26.1</v>
      </c>
      <c r="F398" s="55" t="n">
        <f aca="false">Debt!$I$13</f>
        <v>26.1036552637187</v>
      </c>
      <c r="G398" s="49" t="n">
        <f aca="false">IFERROR(IF(ISNUMBER(F398),F398-E398,"n/a"),"n/a")</f>
        <v>0.00365526371874125</v>
      </c>
      <c r="H398" s="50" t="n">
        <v>0.005000001</v>
      </c>
      <c r="I398" s="43" t="str">
        <f aca="false">IFERROR(IF(ISNUMBER(F398),IF(ABS(F398-E398)&lt;=H398,"PASS","FAIL"),"FAIL"),"FAIL")</f>
        <v>PASS</v>
      </c>
    </row>
    <row r="399" customFormat="false" ht="15" hidden="false" customHeight="false" outlineLevel="0" collapsed="false">
      <c r="B399" s="44" t="n">
        <v>390</v>
      </c>
      <c r="C399" s="9" t="s">
        <v>747</v>
      </c>
      <c r="D399" s="9" t="s">
        <v>827</v>
      </c>
      <c r="E399" s="54" t="n">
        <v>8.59</v>
      </c>
      <c r="F399" s="55" t="n">
        <f aca="false">Tax!$I$17</f>
        <v>8.593192776</v>
      </c>
      <c r="G399" s="49" t="n">
        <f aca="false">IFERROR(IF(ISNUMBER(F399),F399-E399,"n/a"),"n/a")</f>
        <v>0.00319277599999879</v>
      </c>
      <c r="H399" s="50" t="n">
        <v>0.005000001</v>
      </c>
      <c r="I399" s="43" t="str">
        <f aca="false">IFERROR(IF(ISNUMBER(F399),IF(ABS(F399-E399)&lt;=H399,"PASS","FAIL"),"FAIL"),"FAIL")</f>
        <v>PASS</v>
      </c>
    </row>
    <row r="400" customFormat="false" ht="15" hidden="false" customHeight="false" outlineLevel="0" collapsed="false">
      <c r="B400" s="44" t="n">
        <v>391</v>
      </c>
      <c r="C400" s="9" t="s">
        <v>749</v>
      </c>
      <c r="D400" s="9" t="s">
        <v>828</v>
      </c>
      <c r="E400" s="52" t="n">
        <v>15.8</v>
      </c>
      <c r="F400" s="53" t="n">
        <f aca="false">Cash_Flow!$I$17</f>
        <v>15.8054112</v>
      </c>
      <c r="G400" s="49" t="n">
        <f aca="false">IFERROR(IF(ISNUMBER(F400),F400-E400,"n/a"),"n/a")</f>
        <v>0.00541120000000639</v>
      </c>
      <c r="H400" s="50" t="n">
        <v>0.050000001</v>
      </c>
      <c r="I400" s="43" t="str">
        <f aca="false">IFERROR(IF(ISNUMBER(F400),IF(ABS(F400-E400)&lt;=H400,"PASS","FAIL"),"FAIL"),"FAIL")</f>
        <v>PASS</v>
      </c>
    </row>
    <row r="401" customFormat="false" ht="15" hidden="false" customHeight="false" outlineLevel="0" collapsed="false">
      <c r="B401" s="44" t="n">
        <v>392</v>
      </c>
      <c r="C401" s="9" t="s">
        <v>749</v>
      </c>
      <c r="D401" s="9" t="s">
        <v>829</v>
      </c>
      <c r="E401" s="52" t="n">
        <v>19.8</v>
      </c>
      <c r="F401" s="53" t="n">
        <f aca="false">Cash_Flow!$I$16</f>
        <v>19.7577858802813</v>
      </c>
      <c r="G401" s="49" t="n">
        <f aca="false">IFERROR(IF(ISNUMBER(F401),F401-E401,"n/a"),"n/a")</f>
        <v>-0.0422141197187464</v>
      </c>
      <c r="H401" s="50" t="n">
        <v>0.050000001</v>
      </c>
      <c r="I401" s="43" t="str">
        <f aca="false">IFERROR(IF(ISNUMBER(F401),IF(ABS(F401-E401)&lt;=H401,"PASS","FAIL"),"FAIL"),"FAIL")</f>
        <v>PASS</v>
      </c>
    </row>
    <row r="402" customFormat="false" ht="15" hidden="false" customHeight="false" outlineLevel="0" collapsed="false">
      <c r="B402" s="44" t="n">
        <v>393</v>
      </c>
      <c r="C402" s="9" t="s">
        <v>316</v>
      </c>
      <c r="D402" s="9" t="s">
        <v>830</v>
      </c>
      <c r="E402" s="54" t="n">
        <v>2.65</v>
      </c>
      <c r="F402" s="55" t="n">
        <f aca="false">Debt!$I$17</f>
        <v>2.65</v>
      </c>
      <c r="G402" s="49" t="n">
        <f aca="false">IFERROR(IF(ISNUMBER(F402),F402-E402,"n/a"),"n/a")</f>
        <v>0</v>
      </c>
      <c r="H402" s="50" t="n">
        <v>0.005000001</v>
      </c>
      <c r="I402" s="43" t="str">
        <f aca="false">IFERROR(IF(ISNUMBER(F402),IF(ABS(F402-E402)&lt;=H402,"PASS","FAIL"),"FAIL"),"FAIL")</f>
        <v>PASS</v>
      </c>
    </row>
    <row r="403" customFormat="false" ht="15" hidden="false" customHeight="false" outlineLevel="0" collapsed="false">
      <c r="B403" s="44" t="n">
        <v>394</v>
      </c>
      <c r="C403" s="9" t="s">
        <v>316</v>
      </c>
      <c r="D403" s="9" t="s">
        <v>831</v>
      </c>
      <c r="E403" s="52" t="n">
        <v>12.1</v>
      </c>
      <c r="F403" s="53" t="n">
        <f aca="false">Debt!$I$23</f>
        <v>12.0772940057656</v>
      </c>
      <c r="G403" s="49" t="n">
        <f aca="false">IFERROR(IF(ISNUMBER(F403),F403-E403,"n/a"),"n/a")</f>
        <v>-0.0227059942343661</v>
      </c>
      <c r="H403" s="50" t="n">
        <v>0.050000001</v>
      </c>
      <c r="I403" s="43" t="str">
        <f aca="false">IFERROR(IF(ISNUMBER(F403),IF(ABS(F403-E403)&lt;=H403,"PASS","FAIL"),"FAIL"),"FAIL")</f>
        <v>PASS</v>
      </c>
    </row>
    <row r="404" customFormat="false" ht="15" hidden="false" customHeight="false" outlineLevel="0" collapsed="false">
      <c r="B404" s="44" t="n">
        <v>395</v>
      </c>
      <c r="C404" s="9" t="s">
        <v>316</v>
      </c>
      <c r="D404" s="9" t="s">
        <v>832</v>
      </c>
      <c r="E404" s="54" t="n">
        <v>2.69</v>
      </c>
      <c r="F404" s="55" t="n">
        <f aca="false">Debt!$I$15</f>
        <v>2.6915788003703</v>
      </c>
      <c r="G404" s="49" t="n">
        <f aca="false">IFERROR(IF(ISNUMBER(F404),F404-E404,"n/a"),"n/a")</f>
        <v>0.00157880037030145</v>
      </c>
      <c r="H404" s="50" t="n">
        <v>0.005000001</v>
      </c>
      <c r="I404" s="43" t="str">
        <f aca="false">IFERROR(IF(ISNUMBER(F404),IF(ABS(F404-E404)&lt;=H404,"PASS","FAIL"),"FAIL"),"FAIL")</f>
        <v>PASS</v>
      </c>
    </row>
    <row r="405" customFormat="false" ht="15" hidden="false" customHeight="false" outlineLevel="0" collapsed="false">
      <c r="B405" s="44" t="n">
        <v>396</v>
      </c>
      <c r="C405" s="9" t="s">
        <v>747</v>
      </c>
      <c r="D405" s="9" t="s">
        <v>833</v>
      </c>
      <c r="E405" s="52" t="n">
        <v>19.8</v>
      </c>
      <c r="F405" s="53" t="n">
        <f aca="false">Tax!$I$18</f>
        <v>19.808222314567</v>
      </c>
      <c r="G405" s="49" t="n">
        <f aca="false">IFERROR(IF(ISNUMBER(F405),F405-E405,"n/a"),"n/a")</f>
        <v>0.00822231456696798</v>
      </c>
      <c r="H405" s="50" t="n">
        <v>0.050000001</v>
      </c>
      <c r="I405" s="43" t="str">
        <f aca="false">IFERROR(IF(ISNUMBER(F405),IF(ABS(F405-E405)&lt;=H405,"PASS","FAIL"),"FAIL"),"FAIL")</f>
        <v>PASS</v>
      </c>
    </row>
    <row r="406" customFormat="false" ht="15" hidden="false" customHeight="false" outlineLevel="0" collapsed="false">
      <c r="B406" s="44" t="n">
        <v>397</v>
      </c>
      <c r="C406" s="9" t="s">
        <v>437</v>
      </c>
      <c r="D406" s="9" t="s">
        <v>834</v>
      </c>
      <c r="E406" s="52" t="n">
        <v>70.8</v>
      </c>
      <c r="F406" s="53" t="n">
        <f aca="false">Covenants!$I$9</f>
        <v>70.76004512</v>
      </c>
      <c r="G406" s="49" t="n">
        <f aca="false">IFERROR(IF(ISNUMBER(F406),F406-E406,"n/a"),"n/a")</f>
        <v>-0.0399548799999963</v>
      </c>
      <c r="H406" s="50" t="n">
        <v>0.050000001</v>
      </c>
      <c r="I406" s="43" t="str">
        <f aca="false">IFERROR(IF(ISNUMBER(F406),IF(ABS(F406-E406)&lt;=H406,"PASS","FAIL"),"FAIL"),"FAIL")</f>
        <v>PASS</v>
      </c>
    </row>
    <row r="407" customFormat="false" ht="15" hidden="false" customHeight="false" outlineLevel="0" collapsed="false">
      <c r="B407" s="44" t="n">
        <v>398</v>
      </c>
      <c r="C407" s="9" t="s">
        <v>437</v>
      </c>
      <c r="D407" s="9" t="s">
        <v>835</v>
      </c>
      <c r="E407" s="54" t="n">
        <v>3.64</v>
      </c>
      <c r="F407" s="55" t="n">
        <f aca="false">Covenants!$I$11</f>
        <v>3.63551813627248</v>
      </c>
      <c r="G407" s="49" t="n">
        <f aca="false">IFERROR(IF(ISNUMBER(F407),F407-E407,"n/a"),"n/a")</f>
        <v>-0.00448186372752391</v>
      </c>
      <c r="H407" s="50" t="n">
        <v>0.005000001</v>
      </c>
      <c r="I407" s="43" t="str">
        <f aca="false">IFERROR(IF(ISNUMBER(F407),IF(ABS(F407-E407)&lt;=H407,"PASS","FAIL"),"FAIL"),"FAIL")</f>
        <v>PASS</v>
      </c>
    </row>
    <row r="408" customFormat="false" ht="15" hidden="false" customHeight="false" outlineLevel="0" collapsed="false">
      <c r="B408" s="44" t="n">
        <v>399</v>
      </c>
      <c r="C408" s="9" t="s">
        <v>437</v>
      </c>
      <c r="D408" s="9" t="s">
        <v>836</v>
      </c>
      <c r="E408" s="54" t="n">
        <v>0.61</v>
      </c>
      <c r="F408" s="55" t="n">
        <f aca="false">Covenants!$I$13</f>
        <v>0.614481863727524</v>
      </c>
      <c r="G408" s="49" t="n">
        <f aca="false">IFERROR(IF(ISNUMBER(F408),F408-E408,"n/a"),"n/a")</f>
        <v>0.00448186372752379</v>
      </c>
      <c r="H408" s="50" t="n">
        <v>0.005000001</v>
      </c>
      <c r="I408" s="43" t="str">
        <f aca="false">IFERROR(IF(ISNUMBER(F408),IF(ABS(F408-E408)&lt;=H408,"PASS","FAIL"),"FAIL"),"FAIL")</f>
        <v>PASS</v>
      </c>
    </row>
    <row r="409" customFormat="false" ht="15" hidden="false" customHeight="false" outlineLevel="0" collapsed="false">
      <c r="B409" s="44" t="n">
        <v>400</v>
      </c>
      <c r="C409" s="9" t="s">
        <v>437</v>
      </c>
      <c r="D409" s="9" t="s">
        <v>837</v>
      </c>
      <c r="E409" s="21" t="n">
        <v>0.145</v>
      </c>
      <c r="F409" s="20" t="n">
        <f aca="false">Covenants!$I$14</f>
        <v>0.144583967935888</v>
      </c>
      <c r="G409" s="49" t="n">
        <f aca="false">IFERROR(IF(ISNUMBER(F409),F409-E409,"n/a"),"n/a")</f>
        <v>-0.000416032064111976</v>
      </c>
      <c r="H409" s="50" t="n">
        <v>0.000500001</v>
      </c>
      <c r="I409" s="43" t="str">
        <f aca="false">IFERROR(IF(ISNUMBER(F409),IF(ABS(F409-E409)&lt;=H409,"PASS","FAIL"),"FAIL"),"FAIL")</f>
        <v>PASS</v>
      </c>
    </row>
    <row r="410" customFormat="false" ht="15" hidden="false" customHeight="false" outlineLevel="0" collapsed="false">
      <c r="B410" s="44" t="n">
        <v>401</v>
      </c>
      <c r="C410" s="9" t="s">
        <v>316</v>
      </c>
      <c r="D410" s="9" t="s">
        <v>838</v>
      </c>
      <c r="E410" s="52" t="n">
        <v>229.3</v>
      </c>
      <c r="F410" s="53" t="n">
        <f aca="false">Debt!$I$26</f>
        <v>229.326721362984</v>
      </c>
      <c r="G410" s="49" t="n">
        <f aca="false">IFERROR(IF(ISNUMBER(F410),F410-E410,"n/a"),"n/a")</f>
        <v>0.0267213629843184</v>
      </c>
      <c r="H410" s="50" t="n">
        <v>0.050000001</v>
      </c>
      <c r="I410" s="43" t="str">
        <f aca="false">IFERROR(IF(ISNUMBER(F410),IF(ABS(F410-E410)&lt;=H410,"PASS","FAIL"),"FAIL"),"FAIL")</f>
        <v>PASS</v>
      </c>
    </row>
    <row r="411" customFormat="false" ht="15" hidden="false" customHeight="false" outlineLevel="0" collapsed="false">
      <c r="B411" s="44" t="n">
        <v>402</v>
      </c>
      <c r="C411" s="9" t="s">
        <v>316</v>
      </c>
      <c r="D411" s="9" t="s">
        <v>839</v>
      </c>
      <c r="E411" s="52" t="n">
        <v>50</v>
      </c>
      <c r="F411" s="53" t="n">
        <f aca="false">Debt!$I$28</f>
        <v>50</v>
      </c>
      <c r="G411" s="49" t="n">
        <f aca="false">IFERROR(IF(ISNUMBER(F411),F411-E411,"n/a"),"n/a")</f>
        <v>0</v>
      </c>
      <c r="H411" s="50" t="n">
        <v>0.050000001</v>
      </c>
      <c r="I411" s="43" t="str">
        <f aca="false">IFERROR(IF(ISNUMBER(F411),IF(ABS(F411-E411)&lt;=H411,"PASS","FAIL"),"FAIL"),"FAIL")</f>
        <v>PASS</v>
      </c>
    </row>
    <row r="412" customFormat="false" ht="15" hidden="false" customHeight="false" outlineLevel="0" collapsed="false">
      <c r="B412" s="44" t="n">
        <v>403</v>
      </c>
      <c r="C412" s="9" t="s">
        <v>316</v>
      </c>
      <c r="D412" s="9" t="s">
        <v>840</v>
      </c>
      <c r="E412" s="52" t="n">
        <v>0</v>
      </c>
      <c r="F412" s="53" t="n">
        <f aca="false">Debt!$I$29</f>
        <v>0</v>
      </c>
      <c r="G412" s="49" t="n">
        <f aca="false">IFERROR(IF(ISNUMBER(F412),F412-E412,"n/a"),"n/a")</f>
        <v>0</v>
      </c>
      <c r="H412" s="50" t="n">
        <v>0.050000001</v>
      </c>
      <c r="I412" s="43" t="str">
        <f aca="false">IFERROR(IF(ISNUMBER(F412),IF(ABS(F412-E412)&lt;=H412,"PASS","FAIL"),"FAIL"),"FAIL")</f>
        <v>PASS</v>
      </c>
    </row>
    <row r="413" customFormat="false" ht="15" hidden="false" customHeight="false" outlineLevel="0" collapsed="false">
      <c r="B413" s="44" t="n">
        <v>404</v>
      </c>
      <c r="C413" s="9" t="s">
        <v>316</v>
      </c>
      <c r="D413" s="9" t="s">
        <v>841</v>
      </c>
      <c r="E413" s="52" t="n">
        <v>279.3</v>
      </c>
      <c r="F413" s="53" t="n">
        <f aca="false">Debt!$I$30</f>
        <v>279.326721362984</v>
      </c>
      <c r="G413" s="49" t="n">
        <f aca="false">IFERROR(IF(ISNUMBER(F413),F413-E413,"n/a"),"n/a")</f>
        <v>0.0267213629843468</v>
      </c>
      <c r="H413" s="50" t="n">
        <v>0.050000001</v>
      </c>
      <c r="I413" s="43" t="str">
        <f aca="false">IFERROR(IF(ISNUMBER(F413),IF(ABS(F413-E413)&lt;=H413,"PASS","FAIL"),"FAIL"),"FAIL")</f>
        <v>PASS</v>
      </c>
    </row>
    <row r="414" customFormat="false" ht="15" hidden="false" customHeight="false" outlineLevel="0" collapsed="false">
      <c r="B414" s="44" t="n">
        <v>405</v>
      </c>
      <c r="C414" s="9" t="s">
        <v>316</v>
      </c>
      <c r="D414" s="9" t="s">
        <v>842</v>
      </c>
      <c r="E414" s="52" t="n">
        <v>22.1</v>
      </c>
      <c r="F414" s="53" t="n">
        <f aca="false">Debt!$I$31</f>
        <v>22.0772940057656</v>
      </c>
      <c r="G414" s="49" t="n">
        <f aca="false">IFERROR(IF(ISNUMBER(F414),F414-E414,"n/a"),"n/a")</f>
        <v>-0.0227059942343679</v>
      </c>
      <c r="H414" s="50" t="n">
        <v>0.050000001</v>
      </c>
      <c r="I414" s="43" t="str">
        <f aca="false">IFERROR(IF(ISNUMBER(F414),IF(ABS(F414-E414)&lt;=H414,"PASS","FAIL"),"FAIL"),"FAIL")</f>
        <v>PASS</v>
      </c>
    </row>
    <row r="415" customFormat="false" ht="15" hidden="false" customHeight="false" outlineLevel="0" collapsed="false">
      <c r="B415" s="44" t="n">
        <v>406</v>
      </c>
      <c r="C415" s="9" t="s">
        <v>316</v>
      </c>
      <c r="D415" s="9" t="s">
        <v>843</v>
      </c>
      <c r="E415" s="52" t="n">
        <v>257.2</v>
      </c>
      <c r="F415" s="53" t="n">
        <f aca="false">Debt!$I$32</f>
        <v>257.249427357219</v>
      </c>
      <c r="G415" s="49" t="n">
        <f aca="false">IFERROR(IF(ISNUMBER(F415),F415-E415,"n/a"),"n/a")</f>
        <v>0.0494273572187467</v>
      </c>
      <c r="H415" s="50" t="n">
        <v>0.050000001</v>
      </c>
      <c r="I415" s="43" t="str">
        <f aca="false">IFERROR(IF(ISNUMBER(F415),IF(ABS(F415-E415)&lt;=H415,"PASS","FAIL"),"FAIL"),"FAIL")</f>
        <v>PASS</v>
      </c>
    </row>
    <row r="416" customFormat="false" ht="15" hidden="false" customHeight="false" outlineLevel="0" collapsed="false">
      <c r="B416" s="44" t="n">
        <v>407</v>
      </c>
      <c r="C416" s="9" t="s">
        <v>316</v>
      </c>
      <c r="D416" s="9" t="s">
        <v>844</v>
      </c>
      <c r="E416" s="54" t="n">
        <v>3.66</v>
      </c>
      <c r="F416" s="55" t="n">
        <f aca="false">Debt!$I$33</f>
        <v>3.66139001075009</v>
      </c>
      <c r="G416" s="49" t="n">
        <f aca="false">IFERROR(IF(ISNUMBER(F416),F416-E416,"n/a"),"n/a")</f>
        <v>0.00139001075009171</v>
      </c>
      <c r="H416" s="50" t="n">
        <v>0.005000001</v>
      </c>
      <c r="I416" s="43" t="str">
        <f aca="false">IFERROR(IF(ISNUMBER(F416),IF(ABS(F416-E416)&lt;=H416,"PASS","FAIL"),"FAIL"),"FAIL")</f>
        <v>PASS</v>
      </c>
    </row>
    <row r="417" customFormat="false" ht="15" hidden="false" customHeight="false" outlineLevel="0" collapsed="false">
      <c r="B417" s="44" t="n">
        <v>408</v>
      </c>
      <c r="C417" s="9" t="s">
        <v>721</v>
      </c>
      <c r="D417" s="9" t="s">
        <v>845</v>
      </c>
      <c r="E417" s="52" t="n">
        <v>443.6</v>
      </c>
      <c r="F417" s="53" t="n">
        <f aca="false">Operating!$J$13</f>
        <v>443.6288544</v>
      </c>
      <c r="G417" s="49" t="n">
        <f aca="false">IFERROR(IF(ISNUMBER(F417),F417-E417,"n/a"),"n/a")</f>
        <v>0.0288544000000002</v>
      </c>
      <c r="H417" s="50" t="n">
        <v>0.050000001</v>
      </c>
      <c r="I417" s="43" t="str">
        <f aca="false">IFERROR(IF(ISNUMBER(F417),IF(ABS(F417-E417)&lt;=H417,"PASS","FAIL"),"FAIL"),"FAIL")</f>
        <v>PASS</v>
      </c>
    </row>
    <row r="418" customFormat="false" ht="15" hidden="false" customHeight="false" outlineLevel="0" collapsed="false">
      <c r="B418" s="44" t="n">
        <v>409</v>
      </c>
      <c r="C418" s="9" t="s">
        <v>721</v>
      </c>
      <c r="D418" s="9" t="s">
        <v>846</v>
      </c>
      <c r="E418" s="52" t="n">
        <v>77.8</v>
      </c>
      <c r="F418" s="53" t="n">
        <f aca="false">Operating!$J$14</f>
        <v>77.82288952</v>
      </c>
      <c r="G418" s="49" t="n">
        <f aca="false">IFERROR(IF(ISNUMBER(F418),F418-E418,"n/a"),"n/a")</f>
        <v>0.0228895200000068</v>
      </c>
      <c r="H418" s="50" t="n">
        <v>0.050000001</v>
      </c>
      <c r="I418" s="43" t="str">
        <f aca="false">IFERROR(IF(ISNUMBER(F418),IF(ABS(F418-E418)&lt;=H418,"PASS","FAIL"),"FAIL"),"FAIL")</f>
        <v>PASS</v>
      </c>
    </row>
    <row r="419" customFormat="false" ht="15" hidden="false" customHeight="false" outlineLevel="0" collapsed="false">
      <c r="B419" s="44" t="n">
        <v>410</v>
      </c>
      <c r="C419" s="9" t="s">
        <v>721</v>
      </c>
      <c r="D419" s="9" t="s">
        <v>847</v>
      </c>
      <c r="E419" s="21" t="n">
        <v>0.175</v>
      </c>
      <c r="F419" s="20" t="n">
        <f aca="false">Operating!$J$15</f>
        <v>0.175423417003058</v>
      </c>
      <c r="G419" s="49" t="n">
        <f aca="false">IFERROR(IF(ISNUMBER(F419),F419-E419,"n/a"),"n/a")</f>
        <v>0.000423417003057786</v>
      </c>
      <c r="H419" s="50" t="n">
        <v>0.000500001</v>
      </c>
      <c r="I419" s="43" t="str">
        <f aca="false">IFERROR(IF(ISNUMBER(F419),IF(ABS(F419-E419)&lt;=H419,"PASS","FAIL"),"FAIL"),"FAIL")</f>
        <v>PASS</v>
      </c>
    </row>
    <row r="420" customFormat="false" ht="15" hidden="false" customHeight="false" outlineLevel="0" collapsed="false">
      <c r="B420" s="44" t="n">
        <v>411</v>
      </c>
      <c r="C420" s="9" t="s">
        <v>721</v>
      </c>
      <c r="D420" s="9" t="s">
        <v>848</v>
      </c>
      <c r="E420" s="52" t="n">
        <v>15.5</v>
      </c>
      <c r="F420" s="53" t="n">
        <f aca="false">Operating!$J$16</f>
        <v>15.527009904</v>
      </c>
      <c r="G420" s="49" t="n">
        <f aca="false">IFERROR(IF(ISNUMBER(F420),F420-E420,"n/a"),"n/a")</f>
        <v>0.0270099040000016</v>
      </c>
      <c r="H420" s="50" t="n">
        <v>0.050000001</v>
      </c>
      <c r="I420" s="43" t="str">
        <f aca="false">IFERROR(IF(ISNUMBER(F420),IF(ABS(F420-E420)&lt;=H420,"PASS","FAIL"),"FAIL"),"FAIL")</f>
        <v>PASS</v>
      </c>
    </row>
    <row r="421" customFormat="false" ht="15" hidden="false" customHeight="false" outlineLevel="0" collapsed="false">
      <c r="B421" s="44" t="n">
        <v>412</v>
      </c>
      <c r="C421" s="9" t="s">
        <v>721</v>
      </c>
      <c r="D421" s="9" t="s">
        <v>849</v>
      </c>
      <c r="E421" s="52" t="n">
        <v>13.3</v>
      </c>
      <c r="F421" s="53" t="n">
        <f aca="false">Operating!$J$17</f>
        <v>13.308865632</v>
      </c>
      <c r="G421" s="49" t="n">
        <f aca="false">IFERROR(IF(ISNUMBER(F421),F421-E421,"n/a"),"n/a")</f>
        <v>0.00886563199999912</v>
      </c>
      <c r="H421" s="50" t="n">
        <v>0.050000001</v>
      </c>
      <c r="I421" s="43" t="str">
        <f aca="false">IFERROR(IF(ISNUMBER(F421),IF(ABS(F421-E421)&lt;=H421,"PASS","FAIL"),"FAIL"),"FAIL")</f>
        <v>PASS</v>
      </c>
    </row>
    <row r="422" customFormat="false" ht="15" hidden="false" customHeight="false" outlineLevel="0" collapsed="false">
      <c r="B422" s="44" t="n">
        <v>413</v>
      </c>
      <c r="C422" s="9" t="s">
        <v>721</v>
      </c>
      <c r="D422" s="9" t="s">
        <v>850</v>
      </c>
      <c r="E422" s="52" t="n">
        <v>2.5</v>
      </c>
      <c r="F422" s="53" t="n">
        <f aca="false">Operating!$J$21</f>
        <v>2.460855168</v>
      </c>
      <c r="G422" s="49" t="n">
        <f aca="false">IFERROR(IF(ISNUMBER(F422),F422-E422,"n/a"),"n/a")</f>
        <v>-0.0391448319999981</v>
      </c>
      <c r="H422" s="50" t="n">
        <v>0.050000001</v>
      </c>
      <c r="I422" s="43" t="str">
        <f aca="false">IFERROR(IF(ISNUMBER(F422),IF(ABS(F422-E422)&lt;=H422,"PASS","FAIL"),"FAIL"),"FAIL")</f>
        <v>PASS</v>
      </c>
    </row>
    <row r="423" customFormat="false" ht="15" hidden="false" customHeight="false" outlineLevel="0" collapsed="false">
      <c r="B423" s="44" t="n">
        <v>414</v>
      </c>
      <c r="C423" s="9" t="s">
        <v>721</v>
      </c>
      <c r="D423" s="9" t="s">
        <v>851</v>
      </c>
      <c r="E423" s="52" t="n">
        <v>65.8</v>
      </c>
      <c r="F423" s="53" t="n">
        <f aca="false">Operating!$J$9</f>
        <v>65.82397752</v>
      </c>
      <c r="G423" s="49" t="n">
        <f aca="false">IFERROR(IF(ISNUMBER(F423),F423-E423,"n/a"),"n/a")</f>
        <v>0.0239775200000025</v>
      </c>
      <c r="H423" s="50" t="n">
        <v>0.050000001</v>
      </c>
      <c r="I423" s="43" t="str">
        <f aca="false">IFERROR(IF(ISNUMBER(F423),IF(ABS(F423-E423)&lt;=H423,"PASS","FAIL"),"FAIL"),"FAIL")</f>
        <v>PASS</v>
      </c>
    </row>
    <row r="424" customFormat="false" ht="15" hidden="false" customHeight="false" outlineLevel="0" collapsed="false">
      <c r="B424" s="44" t="n">
        <v>415</v>
      </c>
      <c r="C424" s="9" t="s">
        <v>316</v>
      </c>
      <c r="D424" s="9" t="s">
        <v>852</v>
      </c>
      <c r="E424" s="54" t="n">
        <v>24.75</v>
      </c>
      <c r="F424" s="55" t="n">
        <f aca="false">Debt!$J$13</f>
        <v>24.7512254357384</v>
      </c>
      <c r="G424" s="49" t="n">
        <f aca="false">IFERROR(IF(ISNUMBER(F424),F424-E424,"n/a"),"n/a")</f>
        <v>0.00122543573835188</v>
      </c>
      <c r="H424" s="50" t="n">
        <v>0.005000001</v>
      </c>
      <c r="I424" s="43" t="str">
        <f aca="false">IFERROR(IF(ISNUMBER(F424),IF(ABS(F424-E424)&lt;=H424,"PASS","FAIL"),"FAIL"),"FAIL")</f>
        <v>PASS</v>
      </c>
    </row>
    <row r="425" customFormat="false" ht="15" hidden="false" customHeight="false" outlineLevel="0" collapsed="false">
      <c r="B425" s="44" t="n">
        <v>416</v>
      </c>
      <c r="C425" s="9" t="s">
        <v>747</v>
      </c>
      <c r="D425" s="9" t="s">
        <v>853</v>
      </c>
      <c r="E425" s="54" t="n">
        <v>9.74</v>
      </c>
      <c r="F425" s="55" t="n">
        <f aca="false">Tax!$J$17</f>
        <v>9.73725319</v>
      </c>
      <c r="G425" s="49" t="n">
        <f aca="false">IFERROR(IF(ISNUMBER(F425),F425-E425,"n/a"),"n/a")</f>
        <v>-0.00274680999999966</v>
      </c>
      <c r="H425" s="50" t="n">
        <v>0.005000001</v>
      </c>
      <c r="I425" s="43" t="str">
        <f aca="false">IFERROR(IF(ISNUMBER(F425),IF(ABS(F425-E425)&lt;=H425,"PASS","FAIL"),"FAIL"),"FAIL")</f>
        <v>PASS</v>
      </c>
    </row>
    <row r="426" customFormat="false" ht="15" hidden="false" customHeight="false" outlineLevel="0" collapsed="false">
      <c r="B426" s="44" t="n">
        <v>417</v>
      </c>
      <c r="C426" s="9" t="s">
        <v>749</v>
      </c>
      <c r="D426" s="9" t="s">
        <v>854</v>
      </c>
      <c r="E426" s="52" t="n">
        <v>15.8</v>
      </c>
      <c r="F426" s="53" t="n">
        <f aca="false">Cash_Flow!$J$17</f>
        <v>15.7697208</v>
      </c>
      <c r="G426" s="49" t="n">
        <f aca="false">IFERROR(IF(ISNUMBER(F426),F426-E426,"n/a"),"n/a")</f>
        <v>-0.030279199999999</v>
      </c>
      <c r="H426" s="50" t="n">
        <v>0.050000001</v>
      </c>
      <c r="I426" s="43" t="str">
        <f aca="false">IFERROR(IF(ISNUMBER(F426),IF(ABS(F426-E426)&lt;=H426,"PASS","FAIL"),"FAIL"),"FAIL")</f>
        <v>PASS</v>
      </c>
    </row>
    <row r="427" customFormat="false" ht="15" hidden="false" customHeight="false" outlineLevel="0" collapsed="false">
      <c r="B427" s="44" t="n">
        <v>418</v>
      </c>
      <c r="C427" s="9" t="s">
        <v>749</v>
      </c>
      <c r="D427" s="9" t="s">
        <v>855</v>
      </c>
      <c r="E427" s="52" t="n">
        <v>27.6</v>
      </c>
      <c r="F427" s="53" t="n">
        <f aca="false">Cash_Flow!$J$16</f>
        <v>27.5646900942617</v>
      </c>
      <c r="G427" s="49" t="n">
        <f aca="false">IFERROR(IF(ISNUMBER(F427),F427-E427,"n/a"),"n/a")</f>
        <v>-0.0353099057383517</v>
      </c>
      <c r="H427" s="50" t="n">
        <v>0.050000001</v>
      </c>
      <c r="I427" s="43" t="str">
        <f aca="false">IFERROR(IF(ISNUMBER(F427),IF(ABS(F427-E427)&lt;=H427,"PASS","FAIL"),"FAIL"),"FAIL")</f>
        <v>PASS</v>
      </c>
    </row>
    <row r="428" customFormat="false" ht="15" hidden="false" customHeight="false" outlineLevel="0" collapsed="false">
      <c r="B428" s="44" t="n">
        <v>419</v>
      </c>
      <c r="C428" s="9" t="s">
        <v>316</v>
      </c>
      <c r="D428" s="9" t="s">
        <v>856</v>
      </c>
      <c r="E428" s="54" t="n">
        <v>2.65</v>
      </c>
      <c r="F428" s="55" t="n">
        <f aca="false">Debt!$J$17</f>
        <v>2.65</v>
      </c>
      <c r="G428" s="49" t="n">
        <f aca="false">IFERROR(IF(ISNUMBER(F428),F428-E428,"n/a"),"n/a")</f>
        <v>0</v>
      </c>
      <c r="H428" s="50" t="n">
        <v>0.005000001</v>
      </c>
      <c r="I428" s="43" t="str">
        <f aca="false">IFERROR(IF(ISNUMBER(F428),IF(ABS(F428-E428)&lt;=H428,"PASS","FAIL"),"FAIL"),"FAIL")</f>
        <v>PASS</v>
      </c>
    </row>
    <row r="429" customFormat="false" ht="15" hidden="false" customHeight="false" outlineLevel="0" collapsed="false">
      <c r="B429" s="44" t="n">
        <v>420</v>
      </c>
      <c r="C429" s="9" t="s">
        <v>316</v>
      </c>
      <c r="D429" s="9" t="s">
        <v>857</v>
      </c>
      <c r="E429" s="52" t="n">
        <v>9.2</v>
      </c>
      <c r="F429" s="53" t="n">
        <f aca="false">Debt!$J$23</f>
        <v>9.24799602500682</v>
      </c>
      <c r="G429" s="49" t="n">
        <f aca="false">IFERROR(IF(ISNUMBER(F429),F429-E429,"n/a"),"n/a")</f>
        <v>0.0479960250068228</v>
      </c>
      <c r="H429" s="50" t="n">
        <v>0.050000001</v>
      </c>
      <c r="I429" s="43" t="str">
        <f aca="false">IFERROR(IF(ISNUMBER(F429),IF(ABS(F429-E429)&lt;=H429,"PASS","FAIL"),"FAIL"),"FAIL")</f>
        <v>PASS</v>
      </c>
    </row>
    <row r="430" customFormat="false" ht="15" hidden="false" customHeight="false" outlineLevel="0" collapsed="false">
      <c r="B430" s="44" t="n">
        <v>421</v>
      </c>
      <c r="C430" s="9" t="s">
        <v>316</v>
      </c>
      <c r="D430" s="9" t="s">
        <v>858</v>
      </c>
      <c r="E430" s="54" t="n">
        <v>3.14</v>
      </c>
      <c r="F430" s="55" t="n">
        <f aca="false">Debt!$J$15</f>
        <v>3.14420349497651</v>
      </c>
      <c r="G430" s="49" t="n">
        <f aca="false">IFERROR(IF(ISNUMBER(F430),F430-E430,"n/a"),"n/a")</f>
        <v>0.00420349497650951</v>
      </c>
      <c r="H430" s="50" t="n">
        <v>0.005000001</v>
      </c>
      <c r="I430" s="43" t="str">
        <f aca="false">IFERROR(IF(ISNUMBER(F430),IF(ABS(F430-E430)&lt;=H430,"PASS","FAIL"),"FAIL"),"FAIL")</f>
        <v>PASS</v>
      </c>
    </row>
    <row r="431" customFormat="false" ht="15" hidden="false" customHeight="false" outlineLevel="0" collapsed="false">
      <c r="B431" s="44" t="n">
        <v>422</v>
      </c>
      <c r="C431" s="9" t="s">
        <v>747</v>
      </c>
      <c r="D431" s="9" t="s">
        <v>859</v>
      </c>
      <c r="E431" s="52" t="n">
        <v>26.9</v>
      </c>
      <c r="F431" s="53" t="n">
        <f aca="false">Tax!$J$18</f>
        <v>26.8616867045474</v>
      </c>
      <c r="G431" s="49" t="n">
        <f aca="false">IFERROR(IF(ISNUMBER(F431),F431-E431,"n/a"),"n/a")</f>
        <v>-0.0383132954526353</v>
      </c>
      <c r="H431" s="50" t="n">
        <v>0.050000001</v>
      </c>
      <c r="I431" s="43" t="str">
        <f aca="false">IFERROR(IF(ISNUMBER(F431),IF(ABS(F431-E431)&lt;=H431,"PASS","FAIL"),"FAIL"),"FAIL")</f>
        <v>PASS</v>
      </c>
    </row>
    <row r="432" customFormat="false" ht="15" hidden="false" customHeight="false" outlineLevel="0" collapsed="false">
      <c r="B432" s="44" t="n">
        <v>423</v>
      </c>
      <c r="C432" s="9" t="s">
        <v>437</v>
      </c>
      <c r="D432" s="9" t="s">
        <v>860</v>
      </c>
      <c r="E432" s="52" t="n">
        <v>77.8</v>
      </c>
      <c r="F432" s="53" t="n">
        <f aca="false">Covenants!$J$9</f>
        <v>77.82288952</v>
      </c>
      <c r="G432" s="49" t="n">
        <f aca="false">IFERROR(IF(ISNUMBER(F432),F432-E432,"n/a"),"n/a")</f>
        <v>0.0228895200000068</v>
      </c>
      <c r="H432" s="50" t="n">
        <v>0.050000001</v>
      </c>
      <c r="I432" s="43" t="str">
        <f aca="false">IFERROR(IF(ISNUMBER(F432),IF(ABS(F432-E432)&lt;=H432,"PASS","FAIL"),"FAIL"),"FAIL")</f>
        <v>PASS</v>
      </c>
    </row>
    <row r="433" customFormat="false" ht="15" hidden="false" customHeight="false" outlineLevel="0" collapsed="false">
      <c r="B433" s="44" t="n">
        <v>424</v>
      </c>
      <c r="C433" s="9" t="s">
        <v>437</v>
      </c>
      <c r="D433" s="9" t="s">
        <v>861</v>
      </c>
      <c r="E433" s="54" t="n">
        <v>2.95</v>
      </c>
      <c r="F433" s="55" t="n">
        <f aca="false">Covenants!$J$11</f>
        <v>2.9513776561063</v>
      </c>
      <c r="G433" s="49" t="n">
        <f aca="false">IFERROR(IF(ISNUMBER(F433),F433-E433,"n/a"),"n/a")</f>
        <v>0.00137765610629881</v>
      </c>
      <c r="H433" s="50" t="n">
        <v>0.005000001</v>
      </c>
      <c r="I433" s="43" t="str">
        <f aca="false">IFERROR(IF(ISNUMBER(F433),IF(ABS(F433-E433)&lt;=H433,"PASS","FAIL"),"FAIL"),"FAIL")</f>
        <v>PASS</v>
      </c>
    </row>
    <row r="434" customFormat="false" ht="15" hidden="false" customHeight="false" outlineLevel="0" collapsed="false">
      <c r="B434" s="44" t="n">
        <v>425</v>
      </c>
      <c r="C434" s="9" t="s">
        <v>437</v>
      </c>
      <c r="D434" s="9" t="s">
        <v>862</v>
      </c>
      <c r="E434" s="54" t="n">
        <v>1.05</v>
      </c>
      <c r="F434" s="55" t="n">
        <f aca="false">Covenants!$J$13</f>
        <v>1.0486223438937</v>
      </c>
      <c r="G434" s="49" t="n">
        <f aca="false">IFERROR(IF(ISNUMBER(F434),F434-E434,"n/a"),"n/a")</f>
        <v>-0.00137765610629903</v>
      </c>
      <c r="H434" s="50" t="n">
        <v>0.005000001</v>
      </c>
      <c r="I434" s="43" t="str">
        <f aca="false">IFERROR(IF(ISNUMBER(F434),IF(ABS(F434-E434)&lt;=H434,"PASS","FAIL"),"FAIL"),"FAIL")</f>
        <v>PASS</v>
      </c>
    </row>
    <row r="435" customFormat="false" ht="15" hidden="false" customHeight="false" outlineLevel="0" collapsed="false">
      <c r="B435" s="44" t="n">
        <v>426</v>
      </c>
      <c r="C435" s="9" t="s">
        <v>437</v>
      </c>
      <c r="D435" s="9" t="s">
        <v>863</v>
      </c>
      <c r="E435" s="21" t="n">
        <v>0.262</v>
      </c>
      <c r="F435" s="20" t="n">
        <f aca="false">Covenants!$J$14</f>
        <v>0.262155585973425</v>
      </c>
      <c r="G435" s="49" t="n">
        <f aca="false">IFERROR(IF(ISNUMBER(F435),F435-E435,"n/a"),"n/a")</f>
        <v>0.000155585973425243</v>
      </c>
      <c r="H435" s="50" t="n">
        <v>0.000500001</v>
      </c>
      <c r="I435" s="43" t="str">
        <f aca="false">IFERROR(IF(ISNUMBER(F435),IF(ABS(F435-E435)&lt;=H435,"PASS","FAIL"),"FAIL"),"FAIL")</f>
        <v>PASS</v>
      </c>
    </row>
    <row r="436" customFormat="false" ht="15" hidden="false" customHeight="false" outlineLevel="0" collapsed="false">
      <c r="B436" s="44" t="n">
        <v>427</v>
      </c>
      <c r="C436" s="9" t="s">
        <v>316</v>
      </c>
      <c r="D436" s="9" t="s">
        <v>864</v>
      </c>
      <c r="E436" s="52" t="n">
        <v>217.4</v>
      </c>
      <c r="F436" s="53" t="n">
        <f aca="false">Debt!$J$26</f>
        <v>217.428725337978</v>
      </c>
      <c r="G436" s="49" t="n">
        <f aca="false">IFERROR(IF(ISNUMBER(F436),F436-E436,"n/a"),"n/a")</f>
        <v>0.0287253379775052</v>
      </c>
      <c r="H436" s="50" t="n">
        <v>0.050000001</v>
      </c>
      <c r="I436" s="43" t="str">
        <f aca="false">IFERROR(IF(ISNUMBER(F436),IF(ABS(F436-E436)&lt;=H436,"PASS","FAIL"),"FAIL"),"FAIL")</f>
        <v>PASS</v>
      </c>
    </row>
    <row r="437" customFormat="false" ht="15" hidden="false" customHeight="false" outlineLevel="0" collapsed="false">
      <c r="B437" s="44" t="n">
        <v>428</v>
      </c>
      <c r="C437" s="9" t="s">
        <v>316</v>
      </c>
      <c r="D437" s="9" t="s">
        <v>865</v>
      </c>
      <c r="E437" s="52" t="n">
        <v>50</v>
      </c>
      <c r="F437" s="53" t="n">
        <f aca="false">Debt!$J$28</f>
        <v>50</v>
      </c>
      <c r="G437" s="49" t="n">
        <f aca="false">IFERROR(IF(ISNUMBER(F437),F437-E437,"n/a"),"n/a")</f>
        <v>0</v>
      </c>
      <c r="H437" s="50" t="n">
        <v>0.050000001</v>
      </c>
      <c r="I437" s="43" t="str">
        <f aca="false">IFERROR(IF(ISNUMBER(F437),IF(ABS(F437-E437)&lt;=H437,"PASS","FAIL"),"FAIL"),"FAIL")</f>
        <v>PASS</v>
      </c>
    </row>
    <row r="438" customFormat="false" ht="15" hidden="false" customHeight="false" outlineLevel="0" collapsed="false">
      <c r="B438" s="44" t="n">
        <v>429</v>
      </c>
      <c r="C438" s="9" t="s">
        <v>316</v>
      </c>
      <c r="D438" s="9" t="s">
        <v>866</v>
      </c>
      <c r="E438" s="52" t="n">
        <v>0</v>
      </c>
      <c r="F438" s="53" t="n">
        <f aca="false">Debt!$J$29</f>
        <v>0</v>
      </c>
      <c r="G438" s="49" t="n">
        <f aca="false">IFERROR(IF(ISNUMBER(F438),F438-E438,"n/a"),"n/a")</f>
        <v>0</v>
      </c>
      <c r="H438" s="50" t="n">
        <v>0.050000001</v>
      </c>
      <c r="I438" s="43" t="str">
        <f aca="false">IFERROR(IF(ISNUMBER(F438),IF(ABS(F438-E438)&lt;=H438,"PASS","FAIL"),"FAIL"),"FAIL")</f>
        <v>PASS</v>
      </c>
    </row>
    <row r="439" customFormat="false" ht="15" hidden="false" customHeight="false" outlineLevel="0" collapsed="false">
      <c r="B439" s="44" t="n">
        <v>430</v>
      </c>
      <c r="C439" s="9" t="s">
        <v>316</v>
      </c>
      <c r="D439" s="9" t="s">
        <v>867</v>
      </c>
      <c r="E439" s="52" t="n">
        <v>267.4</v>
      </c>
      <c r="F439" s="53" t="n">
        <f aca="false">Debt!$J$30</f>
        <v>267.428725337978</v>
      </c>
      <c r="G439" s="49" t="n">
        <f aca="false">IFERROR(IF(ISNUMBER(F439),F439-E439,"n/a"),"n/a")</f>
        <v>0.0287253379775621</v>
      </c>
      <c r="H439" s="50" t="n">
        <v>0.050000001</v>
      </c>
      <c r="I439" s="43" t="str">
        <f aca="false">IFERROR(IF(ISNUMBER(F439),IF(ABS(F439-E439)&lt;=H439,"PASS","FAIL"),"FAIL"),"FAIL")</f>
        <v>PASS</v>
      </c>
    </row>
    <row r="440" customFormat="false" ht="15" hidden="false" customHeight="false" outlineLevel="0" collapsed="false">
      <c r="B440" s="44" t="n">
        <v>431</v>
      </c>
      <c r="C440" s="9" t="s">
        <v>316</v>
      </c>
      <c r="D440" s="9" t="s">
        <v>868</v>
      </c>
      <c r="E440" s="52" t="n">
        <v>37.7</v>
      </c>
      <c r="F440" s="53" t="n">
        <f aca="false">Debt!$J$31</f>
        <v>37.7439880750205</v>
      </c>
      <c r="G440" s="49" t="n">
        <f aca="false">IFERROR(IF(ISNUMBER(F440),F440-E440,"n/a"),"n/a")</f>
        <v>0.0439880750204651</v>
      </c>
      <c r="H440" s="50" t="n">
        <v>0.050000001</v>
      </c>
      <c r="I440" s="43" t="str">
        <f aca="false">IFERROR(IF(ISNUMBER(F440),IF(ABS(F440-E440)&lt;=H440,"PASS","FAIL"),"FAIL"),"FAIL")</f>
        <v>PASS</v>
      </c>
    </row>
    <row r="441" customFormat="false" ht="15" hidden="false" customHeight="false" outlineLevel="0" collapsed="false">
      <c r="B441" s="44" t="n">
        <v>432</v>
      </c>
      <c r="C441" s="9" t="s">
        <v>316</v>
      </c>
      <c r="D441" s="9" t="s">
        <v>869</v>
      </c>
      <c r="E441" s="52" t="n">
        <v>229.7</v>
      </c>
      <c r="F441" s="53" t="n">
        <f aca="false">Debt!$J$32</f>
        <v>229.684737262957</v>
      </c>
      <c r="G441" s="49" t="n">
        <f aca="false">IFERROR(IF(ISNUMBER(F441),F441-E441,"n/a"),"n/a")</f>
        <v>-0.0152627370429173</v>
      </c>
      <c r="H441" s="50" t="n">
        <v>0.050000001</v>
      </c>
      <c r="I441" s="43" t="str">
        <f aca="false">IFERROR(IF(ISNUMBER(F441),IF(ABS(F441-E441)&lt;=H441,"PASS","FAIL"),"FAIL"),"FAIL")</f>
        <v>PASS</v>
      </c>
    </row>
    <row r="442" customFormat="false" ht="15" hidden="false" customHeight="false" outlineLevel="0" collapsed="false">
      <c r="B442" s="44" t="n">
        <v>433</v>
      </c>
      <c r="C442" s="9" t="s">
        <v>316</v>
      </c>
      <c r="D442" s="9" t="s">
        <v>870</v>
      </c>
      <c r="E442" s="54" t="n">
        <v>2.95</v>
      </c>
      <c r="F442" s="55" t="n">
        <f aca="false">Debt!$J$33</f>
        <v>2.9513776561063</v>
      </c>
      <c r="G442" s="49" t="n">
        <f aca="false">IFERROR(IF(ISNUMBER(F442),F442-E442,"n/a"),"n/a")</f>
        <v>0.00137765610629881</v>
      </c>
      <c r="H442" s="50" t="n">
        <v>0.005000001</v>
      </c>
      <c r="I442" s="43" t="str">
        <f aca="false">IFERROR(IF(ISNUMBER(F442),IF(ABS(F442-E442)&lt;=H442,"PASS","FAIL"),"FAIL"),"FAIL")</f>
        <v>PASS</v>
      </c>
    </row>
    <row r="443" customFormat="false" ht="15" hidden="false" customHeight="false" outlineLevel="0" collapsed="false">
      <c r="B443" s="44" t="n">
        <v>434</v>
      </c>
      <c r="C443" s="9" t="s">
        <v>721</v>
      </c>
      <c r="D443" s="9" t="s">
        <v>871</v>
      </c>
      <c r="E443" s="52" t="n">
        <v>8.3</v>
      </c>
      <c r="F443" s="53" t="n">
        <f aca="false">Operating!$H$11</f>
        <v>8.32</v>
      </c>
      <c r="G443" s="49" t="n">
        <f aca="false">IFERROR(IF(ISNUMBER(F443),F443-E443,"n/a"),"n/a")</f>
        <v>0.0199999999999996</v>
      </c>
      <c r="H443" s="50" t="n">
        <v>0.050000001</v>
      </c>
      <c r="I443" s="43" t="str">
        <f aca="false">IFERROR(IF(ISNUMBER(F443),IF(ABS(F443-E443)&lt;=H443,"PASS","FAIL"),"FAIL"),"FAIL")</f>
        <v>PASS</v>
      </c>
    </row>
    <row r="444" customFormat="false" ht="15" hidden="false" customHeight="false" outlineLevel="0" collapsed="false">
      <c r="B444" s="44" t="n">
        <v>435</v>
      </c>
      <c r="C444" s="9" t="s">
        <v>721</v>
      </c>
      <c r="D444" s="9" t="s">
        <v>872</v>
      </c>
      <c r="E444" s="52" t="n">
        <v>1</v>
      </c>
      <c r="F444" s="53" t="n">
        <f aca="false">Operating!$H$12</f>
        <v>1</v>
      </c>
      <c r="G444" s="49" t="n">
        <f aca="false">IFERROR(IF(ISNUMBER(F444),F444-E444,"n/a"),"n/a")</f>
        <v>0</v>
      </c>
      <c r="H444" s="50" t="n">
        <v>0.050000001</v>
      </c>
      <c r="I444" s="43" t="str">
        <f aca="false">IFERROR(IF(ISNUMBER(F444),IF(ABS(F444-E444)&lt;=H444,"PASS","FAIL"),"FAIL"),"FAIL")</f>
        <v>PASS</v>
      </c>
    </row>
    <row r="445" customFormat="false" ht="15" hidden="false" customHeight="false" outlineLevel="0" collapsed="false">
      <c r="B445" s="44" t="n">
        <v>436</v>
      </c>
      <c r="C445" s="9" t="s">
        <v>721</v>
      </c>
      <c r="D445" s="9" t="s">
        <v>873</v>
      </c>
      <c r="E445" s="52" t="n">
        <v>8.7</v>
      </c>
      <c r="F445" s="53" t="n">
        <f aca="false">Operating!$I$11</f>
        <v>8.6528</v>
      </c>
      <c r="G445" s="49" t="n">
        <f aca="false">IFERROR(IF(ISNUMBER(F445),F445-E445,"n/a"),"n/a")</f>
        <v>-0.0471999999999984</v>
      </c>
      <c r="H445" s="50" t="n">
        <v>0.050000001</v>
      </c>
      <c r="I445" s="43" t="str">
        <f aca="false">IFERROR(IF(ISNUMBER(F445),IF(ABS(F445-E445)&lt;=H445,"PASS","FAIL"),"FAIL"),"FAIL")</f>
        <v>PASS</v>
      </c>
    </row>
    <row r="446" customFormat="false" ht="15" hidden="false" customHeight="false" outlineLevel="0" collapsed="false">
      <c r="B446" s="44" t="n">
        <v>437</v>
      </c>
      <c r="C446" s="9" t="s">
        <v>721</v>
      </c>
      <c r="D446" s="9" t="s">
        <v>874</v>
      </c>
      <c r="E446" s="52" t="n">
        <v>2.5</v>
      </c>
      <c r="F446" s="53" t="n">
        <f aca="false">Operating!$I$12</f>
        <v>2.5</v>
      </c>
      <c r="G446" s="49" t="n">
        <f aca="false">IFERROR(IF(ISNUMBER(F446),F446-E446,"n/a"),"n/a")</f>
        <v>0</v>
      </c>
      <c r="H446" s="50" t="n">
        <v>0.050000001</v>
      </c>
      <c r="I446" s="43" t="str">
        <f aca="false">IFERROR(IF(ISNUMBER(F446),IF(ABS(F446-E446)&lt;=H446,"PASS","FAIL"),"FAIL"),"FAIL")</f>
        <v>PASS</v>
      </c>
    </row>
    <row r="447" customFormat="false" ht="15" hidden="false" customHeight="false" outlineLevel="0" collapsed="false">
      <c r="B447" s="44" t="n">
        <v>438</v>
      </c>
      <c r="C447" s="9" t="s">
        <v>721</v>
      </c>
      <c r="D447" s="9" t="s">
        <v>875</v>
      </c>
      <c r="E447" s="52" t="n">
        <v>9</v>
      </c>
      <c r="F447" s="53" t="n">
        <f aca="false">Operating!$J$11</f>
        <v>8.998912</v>
      </c>
      <c r="G447" s="49" t="n">
        <f aca="false">IFERROR(IF(ISNUMBER(F447),F447-E447,"n/a"),"n/a")</f>
        <v>-0.00108799999999931</v>
      </c>
      <c r="H447" s="50" t="n">
        <v>0.050000001</v>
      </c>
      <c r="I447" s="43" t="str">
        <f aca="false">IFERROR(IF(ISNUMBER(F447),IF(ABS(F447-E447)&lt;=H447,"PASS","FAIL"),"FAIL"),"FAIL")</f>
        <v>PASS</v>
      </c>
    </row>
    <row r="448" customFormat="false" ht="15" hidden="false" customHeight="false" outlineLevel="0" collapsed="false">
      <c r="B448" s="44" t="n">
        <v>439</v>
      </c>
      <c r="C448" s="9" t="s">
        <v>721</v>
      </c>
      <c r="D448" s="9" t="s">
        <v>876</v>
      </c>
      <c r="E448" s="52" t="n">
        <v>3</v>
      </c>
      <c r="F448" s="53" t="n">
        <f aca="false">Operating!$J$12</f>
        <v>3</v>
      </c>
      <c r="G448" s="49" t="n">
        <f aca="false">IFERROR(IF(ISNUMBER(F448),F448-E448,"n/a"),"n/a")</f>
        <v>0</v>
      </c>
      <c r="H448" s="50" t="n">
        <v>0.050000001</v>
      </c>
      <c r="I448" s="43" t="str">
        <f aca="false">IFERROR(IF(ISNUMBER(F448),IF(ABS(F448-E448)&lt;=H448,"PASS","FAIL"),"FAIL"),"FAIL")</f>
        <v>PASS</v>
      </c>
    </row>
    <row r="449" customFormat="false" ht="15" hidden="false" customHeight="false" outlineLevel="0" collapsed="false">
      <c r="B449" s="44" t="n">
        <v>440</v>
      </c>
      <c r="C449" s="9" t="s">
        <v>721</v>
      </c>
      <c r="D449" s="9" t="s">
        <v>731</v>
      </c>
      <c r="E449" s="52" t="n">
        <v>9.6</v>
      </c>
      <c r="F449" s="53" t="n">
        <f aca="false">Operating!$E$17</f>
        <v>9.6</v>
      </c>
      <c r="G449" s="49" t="n">
        <f aca="false">IFERROR(IF(ISNUMBER(F449),F449-E449,"n/a"),"n/a")</f>
        <v>0</v>
      </c>
      <c r="H449" s="50" t="n">
        <v>0.050000001</v>
      </c>
      <c r="I449" s="43" t="str">
        <f aca="false">IFERROR(IF(ISNUMBER(F449),IF(ABS(F449-E449)&lt;=H449,"PASS","FAIL"),"FAIL"),"FAIL")</f>
        <v>PASS</v>
      </c>
    </row>
    <row r="450" customFormat="false" ht="15" hidden="false" customHeight="false" outlineLevel="0" collapsed="false">
      <c r="B450" s="44" t="n">
        <v>441</v>
      </c>
      <c r="C450" s="9" t="s">
        <v>721</v>
      </c>
      <c r="D450" s="9" t="s">
        <v>730</v>
      </c>
      <c r="E450" s="52" t="n">
        <v>11.2</v>
      </c>
      <c r="F450" s="53" t="n">
        <f aca="false">Operating!$E$16</f>
        <v>11.2</v>
      </c>
      <c r="G450" s="49" t="n">
        <f aca="false">IFERROR(IF(ISNUMBER(F450),F450-E450,"n/a"),"n/a")</f>
        <v>0</v>
      </c>
      <c r="H450" s="50" t="n">
        <v>0.050000001</v>
      </c>
      <c r="I450" s="43" t="str">
        <f aca="false">IFERROR(IF(ISNUMBER(F450),IF(ABS(F450-E450)&lt;=H450,"PASS","FAIL"),"FAIL"),"FAIL")</f>
        <v>PASS</v>
      </c>
    </row>
    <row r="451" customFormat="false" ht="15" hidden="false" customHeight="false" outlineLevel="0" collapsed="false">
      <c r="B451" s="44" t="n">
        <v>442</v>
      </c>
      <c r="C451" s="9" t="s">
        <v>721</v>
      </c>
      <c r="D451" s="9" t="s">
        <v>877</v>
      </c>
      <c r="E451" s="52" t="n">
        <v>38.4</v>
      </c>
      <c r="F451" s="53" t="n">
        <f aca="false">Operating!$E$20</f>
        <v>38.4</v>
      </c>
      <c r="G451" s="49" t="n">
        <f aca="false">IFERROR(IF(ISNUMBER(F451),F451-E451,"n/a"),"n/a")</f>
        <v>0</v>
      </c>
      <c r="H451" s="50" t="n">
        <v>0.050000001</v>
      </c>
      <c r="I451" s="43" t="str">
        <f aca="false">IFERROR(IF(ISNUMBER(F451),IF(ABS(F451-E451)&lt;=H451,"PASS","FAIL"),"FAIL"),"FAIL")</f>
        <v>PASS</v>
      </c>
    </row>
    <row r="452" customFormat="false" ht="15" hidden="false" customHeight="false" outlineLevel="0" collapsed="false">
      <c r="B452" s="44" t="n">
        <v>443</v>
      </c>
      <c r="C452" s="9" t="s">
        <v>432</v>
      </c>
      <c r="D452" s="9" t="s">
        <v>878</v>
      </c>
      <c r="E452" s="52" t="n">
        <v>48</v>
      </c>
      <c r="F452" s="53" t="n">
        <f aca="false">Balance_Sheet!$E$9</f>
        <v>48</v>
      </c>
      <c r="G452" s="49" t="n">
        <f aca="false">IFERROR(IF(ISNUMBER(F452),F452-E452,"n/a"),"n/a")</f>
        <v>0</v>
      </c>
      <c r="H452" s="50" t="n">
        <v>0.050000001</v>
      </c>
      <c r="I452" s="43" t="str">
        <f aca="false">IFERROR(IF(ISNUMBER(F452),IF(ABS(F452-E452)&lt;=H452,"PASS","FAIL"),"FAIL"),"FAIL")</f>
        <v>PASS</v>
      </c>
    </row>
    <row r="453" customFormat="false" ht="15" hidden="false" customHeight="false" outlineLevel="0" collapsed="false">
      <c r="B453" s="44" t="n">
        <v>444</v>
      </c>
      <c r="C453" s="9" t="s">
        <v>721</v>
      </c>
      <c r="D453" s="9" t="s">
        <v>879</v>
      </c>
      <c r="E453" s="52" t="n">
        <v>65.8</v>
      </c>
      <c r="F453" s="53" t="n">
        <f aca="false">Operating!$J$9</f>
        <v>65.82397752</v>
      </c>
      <c r="G453" s="49" t="n">
        <f aca="false">IFERROR(IF(ISNUMBER(F453),F453-E453,"n/a"),"n/a")</f>
        <v>0.0239775200000025</v>
      </c>
      <c r="H453" s="50" t="n">
        <v>0.050000001</v>
      </c>
      <c r="I453" s="43" t="str">
        <f aca="false">IFERROR(IF(ISNUMBER(F453),IF(ABS(F453-E453)&lt;=H453,"PASS","FAIL"),"FAIL"),"FAIL")</f>
        <v>PASS</v>
      </c>
    </row>
    <row r="454" customFormat="false" ht="15" hidden="false" customHeight="false" outlineLevel="0" collapsed="false">
      <c r="B454" s="44" t="n">
        <v>445</v>
      </c>
      <c r="C454" s="9" t="s">
        <v>316</v>
      </c>
      <c r="D454" s="9" t="s">
        <v>880</v>
      </c>
      <c r="E454" s="54" t="n">
        <v>19.13</v>
      </c>
      <c r="F454" s="55" t="n">
        <f aca="false">Debt!$F$9</f>
        <v>19.125</v>
      </c>
      <c r="G454" s="49" t="n">
        <f aca="false">IFERROR(IF(ISNUMBER(F454),F454-E454,"n/a"),"n/a")</f>
        <v>-0.00499999999999901</v>
      </c>
      <c r="H454" s="50" t="n">
        <v>0.005000001</v>
      </c>
      <c r="I454" s="43" t="str">
        <f aca="false">IFERROR(IF(ISNUMBER(F454),IF(ABS(F454-E454)&lt;=H454,"PASS","FAIL"),"FAIL"),"FAIL")</f>
        <v>PASS</v>
      </c>
    </row>
    <row r="455" customFormat="false" ht="15" hidden="false" customHeight="false" outlineLevel="0" collapsed="false">
      <c r="B455" s="44" t="n">
        <v>446</v>
      </c>
      <c r="C455" s="9" t="s">
        <v>316</v>
      </c>
      <c r="D455" s="9" t="s">
        <v>881</v>
      </c>
      <c r="E455" s="54" t="n">
        <v>5.5</v>
      </c>
      <c r="F455" s="55" t="n">
        <f aca="false">Debt!$F$10</f>
        <v>5.5</v>
      </c>
      <c r="G455" s="49" t="n">
        <f aca="false">IFERROR(IF(ISNUMBER(F455),F455-E455,"n/a"),"n/a")</f>
        <v>0</v>
      </c>
      <c r="H455" s="50" t="n">
        <v>0.005000001</v>
      </c>
      <c r="I455" s="43" t="str">
        <f aca="false">IFERROR(IF(ISNUMBER(F455),IF(ABS(F455-E455)&lt;=H455,"PASS","FAIL"),"FAIL"),"FAIL")</f>
        <v>PASS</v>
      </c>
    </row>
    <row r="456" customFormat="false" ht="15" hidden="false" customHeight="false" outlineLevel="0" collapsed="false">
      <c r="B456" s="44" t="n">
        <v>447</v>
      </c>
      <c r="C456" s="9" t="s">
        <v>316</v>
      </c>
      <c r="D456" s="9" t="s">
        <v>882</v>
      </c>
      <c r="E456" s="54" t="n">
        <v>0.2</v>
      </c>
      <c r="F456" s="55" t="n">
        <f aca="false">Debt!$F$11</f>
        <v>0.2</v>
      </c>
      <c r="G456" s="49" t="n">
        <f aca="false">IFERROR(IF(ISNUMBER(F456),F456-E456,"n/a"),"n/a")</f>
        <v>0</v>
      </c>
      <c r="H456" s="50" t="n">
        <v>0.005000001</v>
      </c>
      <c r="I456" s="43" t="str">
        <f aca="false">IFERROR(IF(ISNUMBER(F456),IF(ABS(F456-E456)&lt;=H456,"PASS","FAIL"),"FAIL"),"FAIL")</f>
        <v>PASS</v>
      </c>
    </row>
    <row r="457" customFormat="false" ht="15" hidden="false" customHeight="false" outlineLevel="0" collapsed="false">
      <c r="B457" s="44" t="n">
        <v>448</v>
      </c>
      <c r="C457" s="9" t="s">
        <v>316</v>
      </c>
      <c r="D457" s="9" t="s">
        <v>883</v>
      </c>
      <c r="E457" s="54" t="n">
        <v>0.2</v>
      </c>
      <c r="F457" s="55" t="n">
        <f aca="false">Debt!$F$12</f>
        <v>0.2</v>
      </c>
      <c r="G457" s="49" t="n">
        <f aca="false">IFERROR(IF(ISNUMBER(F457),F457-E457,"n/a"),"n/a")</f>
        <v>0</v>
      </c>
      <c r="H457" s="50" t="n">
        <v>0.005000001</v>
      </c>
      <c r="I457" s="43" t="str">
        <f aca="false">IFERROR(IF(ISNUMBER(F457),IF(ABS(F457-E457)&lt;=H457,"PASS","FAIL"),"FAIL"),"FAIL")</f>
        <v>PASS</v>
      </c>
    </row>
    <row r="458" customFormat="false" ht="15" hidden="false" customHeight="false" outlineLevel="0" collapsed="false">
      <c r="B458" s="44" t="n">
        <v>449</v>
      </c>
      <c r="C458" s="9" t="s">
        <v>316</v>
      </c>
      <c r="D458" s="9" t="s">
        <v>746</v>
      </c>
      <c r="E458" s="54" t="n">
        <v>24.63</v>
      </c>
      <c r="F458" s="55" t="n">
        <f aca="false">Debt!$F$13</f>
        <v>24.625</v>
      </c>
      <c r="G458" s="49" t="n">
        <f aca="false">IFERROR(IF(ISNUMBER(F458),F458-E458,"n/a"),"n/a")</f>
        <v>-0.00499999999999901</v>
      </c>
      <c r="H458" s="50" t="n">
        <v>0.005000001</v>
      </c>
      <c r="I458" s="43" t="str">
        <f aca="false">IFERROR(IF(ISNUMBER(F458),IF(ABS(F458-E458)&lt;=H458,"PASS","FAIL"),"FAIL"),"FAIL")</f>
        <v>PASS</v>
      </c>
    </row>
    <row r="459" customFormat="false" ht="15" hidden="false" customHeight="false" outlineLevel="0" collapsed="false">
      <c r="B459" s="44" t="n">
        <v>450</v>
      </c>
      <c r="C459" s="9" t="s">
        <v>316</v>
      </c>
      <c r="D459" s="9" t="s">
        <v>884</v>
      </c>
      <c r="E459" s="54" t="n">
        <v>0.79</v>
      </c>
      <c r="F459" s="55" t="n">
        <f aca="false">Debt!$F$14</f>
        <v>0.785714285714286</v>
      </c>
      <c r="G459" s="49" t="n">
        <f aca="false">IFERROR(IF(ISNUMBER(F459),F459-E459,"n/a"),"n/a")</f>
        <v>-0.00428571428571434</v>
      </c>
      <c r="H459" s="50" t="n">
        <v>0.005000001</v>
      </c>
      <c r="I459" s="43" t="str">
        <f aca="false">IFERROR(IF(ISNUMBER(F459),IF(ABS(F459-E459)&lt;=H459,"PASS","FAIL"),"FAIL"),"FAIL")</f>
        <v>PASS</v>
      </c>
    </row>
    <row r="460" customFormat="false" ht="15" hidden="false" customHeight="false" outlineLevel="0" collapsed="false">
      <c r="B460" s="44" t="n">
        <v>451</v>
      </c>
      <c r="C460" s="9" t="s">
        <v>747</v>
      </c>
      <c r="D460" s="9" t="s">
        <v>885</v>
      </c>
      <c r="E460" s="54" t="n">
        <v>25.41</v>
      </c>
      <c r="F460" s="55" t="n">
        <f aca="false">Tax!$F$8</f>
        <v>25.4107142857143</v>
      </c>
      <c r="G460" s="49" t="n">
        <f aca="false">IFERROR(IF(ISNUMBER(F460),F460-E460,"n/a"),"n/a")</f>
        <v>0.000714285714284557</v>
      </c>
      <c r="H460" s="50" t="n">
        <v>0.005000001</v>
      </c>
      <c r="I460" s="43" t="str">
        <f aca="false">IFERROR(IF(ISNUMBER(F460),IF(ABS(F460-E460)&lt;=H460,"PASS","FAIL"),"FAIL"),"FAIL")</f>
        <v>PASS</v>
      </c>
    </row>
    <row r="461" customFormat="false" ht="15" hidden="false" customHeight="false" outlineLevel="0" collapsed="false">
      <c r="B461" s="44" t="n">
        <v>452</v>
      </c>
      <c r="C461" s="9" t="s">
        <v>316</v>
      </c>
      <c r="D461" s="9" t="s">
        <v>754</v>
      </c>
      <c r="E461" s="54" t="n">
        <v>2.22</v>
      </c>
      <c r="F461" s="55" t="n">
        <f aca="false">Debt!$F$15</f>
        <v>2.21725888324873</v>
      </c>
      <c r="G461" s="49" t="n">
        <f aca="false">IFERROR(IF(ISNUMBER(F461),F461-E461,"n/a"),"n/a")</f>
        <v>-0.00274111675126898</v>
      </c>
      <c r="H461" s="50" t="n">
        <v>0.005000001</v>
      </c>
      <c r="I461" s="43" t="str">
        <f aca="false">IFERROR(IF(ISNUMBER(F461),IF(ABS(F461-E461)&lt;=H461,"PASS","FAIL"),"FAIL"),"FAIL")</f>
        <v>PASS</v>
      </c>
    </row>
    <row r="462" customFormat="false" ht="15" hidden="false" customHeight="false" outlineLevel="0" collapsed="false">
      <c r="B462" s="44" t="n">
        <v>453</v>
      </c>
      <c r="C462" s="9" t="s">
        <v>316</v>
      </c>
      <c r="D462" s="9" t="s">
        <v>886</v>
      </c>
      <c r="E462" s="54" t="n">
        <v>2.25</v>
      </c>
      <c r="F462" s="55" t="n">
        <f aca="false">Debt!$F$17</f>
        <v>2.25</v>
      </c>
      <c r="G462" s="49" t="n">
        <f aca="false">IFERROR(IF(ISNUMBER(F462),F462-E462,"n/a"),"n/a")</f>
        <v>0</v>
      </c>
      <c r="H462" s="50" t="n">
        <v>0.005000001</v>
      </c>
      <c r="I462" s="43" t="str">
        <f aca="false">IFERROR(IF(ISNUMBER(F462),IF(ABS(F462-E462)&lt;=H462,"PASS","FAIL"),"FAIL"),"FAIL")</f>
        <v>PASS</v>
      </c>
    </row>
    <row r="463" customFormat="false" ht="15" hidden="false" customHeight="false" outlineLevel="0" collapsed="false">
      <c r="B463" s="44" t="n">
        <v>454</v>
      </c>
      <c r="C463" s="9" t="s">
        <v>316</v>
      </c>
      <c r="D463" s="9" t="s">
        <v>887</v>
      </c>
      <c r="E463" s="52" t="n">
        <v>225</v>
      </c>
      <c r="F463" s="53" t="n">
        <f aca="false">Debt!$E$26</f>
        <v>225</v>
      </c>
      <c r="G463" s="49" t="n">
        <f aca="false">IFERROR(IF(ISNUMBER(F463),F463-E463,"n/a"),"n/a")</f>
        <v>0</v>
      </c>
      <c r="H463" s="50" t="n">
        <v>0.050000001</v>
      </c>
      <c r="I463" s="43" t="str">
        <f aca="false">IFERROR(IF(ISNUMBER(F463),IF(ABS(F463-E463)&lt;=H463,"PASS","FAIL"),"FAIL"),"FAIL")</f>
        <v>PASS</v>
      </c>
    </row>
    <row r="464" customFormat="false" ht="15" hidden="false" customHeight="false" outlineLevel="0" collapsed="false">
      <c r="B464" s="44" t="n">
        <v>455</v>
      </c>
      <c r="C464" s="9" t="s">
        <v>316</v>
      </c>
      <c r="D464" s="9" t="s">
        <v>888</v>
      </c>
      <c r="E464" s="52" t="n">
        <v>217.4</v>
      </c>
      <c r="F464" s="53" t="n">
        <f aca="false">Debt!$J$26</f>
        <v>217.428725337978</v>
      </c>
      <c r="G464" s="49" t="n">
        <f aca="false">IFERROR(IF(ISNUMBER(F464),F464-E464,"n/a"),"n/a")</f>
        <v>0.0287253379775052</v>
      </c>
      <c r="H464" s="50" t="n">
        <v>0.050000001</v>
      </c>
      <c r="I464" s="43" t="str">
        <f aca="false">IFERROR(IF(ISNUMBER(F464),IF(ABS(F464-E464)&lt;=H464,"PASS","FAIL"),"FAIL"),"FAIL")</f>
        <v>PASS</v>
      </c>
    </row>
    <row r="465" customFormat="false" ht="15" hidden="false" customHeight="false" outlineLevel="0" collapsed="false">
      <c r="B465" s="44" t="n">
        <v>456</v>
      </c>
      <c r="C465" s="9" t="s">
        <v>316</v>
      </c>
      <c r="D465" s="9" t="s">
        <v>889</v>
      </c>
      <c r="E465" s="52" t="n">
        <v>10</v>
      </c>
      <c r="F465" s="53" t="n">
        <f aca="false">Debt!$E$31</f>
        <v>10</v>
      </c>
      <c r="G465" s="49" t="n">
        <f aca="false">IFERROR(IF(ISNUMBER(F465),F465-E465,"n/a"),"n/a")</f>
        <v>0</v>
      </c>
      <c r="H465" s="50" t="n">
        <v>0.050000001</v>
      </c>
      <c r="I465" s="43" t="str">
        <f aca="false">IFERROR(IF(ISNUMBER(F465),IF(ABS(F465-E465)&lt;=H465,"PASS","FAIL"),"FAIL"),"FAIL")</f>
        <v>PASS</v>
      </c>
    </row>
    <row r="466" customFormat="false" ht="15" hidden="false" customHeight="false" outlineLevel="0" collapsed="false">
      <c r="B466" s="44" t="n">
        <v>457</v>
      </c>
      <c r="C466" s="9" t="s">
        <v>316</v>
      </c>
      <c r="D466" s="9" t="s">
        <v>890</v>
      </c>
      <c r="E466" s="52" t="n">
        <v>37.7</v>
      </c>
      <c r="F466" s="53" t="n">
        <f aca="false">Debt!$J$31</f>
        <v>37.7439880750205</v>
      </c>
      <c r="G466" s="49" t="n">
        <f aca="false">IFERROR(IF(ISNUMBER(F466),F466-E466,"n/a"),"n/a")</f>
        <v>0.0439880750204651</v>
      </c>
      <c r="H466" s="50" t="n">
        <v>0.050000001</v>
      </c>
      <c r="I466" s="43" t="str">
        <f aca="false">IFERROR(IF(ISNUMBER(F466),IF(ABS(F466-E466)&lt;=H466,"PASS","FAIL"),"FAIL"),"FAIL")</f>
        <v>PASS</v>
      </c>
    </row>
    <row r="467" customFormat="false" ht="15" hidden="false" customHeight="false" outlineLevel="0" collapsed="false">
      <c r="B467" s="44" t="n">
        <v>458</v>
      </c>
      <c r="C467" s="9" t="s">
        <v>316</v>
      </c>
      <c r="D467" s="9" t="s">
        <v>891</v>
      </c>
      <c r="E467" s="52" t="n">
        <v>265</v>
      </c>
      <c r="F467" s="53" t="n">
        <f aca="false">Debt!$E$32</f>
        <v>265</v>
      </c>
      <c r="G467" s="49" t="n">
        <f aca="false">IFERROR(IF(ISNUMBER(F467),F467-E467,"n/a"),"n/a")</f>
        <v>0</v>
      </c>
      <c r="H467" s="50" t="n">
        <v>0.050000001</v>
      </c>
      <c r="I467" s="43" t="str">
        <f aca="false">IFERROR(IF(ISNUMBER(F467),IF(ABS(F467-E467)&lt;=H467,"PASS","FAIL"),"FAIL"),"FAIL")</f>
        <v>PASS</v>
      </c>
    </row>
    <row r="468" customFormat="false" ht="15" hidden="false" customHeight="false" outlineLevel="0" collapsed="false">
      <c r="B468" s="44" t="n">
        <v>459</v>
      </c>
      <c r="C468" s="9" t="s">
        <v>316</v>
      </c>
      <c r="D468" s="9" t="s">
        <v>892</v>
      </c>
      <c r="E468" s="52" t="n">
        <v>229.7</v>
      </c>
      <c r="F468" s="53" t="n">
        <f aca="false">Debt!$J$32</f>
        <v>229.684737262957</v>
      </c>
      <c r="G468" s="49" t="n">
        <f aca="false">IFERROR(IF(ISNUMBER(F468),F468-E468,"n/a"),"n/a")</f>
        <v>-0.0152627370429173</v>
      </c>
      <c r="H468" s="50" t="n">
        <v>0.050000001</v>
      </c>
      <c r="I468" s="43" t="str">
        <f aca="false">IFERROR(IF(ISNUMBER(F468),IF(ABS(F468-E468)&lt;=H468,"PASS","FAIL"),"FAIL"),"FAIL")</f>
        <v>PASS</v>
      </c>
    </row>
    <row r="469" customFormat="false" ht="15" hidden="false" customHeight="false" outlineLevel="0" collapsed="false">
      <c r="B469" s="44" t="n">
        <v>460</v>
      </c>
      <c r="C469" s="9" t="s">
        <v>747</v>
      </c>
      <c r="D469" s="9" t="s">
        <v>893</v>
      </c>
      <c r="E469" s="54" t="n">
        <v>42.84</v>
      </c>
      <c r="F469" s="55" t="n">
        <f aca="false">Tax!$F$7</f>
        <v>42.84</v>
      </c>
      <c r="G469" s="49" t="n">
        <f aca="false">IFERROR(IF(ISNUMBER(F469),F469-E469,"n/a"),"n/a")</f>
        <v>0</v>
      </c>
      <c r="H469" s="50" t="n">
        <v>0.005000001</v>
      </c>
      <c r="I469" s="43" t="str">
        <f aca="false">IFERROR(IF(ISNUMBER(F469),IF(ABS(F469-E469)&lt;=H469,"PASS","FAIL"),"FAIL"),"FAIL")</f>
        <v>PASS</v>
      </c>
    </row>
    <row r="470" customFormat="false" ht="15" hidden="false" customHeight="false" outlineLevel="0" collapsed="false">
      <c r="B470" s="44" t="n">
        <v>461</v>
      </c>
      <c r="C470" s="9" t="s">
        <v>747</v>
      </c>
      <c r="D470" s="9" t="s">
        <v>894</v>
      </c>
      <c r="E470" s="54" t="n">
        <v>25.41</v>
      </c>
      <c r="F470" s="55" t="n">
        <f aca="false">Tax!$F$8</f>
        <v>25.4107142857143</v>
      </c>
      <c r="G470" s="49" t="n">
        <f aca="false">IFERROR(IF(ISNUMBER(F470),F470-E470,"n/a"),"n/a")</f>
        <v>0.000714285714284557</v>
      </c>
      <c r="H470" s="50" t="n">
        <v>0.005000001</v>
      </c>
      <c r="I470" s="43" t="str">
        <f aca="false">IFERROR(IF(ISNUMBER(F470),IF(ABS(F470-E470)&lt;=H470,"PASS","FAIL"),"FAIL"),"FAIL")</f>
        <v>PASS</v>
      </c>
    </row>
    <row r="471" customFormat="false" ht="15" hidden="false" customHeight="false" outlineLevel="0" collapsed="false">
      <c r="B471" s="44" t="n">
        <v>462</v>
      </c>
      <c r="C471" s="9" t="s">
        <v>747</v>
      </c>
      <c r="D471" s="9" t="s">
        <v>895</v>
      </c>
      <c r="E471" s="54" t="n">
        <v>16.38</v>
      </c>
      <c r="F471" s="55" t="n">
        <f aca="false">Tax!$F$10</f>
        <v>16.38</v>
      </c>
      <c r="G471" s="49" t="n">
        <f aca="false">IFERROR(IF(ISNUMBER(F471),F471-E471,"n/a"),"n/a")</f>
        <v>0</v>
      </c>
      <c r="H471" s="50" t="n">
        <v>0.005000001</v>
      </c>
      <c r="I471" s="43" t="str">
        <f aca="false">IFERROR(IF(ISNUMBER(F471),IF(ABS(F471-E471)&lt;=H471,"PASS","FAIL"),"FAIL"),"FAIL")</f>
        <v>PASS</v>
      </c>
    </row>
    <row r="472" customFormat="false" ht="15" hidden="false" customHeight="false" outlineLevel="0" collapsed="false">
      <c r="B472" s="44" t="n">
        <v>463</v>
      </c>
      <c r="C472" s="9" t="s">
        <v>747</v>
      </c>
      <c r="D472" s="9" t="s">
        <v>896</v>
      </c>
      <c r="E472" s="54" t="n">
        <v>16.38</v>
      </c>
      <c r="F472" s="55" t="n">
        <f aca="false">Tax!$F$12</f>
        <v>16.38</v>
      </c>
      <c r="G472" s="49" t="n">
        <f aca="false">IFERROR(IF(ISNUMBER(F472),F472-E472,"n/a"),"n/a")</f>
        <v>0</v>
      </c>
      <c r="H472" s="50" t="n">
        <v>0.005000001</v>
      </c>
      <c r="I472" s="43" t="str">
        <f aca="false">IFERROR(IF(ISNUMBER(F472),IF(ABS(F472-E472)&lt;=H472,"PASS","FAIL"),"FAIL"),"FAIL")</f>
        <v>PASS</v>
      </c>
    </row>
    <row r="473" customFormat="false" ht="15" hidden="false" customHeight="false" outlineLevel="0" collapsed="false">
      <c r="B473" s="44" t="n">
        <v>464</v>
      </c>
      <c r="C473" s="9" t="s">
        <v>747</v>
      </c>
      <c r="D473" s="9" t="s">
        <v>897</v>
      </c>
      <c r="E473" s="54" t="n">
        <v>9.03</v>
      </c>
      <c r="F473" s="55" t="n">
        <f aca="false">Tax!$F$13</f>
        <v>9.03071428571429</v>
      </c>
      <c r="G473" s="49" t="n">
        <f aca="false">IFERROR(IF(ISNUMBER(F473),F473-E473,"n/a"),"n/a")</f>
        <v>0.000714285714286334</v>
      </c>
      <c r="H473" s="50" t="n">
        <v>0.005000001</v>
      </c>
      <c r="I473" s="43" t="str">
        <f aca="false">IFERROR(IF(ISNUMBER(F473),IF(ABS(F473-E473)&lt;=H473,"PASS","FAIL"),"FAIL"),"FAIL")</f>
        <v>PASS</v>
      </c>
    </row>
    <row r="474" customFormat="false" ht="15" hidden="false" customHeight="false" outlineLevel="0" collapsed="false">
      <c r="B474" s="44" t="n">
        <v>465</v>
      </c>
      <c r="C474" s="9" t="s">
        <v>747</v>
      </c>
      <c r="D474" s="9" t="s">
        <v>898</v>
      </c>
      <c r="E474" s="54" t="n">
        <v>26.46</v>
      </c>
      <c r="F474" s="55" t="n">
        <f aca="false">Tax!$F$14</f>
        <v>26.46</v>
      </c>
      <c r="G474" s="49" t="n">
        <f aca="false">IFERROR(IF(ISNUMBER(F474),F474-E474,"n/a"),"n/a")</f>
        <v>0</v>
      </c>
      <c r="H474" s="50" t="n">
        <v>0.005000001</v>
      </c>
      <c r="I474" s="43" t="str">
        <f aca="false">IFERROR(IF(ISNUMBER(F474),IF(ABS(F474-E474)&lt;=H474,"PASS","FAIL"),"FAIL"),"FAIL")</f>
        <v>PASS</v>
      </c>
    </row>
    <row r="475" customFormat="false" ht="15" hidden="false" customHeight="false" outlineLevel="0" collapsed="false">
      <c r="B475" s="44" t="n">
        <v>466</v>
      </c>
      <c r="C475" s="9" t="s">
        <v>747</v>
      </c>
      <c r="D475" s="9" t="s">
        <v>899</v>
      </c>
      <c r="E475" s="54" t="n">
        <v>6.62</v>
      </c>
      <c r="F475" s="55" t="n">
        <f aca="false">Tax!$F$17</f>
        <v>6.615</v>
      </c>
      <c r="G475" s="49" t="n">
        <f aca="false">IFERROR(IF(ISNUMBER(F475),F475-E475,"n/a"),"n/a")</f>
        <v>-0.00499999999999901</v>
      </c>
      <c r="H475" s="50" t="n">
        <v>0.005000001</v>
      </c>
      <c r="I475" s="43" t="str">
        <f aca="false">IFERROR(IF(ISNUMBER(F475),IF(ABS(F475-E475)&lt;=H475,"PASS","FAIL"),"FAIL"),"FAIL")</f>
        <v>PASS</v>
      </c>
    </row>
    <row r="476" customFormat="false" ht="15" hidden="false" customHeight="false" outlineLevel="0" collapsed="false">
      <c r="B476" s="44" t="n">
        <v>467</v>
      </c>
      <c r="C476" s="9" t="s">
        <v>747</v>
      </c>
      <c r="D476" s="9" t="s">
        <v>900</v>
      </c>
      <c r="E476" s="54" t="n">
        <v>4.36</v>
      </c>
      <c r="F476" s="55" t="n">
        <f aca="false">Tax!$F$19</f>
        <v>4.35732142857143</v>
      </c>
      <c r="G476" s="49" t="n">
        <f aca="false">IFERROR(IF(ISNUMBER(F476),F476-E476,"n/a"),"n/a")</f>
        <v>-0.00267857142857064</v>
      </c>
      <c r="H476" s="50" t="n">
        <v>0.005000001</v>
      </c>
      <c r="I476" s="43" t="str">
        <f aca="false">IFERROR(IF(ISNUMBER(F476),IF(ABS(F476-E476)&lt;=H476,"PASS","FAIL"),"FAIL"),"FAIL")</f>
        <v>PASS</v>
      </c>
    </row>
    <row r="477" customFormat="false" ht="15" hidden="false" customHeight="false" outlineLevel="0" collapsed="false">
      <c r="B477" s="44" t="n">
        <v>468</v>
      </c>
      <c r="C477" s="9" t="s">
        <v>747</v>
      </c>
      <c r="D477" s="9" t="s">
        <v>901</v>
      </c>
      <c r="E477" s="54" t="n">
        <v>2.26</v>
      </c>
      <c r="F477" s="55" t="n">
        <f aca="false">Tax!$F$20</f>
        <v>2.25767857142857</v>
      </c>
      <c r="G477" s="49" t="n">
        <f aca="false">IFERROR(IF(ISNUMBER(F477),F477-E477,"n/a"),"n/a")</f>
        <v>-0.00232142857142836</v>
      </c>
      <c r="H477" s="50" t="n">
        <v>0.005000001</v>
      </c>
      <c r="I477" s="43" t="str">
        <f aca="false">IFERROR(IF(ISNUMBER(F477),IF(ABS(F477-E477)&lt;=H477,"PASS","FAIL"),"FAIL"),"FAIL")</f>
        <v>PASS</v>
      </c>
    </row>
    <row r="478" customFormat="false" ht="15" hidden="false" customHeight="false" outlineLevel="0" collapsed="false">
      <c r="B478" s="44" t="n">
        <v>469</v>
      </c>
      <c r="C478" s="9" t="s">
        <v>747</v>
      </c>
      <c r="D478" s="9" t="s">
        <v>902</v>
      </c>
      <c r="E478" s="52" t="n">
        <v>34.5</v>
      </c>
      <c r="F478" s="53" t="n">
        <f aca="false">Tax!$J$13</f>
        <v>34.5404401735285</v>
      </c>
      <c r="G478" s="49" t="n">
        <f aca="false">IFERROR(IF(ISNUMBER(F478),F478-E478,"n/a"),"n/a")</f>
        <v>0.0404401735285092</v>
      </c>
      <c r="H478" s="50" t="n">
        <v>0.050000001</v>
      </c>
      <c r="I478" s="43" t="str">
        <f aca="false">IFERROR(IF(ISNUMBER(F478),IF(ABS(F478-E478)&lt;=H478,"PASS","FAIL"),"FAIL"),"FAIL")</f>
        <v>PASS</v>
      </c>
    </row>
    <row r="479" customFormat="false" ht="15" hidden="false" customHeight="false" outlineLevel="0" collapsed="false">
      <c r="B479" s="44" t="n">
        <v>470</v>
      </c>
      <c r="C479" s="9" t="s">
        <v>432</v>
      </c>
      <c r="D479" s="9" t="s">
        <v>903</v>
      </c>
      <c r="E479" s="52" t="n">
        <v>10</v>
      </c>
      <c r="F479" s="53" t="n">
        <f aca="false">Balance_Sheet!$E$7</f>
        <v>10</v>
      </c>
      <c r="G479" s="49" t="n">
        <f aca="false">IFERROR(IF(ISNUMBER(F479),F479-E479,"n/a"),"n/a")</f>
        <v>0</v>
      </c>
      <c r="H479" s="50" t="n">
        <v>0.050000001</v>
      </c>
      <c r="I479" s="43" t="str">
        <f aca="false">IFERROR(IF(ISNUMBER(F479),IF(ABS(F479-E479)&lt;=H479,"PASS","FAIL"),"FAIL"),"FAIL")</f>
        <v>PASS</v>
      </c>
    </row>
    <row r="480" customFormat="false" ht="15" hidden="false" customHeight="false" outlineLevel="0" collapsed="false">
      <c r="B480" s="44" t="n">
        <v>471</v>
      </c>
      <c r="C480" s="9" t="s">
        <v>432</v>
      </c>
      <c r="D480" s="9" t="s">
        <v>904</v>
      </c>
      <c r="E480" s="52" t="n">
        <v>38.4</v>
      </c>
      <c r="F480" s="53" t="n">
        <f aca="false">Balance_Sheet!$E$8</f>
        <v>38.4</v>
      </c>
      <c r="G480" s="49" t="n">
        <f aca="false">IFERROR(IF(ISNUMBER(F480),F480-E480,"n/a"),"n/a")</f>
        <v>0</v>
      </c>
      <c r="H480" s="50" t="n">
        <v>0.050000001</v>
      </c>
      <c r="I480" s="43" t="str">
        <f aca="false">IFERROR(IF(ISNUMBER(F480),IF(ABS(F480-E480)&lt;=H480,"PASS","FAIL"),"FAIL"),"FAIL")</f>
        <v>PASS</v>
      </c>
    </row>
    <row r="481" customFormat="false" ht="15" hidden="false" customHeight="false" outlineLevel="0" collapsed="false">
      <c r="B481" s="44" t="n">
        <v>472</v>
      </c>
      <c r="C481" s="9" t="s">
        <v>432</v>
      </c>
      <c r="D481" s="9" t="s">
        <v>905</v>
      </c>
      <c r="E481" s="52" t="n">
        <v>48</v>
      </c>
      <c r="F481" s="53" t="n">
        <f aca="false">Balance_Sheet!$E$9</f>
        <v>48</v>
      </c>
      <c r="G481" s="49" t="n">
        <f aca="false">IFERROR(IF(ISNUMBER(F481),F481-E481,"n/a"),"n/a")</f>
        <v>0</v>
      </c>
      <c r="H481" s="50" t="n">
        <v>0.050000001</v>
      </c>
      <c r="I481" s="43" t="str">
        <f aca="false">IFERROR(IF(ISNUMBER(F481),IF(ABS(F481-E481)&lt;=H481,"PASS","FAIL"),"FAIL"),"FAIL")</f>
        <v>PASS</v>
      </c>
    </row>
    <row r="482" customFormat="false" ht="15" hidden="false" customHeight="false" outlineLevel="0" collapsed="false">
      <c r="B482" s="44" t="n">
        <v>473</v>
      </c>
      <c r="C482" s="9" t="s">
        <v>432</v>
      </c>
      <c r="D482" s="9" t="s">
        <v>906</v>
      </c>
      <c r="E482" s="52" t="n">
        <v>363.6</v>
      </c>
      <c r="F482" s="53" t="n">
        <f aca="false">Balance_Sheet!$E$10</f>
        <v>363.6</v>
      </c>
      <c r="G482" s="49" t="n">
        <f aca="false">IFERROR(IF(ISNUMBER(F482),F482-E482,"n/a"),"n/a")</f>
        <v>0</v>
      </c>
      <c r="H482" s="50" t="n">
        <v>0.050000001</v>
      </c>
      <c r="I482" s="43" t="str">
        <f aca="false">IFERROR(IF(ISNUMBER(F482),IF(ABS(F482-E482)&lt;=H482,"PASS","FAIL"),"FAIL"),"FAIL")</f>
        <v>PASS</v>
      </c>
    </row>
    <row r="483" customFormat="false" ht="15" hidden="false" customHeight="false" outlineLevel="0" collapsed="false">
      <c r="B483" s="44" t="n">
        <v>474</v>
      </c>
      <c r="C483" s="9" t="s">
        <v>432</v>
      </c>
      <c r="D483" s="9" t="s">
        <v>907</v>
      </c>
      <c r="E483" s="52" t="n">
        <v>5.5</v>
      </c>
      <c r="F483" s="53" t="n">
        <f aca="false">Balance_Sheet!$E$11</f>
        <v>5.5</v>
      </c>
      <c r="G483" s="49" t="n">
        <f aca="false">IFERROR(IF(ISNUMBER(F483),F483-E483,"n/a"),"n/a")</f>
        <v>0</v>
      </c>
      <c r="H483" s="50" t="n">
        <v>0.050000001</v>
      </c>
      <c r="I483" s="43" t="str">
        <f aca="false">IFERROR(IF(ISNUMBER(F483),IF(ABS(F483-E483)&lt;=H483,"PASS","FAIL"),"FAIL"),"FAIL")</f>
        <v>PASS</v>
      </c>
    </row>
    <row r="484" customFormat="false" ht="15" hidden="false" customHeight="false" outlineLevel="0" collapsed="false">
      <c r="B484" s="44" t="n">
        <v>475</v>
      </c>
      <c r="C484" s="9" t="s">
        <v>432</v>
      </c>
      <c r="D484" s="9" t="s">
        <v>908</v>
      </c>
      <c r="E484" s="52" t="n">
        <v>465.5</v>
      </c>
      <c r="F484" s="53" t="n">
        <f aca="false">Balance_Sheet!$E$12</f>
        <v>465.5</v>
      </c>
      <c r="G484" s="49" t="n">
        <f aca="false">IFERROR(IF(ISNUMBER(F484),F484-E484,"n/a"),"n/a")</f>
        <v>0</v>
      </c>
      <c r="H484" s="50" t="n">
        <v>0.050000001</v>
      </c>
      <c r="I484" s="43" t="str">
        <f aca="false">IFERROR(IF(ISNUMBER(F484),IF(ABS(F484-E484)&lt;=H484,"PASS","FAIL"),"FAIL"),"FAIL")</f>
        <v>PASS</v>
      </c>
    </row>
    <row r="485" customFormat="false" ht="15" hidden="false" customHeight="false" outlineLevel="0" collapsed="false">
      <c r="B485" s="44" t="n">
        <v>476</v>
      </c>
      <c r="C485" s="9" t="s">
        <v>432</v>
      </c>
      <c r="D485" s="9" t="s">
        <v>909</v>
      </c>
      <c r="E485" s="52" t="n">
        <v>275</v>
      </c>
      <c r="F485" s="53" t="n">
        <f aca="false">Balance_Sheet!$E$13</f>
        <v>275</v>
      </c>
      <c r="G485" s="49" t="n">
        <f aca="false">IFERROR(IF(ISNUMBER(F485),F485-E485,"n/a"),"n/a")</f>
        <v>0</v>
      </c>
      <c r="H485" s="50" t="n">
        <v>0.050000001</v>
      </c>
      <c r="I485" s="43" t="str">
        <f aca="false">IFERROR(IF(ISNUMBER(F485),IF(ABS(F485-E485)&lt;=H485,"PASS","FAIL"),"FAIL"),"FAIL")</f>
        <v>PASS</v>
      </c>
    </row>
    <row r="486" customFormat="false" ht="15" hidden="false" customHeight="false" outlineLevel="0" collapsed="false">
      <c r="B486" s="44" t="n">
        <v>477</v>
      </c>
      <c r="C486" s="9" t="s">
        <v>432</v>
      </c>
      <c r="D486" s="9" t="s">
        <v>910</v>
      </c>
      <c r="E486" s="52" t="n">
        <v>190.5</v>
      </c>
      <c r="F486" s="53" t="n">
        <f aca="false">Balance_Sheet!$E$14</f>
        <v>190.5</v>
      </c>
      <c r="G486" s="49" t="n">
        <f aca="false">IFERROR(IF(ISNUMBER(F486),F486-E486,"n/a"),"n/a")</f>
        <v>0</v>
      </c>
      <c r="H486" s="50" t="n">
        <v>0.050000001</v>
      </c>
      <c r="I486" s="43" t="str">
        <f aca="false">IFERROR(IF(ISNUMBER(F486),IF(ABS(F486-E486)&lt;=H486,"PASS","FAIL"),"FAIL"),"FAIL")</f>
        <v>PASS</v>
      </c>
    </row>
    <row r="487" customFormat="false" ht="15" hidden="false" customHeight="false" outlineLevel="0" collapsed="false">
      <c r="B487" s="44" t="n">
        <v>478</v>
      </c>
      <c r="C487" s="9" t="s">
        <v>432</v>
      </c>
      <c r="D487" s="9" t="s">
        <v>911</v>
      </c>
      <c r="E487" s="52" t="n">
        <v>539.5</v>
      </c>
      <c r="F487" s="53" t="n">
        <f aca="false">Balance_Sheet!$J$12</f>
        <v>539.490374262449</v>
      </c>
      <c r="G487" s="49" t="n">
        <f aca="false">IFERROR(IF(ISNUMBER(F487),F487-E487,"n/a"),"n/a")</f>
        <v>-0.00962573755089125</v>
      </c>
      <c r="H487" s="50" t="n">
        <v>0.050000001</v>
      </c>
      <c r="I487" s="43" t="str">
        <f aca="false">IFERROR(IF(ISNUMBER(F487),IF(ABS(F487-E487)&lt;=H487,"PASS","FAIL"),"FAIL"),"FAIL")</f>
        <v>PASS</v>
      </c>
    </row>
    <row r="488" customFormat="false" ht="15" hidden="false" customHeight="false" outlineLevel="0" collapsed="false">
      <c r="B488" s="44" t="n">
        <v>479</v>
      </c>
      <c r="C488" s="9" t="s">
        <v>432</v>
      </c>
      <c r="D488" s="9" t="s">
        <v>912</v>
      </c>
      <c r="E488" s="52" t="n">
        <v>402.4</v>
      </c>
      <c r="F488" s="53" t="n">
        <f aca="false">Balance_Sheet!$J$10</f>
        <v>402.4</v>
      </c>
      <c r="G488" s="49" t="n">
        <f aca="false">IFERROR(IF(ISNUMBER(F488),F488-E488,"n/a"),"n/a")</f>
        <v>0</v>
      </c>
      <c r="H488" s="50" t="n">
        <v>0.050000001</v>
      </c>
      <c r="I488" s="43" t="str">
        <f aca="false">IFERROR(IF(ISNUMBER(F488),IF(ABS(F488-E488)&lt;=H488,"PASS","FAIL"),"FAIL"),"FAIL")</f>
        <v>PASS</v>
      </c>
    </row>
    <row r="489" customFormat="false" ht="15" hidden="false" customHeight="false" outlineLevel="0" collapsed="false">
      <c r="B489" s="44" t="n">
        <v>480</v>
      </c>
      <c r="C489" s="9" t="s">
        <v>432</v>
      </c>
      <c r="D489" s="9" t="s">
        <v>913</v>
      </c>
      <c r="E489" s="52" t="n">
        <v>267.4</v>
      </c>
      <c r="F489" s="53" t="n">
        <f aca="false">Balance_Sheet!$J$13</f>
        <v>267.428725337978</v>
      </c>
      <c r="G489" s="49" t="n">
        <f aca="false">IFERROR(IF(ISNUMBER(F489),F489-E489,"n/a"),"n/a")</f>
        <v>0.0287253379775621</v>
      </c>
      <c r="H489" s="50" t="n">
        <v>0.050000001</v>
      </c>
      <c r="I489" s="43" t="str">
        <f aca="false">IFERROR(IF(ISNUMBER(F489),IF(ABS(F489-E489)&lt;=H489,"PASS","FAIL"),"FAIL"),"FAIL")</f>
        <v>PASS</v>
      </c>
    </row>
    <row r="490" customFormat="false" ht="15" hidden="false" customHeight="false" outlineLevel="0" collapsed="false">
      <c r="B490" s="44" t="n">
        <v>481</v>
      </c>
      <c r="C490" s="9" t="s">
        <v>432</v>
      </c>
      <c r="D490" s="9" t="s">
        <v>914</v>
      </c>
      <c r="E490" s="52" t="n">
        <v>272.1</v>
      </c>
      <c r="F490" s="53" t="n">
        <f aca="false">Balance_Sheet!$J$14</f>
        <v>272.061648924471</v>
      </c>
      <c r="G490" s="49" t="n">
        <f aca="false">IFERROR(IF(ISNUMBER(F490),F490-E490,"n/a"),"n/a")</f>
        <v>-0.038351075528567</v>
      </c>
      <c r="H490" s="50" t="n">
        <v>0.050000001</v>
      </c>
      <c r="I490" s="43" t="str">
        <f aca="false">IFERROR(IF(ISNUMBER(F490),IF(ABS(F490-E490)&lt;=H490,"PASS","FAIL"),"FAIL"),"FAIL")</f>
        <v>PASS</v>
      </c>
    </row>
    <row r="491" customFormat="false" ht="15" hidden="false" customHeight="false" outlineLevel="0" collapsed="false">
      <c r="B491" s="44" t="n">
        <v>482</v>
      </c>
      <c r="C491" s="9" t="s">
        <v>437</v>
      </c>
      <c r="D491" s="9" t="s">
        <v>915</v>
      </c>
      <c r="E491" s="54" t="n">
        <v>4.63</v>
      </c>
      <c r="F491" s="55" t="n">
        <f aca="false">Covenants!$H$11</f>
        <v>4.62722838237745</v>
      </c>
      <c r="G491" s="49" t="n">
        <f aca="false">IFERROR(IF(ISNUMBER(F491),F491-E491,"n/a"),"n/a")</f>
        <v>-0.00277161762255229</v>
      </c>
      <c r="H491" s="50" t="n">
        <v>0.005000001</v>
      </c>
      <c r="I491" s="43" t="str">
        <f aca="false">IFERROR(IF(ISNUMBER(F491),IF(ABS(F491-E491)&lt;=H491,"PASS","FAIL"),"FAIL"),"FAIL")</f>
        <v>PASS</v>
      </c>
    </row>
    <row r="492" customFormat="false" ht="15" hidden="false" customHeight="false" outlineLevel="0" collapsed="false">
      <c r="B492" s="44" t="n">
        <v>483</v>
      </c>
      <c r="C492" s="9" t="s">
        <v>437</v>
      </c>
      <c r="D492" s="9" t="s">
        <v>916</v>
      </c>
      <c r="E492" s="54" t="n">
        <v>0.12</v>
      </c>
      <c r="F492" s="55" t="n">
        <f aca="false">Covenants!$H$13</f>
        <v>0.122771617622552</v>
      </c>
      <c r="G492" s="49" t="n">
        <f aca="false">IFERROR(IF(ISNUMBER(F492),F492-E492,"n/a"),"n/a")</f>
        <v>0.0027716176225524</v>
      </c>
      <c r="H492" s="50" t="n">
        <v>0.005000001</v>
      </c>
      <c r="I492" s="43" t="str">
        <f aca="false">IFERROR(IF(ISNUMBER(F492),IF(ABS(F492-E492)&lt;=H492,"PASS","FAIL"),"FAIL"),"FAIL")</f>
        <v>PASS</v>
      </c>
    </row>
    <row r="493" customFormat="false" ht="15" hidden="false" customHeight="false" outlineLevel="0" collapsed="false">
      <c r="B493" s="44" t="n">
        <v>484</v>
      </c>
      <c r="C493" s="9" t="s">
        <v>437</v>
      </c>
      <c r="D493" s="9" t="s">
        <v>917</v>
      </c>
      <c r="E493" s="21" t="n">
        <v>0.026</v>
      </c>
      <c r="F493" s="20" t="n">
        <f aca="false">Covenants!$H$14</f>
        <v>0.02584665634159</v>
      </c>
      <c r="G493" s="49" t="n">
        <f aca="false">IFERROR(IF(ISNUMBER(F493),F493-E493,"n/a"),"n/a")</f>
        <v>-0.000153343658409997</v>
      </c>
      <c r="H493" s="50" t="n">
        <v>0.000500001</v>
      </c>
      <c r="I493" s="43" t="str">
        <f aca="false">IFERROR(IF(ISNUMBER(F493),IF(ABS(F493-E493)&lt;=H493,"PASS","FAIL"),"FAIL"),"FAIL")</f>
        <v>PASS</v>
      </c>
    </row>
    <row r="494" customFormat="false" ht="15" hidden="false" customHeight="false" outlineLevel="0" collapsed="false">
      <c r="B494" s="44" t="n">
        <v>485</v>
      </c>
      <c r="C494" s="9" t="s">
        <v>437</v>
      </c>
      <c r="D494" s="9" t="s">
        <v>918</v>
      </c>
      <c r="E494" s="52" t="n">
        <v>1.5</v>
      </c>
      <c r="F494" s="53" t="n">
        <f aca="false">Covenants!$H$15</f>
        <v>1.54729995</v>
      </c>
      <c r="G494" s="49" t="n">
        <f aca="false">IFERROR(IF(ISNUMBER(F494),F494-E494,"n/a"),"n/a")</f>
        <v>0.0472999499999995</v>
      </c>
      <c r="H494" s="50" t="n">
        <v>0.050000001</v>
      </c>
      <c r="I494" s="43" t="str">
        <f aca="false">IFERROR(IF(ISNUMBER(F494),IF(ABS(F494-E494)&lt;=H494,"PASS","FAIL"),"FAIL"),"FAIL")</f>
        <v>PASS</v>
      </c>
    </row>
    <row r="495" customFormat="false" ht="15" hidden="false" customHeight="false" outlineLevel="0" collapsed="false">
      <c r="B495" s="44" t="n">
        <v>486</v>
      </c>
      <c r="C495" s="9" t="s">
        <v>437</v>
      </c>
      <c r="D495" s="9" t="s">
        <v>919</v>
      </c>
      <c r="E495" s="52" t="n">
        <v>2</v>
      </c>
      <c r="F495" s="53" t="n">
        <f aca="false">Covenants!$H$8</f>
        <v>2</v>
      </c>
      <c r="G495" s="49" t="n">
        <f aca="false">IFERROR(IF(ISNUMBER(F495),F495-E495,"n/a"),"n/a")</f>
        <v>0</v>
      </c>
      <c r="H495" s="50" t="n">
        <v>0.050000001</v>
      </c>
      <c r="I495" s="43" t="str">
        <f aca="false">IFERROR(IF(ISNUMBER(F495),IF(ABS(F495-E495)&lt;=H495,"PASS","FAIL"),"FAIL"),"FAIL")</f>
        <v>PASS</v>
      </c>
    </row>
    <row r="496" customFormat="false" ht="15" hidden="false" customHeight="false" outlineLevel="0" collapsed="false">
      <c r="B496" s="44" t="n">
        <v>487</v>
      </c>
      <c r="C496" s="9" t="s">
        <v>316</v>
      </c>
      <c r="D496" s="9" t="s">
        <v>920</v>
      </c>
      <c r="E496" s="54" t="n">
        <v>4.79</v>
      </c>
      <c r="F496" s="55" t="n">
        <f aca="false">Debt!$H$33</f>
        <v>4.7871613203964</v>
      </c>
      <c r="G496" s="49" t="n">
        <f aca="false">IFERROR(IF(ISNUMBER(F496),F496-E496,"n/a"),"n/a")</f>
        <v>-0.00283867960360151</v>
      </c>
      <c r="H496" s="50" t="n">
        <v>0.005000001</v>
      </c>
      <c r="I496" s="43" t="str">
        <f aca="false">IFERROR(IF(ISNUMBER(F496),IF(ABS(F496-E496)&lt;=H496,"PASS","FAIL"),"FAIL"),"FAIL")</f>
        <v>PASS</v>
      </c>
    </row>
    <row r="497" customFormat="false" ht="15" hidden="false" customHeight="false" outlineLevel="0" collapsed="false">
      <c r="B497" s="44" t="n">
        <v>488</v>
      </c>
      <c r="C497" s="9" t="s">
        <v>437</v>
      </c>
      <c r="D497" s="9" t="s">
        <v>921</v>
      </c>
      <c r="E497" s="54" t="n">
        <v>0.04</v>
      </c>
      <c r="F497" s="55" t="n">
        <f aca="false">Covenants!$H$17</f>
        <v>0.0371613203963985</v>
      </c>
      <c r="G497" s="49" t="n">
        <f aca="false">IFERROR(IF(ISNUMBER(F497),F497-E497,"n/a"),"n/a")</f>
        <v>-0.00283867960360148</v>
      </c>
      <c r="H497" s="50" t="n">
        <v>0.005000001</v>
      </c>
      <c r="I497" s="43" t="str">
        <f aca="false">IFERROR(IF(ISNUMBER(F497),IF(ABS(F497-E497)&lt;=H497,"PASS","FAIL"),"FAIL"),"FAIL")</f>
        <v>PASS</v>
      </c>
    </row>
    <row r="498" customFormat="false" ht="15" hidden="false" customHeight="false" outlineLevel="0" collapsed="false">
      <c r="B498" s="44" t="n">
        <v>489</v>
      </c>
      <c r="C498" s="9" t="s">
        <v>437</v>
      </c>
      <c r="D498" s="9" t="s">
        <v>922</v>
      </c>
      <c r="E498" s="52" t="n">
        <v>71.5</v>
      </c>
      <c r="F498" s="53" t="n">
        <f aca="false">Covenants!$G$9</f>
        <v>71.5472</v>
      </c>
      <c r="G498" s="49" t="n">
        <f aca="false">IFERROR(IF(ISNUMBER(F498),F498-E498,"n/a"),"n/a")</f>
        <v>0.0472000000000037</v>
      </c>
      <c r="H498" s="50" t="n">
        <v>0.050000001</v>
      </c>
      <c r="I498" s="43" t="str">
        <f aca="false">IFERROR(IF(ISNUMBER(F498),IF(ABS(F498-E498)&lt;=H498,"PASS","FAIL"),"FAIL"),"FAIL")</f>
        <v>PASS</v>
      </c>
    </row>
    <row r="499" customFormat="false" ht="15" hidden="false" customHeight="false" outlineLevel="0" collapsed="false">
      <c r="B499" s="44" t="n">
        <v>490</v>
      </c>
      <c r="C499" s="9" t="s">
        <v>721</v>
      </c>
      <c r="D499" s="9" t="s">
        <v>923</v>
      </c>
      <c r="E499" s="52" t="n">
        <v>60.5</v>
      </c>
      <c r="F499" s="53" t="n">
        <f aca="false">Operating!$G$14</f>
        <v>60.5472</v>
      </c>
      <c r="G499" s="49" t="n">
        <f aca="false">IFERROR(IF(ISNUMBER(F499),F499-E499,"n/a"),"n/a")</f>
        <v>0.0472000000000108</v>
      </c>
      <c r="H499" s="50" t="n">
        <v>0.050000001</v>
      </c>
      <c r="I499" s="43" t="str">
        <f aca="false">IFERROR(IF(ISNUMBER(F499),IF(ABS(F499-E499)&lt;=H499,"PASS","FAIL"),"FAIL"),"FAIL")</f>
        <v>PASS</v>
      </c>
    </row>
    <row r="500" customFormat="false" ht="15" hidden="false" customHeight="false" outlineLevel="0" collapsed="false">
      <c r="B500" s="44" t="n">
        <v>491</v>
      </c>
      <c r="C500" s="9" t="s">
        <v>437</v>
      </c>
      <c r="D500" s="9" t="s">
        <v>924</v>
      </c>
      <c r="E500" s="52" t="n">
        <v>3</v>
      </c>
      <c r="F500" s="53" t="n">
        <f aca="false">Covenants!$G$8</f>
        <v>3</v>
      </c>
      <c r="G500" s="49" t="n">
        <f aca="false">IFERROR(IF(ISNUMBER(F500),F500-E500,"n/a"),"n/a")</f>
        <v>0</v>
      </c>
      <c r="H500" s="50" t="n">
        <v>0.050000001</v>
      </c>
      <c r="I500" s="43" t="str">
        <f aca="false">IFERROR(IF(ISNUMBER(F500),IF(ABS(F500-E500)&lt;=H500,"PASS","FAIL"),"FAIL"),"FAIL")</f>
        <v>PASS</v>
      </c>
    </row>
    <row r="501" customFormat="false" ht="15" hidden="false" customHeight="false" outlineLevel="0" collapsed="false">
      <c r="B501" s="44" t="n">
        <v>492</v>
      </c>
      <c r="C501" s="9" t="s">
        <v>316</v>
      </c>
      <c r="D501" s="9" t="s">
        <v>925</v>
      </c>
      <c r="E501" s="52" t="n">
        <v>291.6</v>
      </c>
      <c r="F501" s="53" t="n">
        <f aca="false">Debt!$G$32</f>
        <v>291.556635</v>
      </c>
      <c r="G501" s="49" t="n">
        <f aca="false">IFERROR(IF(ISNUMBER(F501),F501-E501,"n/a"),"n/a")</f>
        <v>-0.0433650000000512</v>
      </c>
      <c r="H501" s="50" t="n">
        <v>0.050000001</v>
      </c>
      <c r="I501" s="43" t="str">
        <f aca="false">IFERROR(IF(ISNUMBER(F501),IF(ABS(F501-E501)&lt;=H501,"PASS","FAIL"),"FAIL"),"FAIL")</f>
        <v>PASS</v>
      </c>
    </row>
    <row r="502" customFormat="false" ht="15" hidden="false" customHeight="false" outlineLevel="0" collapsed="false">
      <c r="B502" s="44" t="n">
        <v>493</v>
      </c>
      <c r="C502" s="9" t="s">
        <v>721</v>
      </c>
      <c r="D502" s="9" t="s">
        <v>926</v>
      </c>
      <c r="E502" s="52" t="n">
        <v>60.5</v>
      </c>
      <c r="F502" s="53" t="n">
        <f aca="false">Operating!$G$14</f>
        <v>60.5472</v>
      </c>
      <c r="G502" s="49" t="n">
        <f aca="false">IFERROR(IF(ISNUMBER(F502),F502-E502,"n/a"),"n/a")</f>
        <v>0.0472000000000108</v>
      </c>
      <c r="H502" s="50" t="n">
        <v>0.050000001</v>
      </c>
      <c r="I502" s="43" t="str">
        <f aca="false">IFERROR(IF(ISNUMBER(F502),IF(ABS(F502-E502)&lt;=H502,"PASS","FAIL"),"FAIL"),"FAIL")</f>
        <v>PASS</v>
      </c>
    </row>
    <row r="503" customFormat="false" ht="15" hidden="false" customHeight="false" outlineLevel="0" collapsed="false">
      <c r="B503" s="44" t="n">
        <v>494</v>
      </c>
      <c r="C503" s="9" t="s">
        <v>316</v>
      </c>
      <c r="D503" s="9" t="s">
        <v>927</v>
      </c>
      <c r="E503" s="54" t="n">
        <v>4.82</v>
      </c>
      <c r="F503" s="55" t="n">
        <f aca="false">Debt!$G$33</f>
        <v>4.81536115625495</v>
      </c>
      <c r="G503" s="49" t="n">
        <f aca="false">IFERROR(IF(ISNUMBER(F503),F503-E503,"n/a"),"n/a")</f>
        <v>-0.00463884374504708</v>
      </c>
      <c r="H503" s="50" t="n">
        <v>0.005000001</v>
      </c>
      <c r="I503" s="43" t="str">
        <f aca="false">IFERROR(IF(ISNUMBER(F503),IF(ABS(F503-E503)&lt;=H503,"PASS","FAIL"),"FAIL"),"FAIL")</f>
        <v>PASS</v>
      </c>
    </row>
    <row r="504" customFormat="false" ht="15" hidden="false" customHeight="false" outlineLevel="0" collapsed="false">
      <c r="B504" s="44" t="n">
        <v>495</v>
      </c>
      <c r="C504" s="9" t="s">
        <v>721</v>
      </c>
      <c r="D504" s="9" t="s">
        <v>928</v>
      </c>
      <c r="E504" s="52" t="n">
        <v>9</v>
      </c>
      <c r="F504" s="53" t="n">
        <f aca="false">Operating!$J$11</f>
        <v>8.998912</v>
      </c>
      <c r="G504" s="49" t="n">
        <f aca="false">IFERROR(IF(ISNUMBER(F504),F504-E504,"n/a"),"n/a")</f>
        <v>-0.00108799999999931</v>
      </c>
      <c r="H504" s="50" t="n">
        <v>0.050000001</v>
      </c>
      <c r="I504" s="43" t="str">
        <f aca="false">IFERROR(IF(ISNUMBER(F504),IF(ABS(F504-E504)&lt;=H504,"PASS","FAIL"),"FAIL"),"FAIL")</f>
        <v>PASS</v>
      </c>
    </row>
    <row r="505" customFormat="false" ht="15" hidden="false" customHeight="false" outlineLevel="0" collapsed="false">
      <c r="B505" s="44" t="n">
        <v>496</v>
      </c>
      <c r="C505" s="9" t="s">
        <v>721</v>
      </c>
      <c r="D505" s="9" t="s">
        <v>929</v>
      </c>
      <c r="E505" s="52" t="n">
        <v>3</v>
      </c>
      <c r="F505" s="53" t="n">
        <f aca="false">Operating!$J$12</f>
        <v>3</v>
      </c>
      <c r="G505" s="49" t="n">
        <f aca="false">IFERROR(IF(ISNUMBER(F505),F505-E505,"n/a"),"n/a")</f>
        <v>0</v>
      </c>
      <c r="H505" s="50" t="n">
        <v>0.050000001</v>
      </c>
      <c r="I505" s="43" t="str">
        <f aca="false">IFERROR(IF(ISNUMBER(F505),IF(ABS(F505-E505)&lt;=H505,"PASS","FAIL"),"FAIL"),"FAIL")</f>
        <v>PASS</v>
      </c>
    </row>
    <row r="506" customFormat="false" ht="15" hidden="false" customHeight="false" outlineLevel="0" collapsed="false">
      <c r="B506" s="44" t="n">
        <v>497</v>
      </c>
      <c r="C506" s="9" t="s">
        <v>721</v>
      </c>
      <c r="D506" s="9" t="s">
        <v>930</v>
      </c>
      <c r="E506" s="52" t="n">
        <v>334.8</v>
      </c>
      <c r="F506" s="53" t="n">
        <f aca="false">Operating!$H$7</f>
        <v>334.7904</v>
      </c>
      <c r="G506" s="49" t="n">
        <f aca="false">IFERROR(IF(ISNUMBER(F506),F506-E506,"n/a"),"n/a")</f>
        <v>-0.00960000000003447</v>
      </c>
      <c r="H506" s="50" t="n">
        <v>0.050000001</v>
      </c>
      <c r="I506" s="43" t="str">
        <f aca="false">IFERROR(IF(ISNUMBER(F506),IF(ABS(F506-E506)&lt;=H506,"PASS","FAIL"),"FAIL"),"FAIL")</f>
        <v>PASS</v>
      </c>
    </row>
    <row r="507" customFormat="false" ht="15" hidden="false" customHeight="false" outlineLevel="0" collapsed="false">
      <c r="B507" s="44" t="n">
        <v>498</v>
      </c>
      <c r="C507" s="9" t="s">
        <v>721</v>
      </c>
      <c r="D507" s="9" t="s">
        <v>931</v>
      </c>
      <c r="E507" s="21" t="n">
        <v>0.145</v>
      </c>
      <c r="F507" s="20" t="n">
        <f aca="false">Operating!$H$8</f>
        <v>0.145</v>
      </c>
      <c r="G507" s="49" t="n">
        <f aca="false">IFERROR(IF(ISNUMBER(F507),F507-E507,"n/a"),"n/a")</f>
        <v>0</v>
      </c>
      <c r="H507" s="50" t="n">
        <v>0.000500001</v>
      </c>
      <c r="I507" s="43" t="str">
        <f aca="false">IFERROR(IF(ISNUMBER(F507),IF(ABS(F507-E507)&lt;=H507,"PASS","FAIL"),"FAIL"),"FAIL")</f>
        <v>PASS</v>
      </c>
    </row>
    <row r="508" customFormat="false" ht="15" hidden="false" customHeight="false" outlineLevel="0" collapsed="false">
      <c r="B508" s="44" t="n">
        <v>499</v>
      </c>
      <c r="C508" s="9" t="s">
        <v>721</v>
      </c>
      <c r="D508" s="9" t="s">
        <v>932</v>
      </c>
      <c r="E508" s="52" t="n">
        <v>48.5</v>
      </c>
      <c r="F508" s="53" t="n">
        <f aca="false">Operating!$H$9</f>
        <v>48.544608</v>
      </c>
      <c r="G508" s="49" t="n">
        <f aca="false">IFERROR(IF(ISNUMBER(F508),F508-E508,"n/a"),"n/a")</f>
        <v>0.0446079999999967</v>
      </c>
      <c r="H508" s="50" t="n">
        <v>0.050000001</v>
      </c>
      <c r="I508" s="43" t="str">
        <f aca="false">IFERROR(IF(ISNUMBER(F508),IF(ABS(F508-E508)&lt;=H508,"PASS","FAIL"),"FAIL"),"FAIL")</f>
        <v>PASS</v>
      </c>
    </row>
    <row r="509" customFormat="false" ht="15" hidden="false" customHeight="false" outlineLevel="0" collapsed="false">
      <c r="B509" s="44" t="n">
        <v>500</v>
      </c>
      <c r="C509" s="9" t="s">
        <v>721</v>
      </c>
      <c r="D509" s="9" t="s">
        <v>933</v>
      </c>
      <c r="E509" s="52" t="n">
        <v>60.5</v>
      </c>
      <c r="F509" s="53" t="n">
        <f aca="false">Operating!$G$9</f>
        <v>60.5472</v>
      </c>
      <c r="G509" s="49" t="n">
        <f aca="false">IFERROR(IF(ISNUMBER(F509),F509-E509,"n/a"),"n/a")</f>
        <v>0.0472000000000108</v>
      </c>
      <c r="H509" s="50" t="n">
        <v>0.050000001</v>
      </c>
      <c r="I509" s="43" t="str">
        <f aca="false">IFERROR(IF(ISNUMBER(F509),IF(ABS(F509-E509)&lt;=H509,"PASS","FAIL"),"FAIL"),"FAIL")</f>
        <v>PASS</v>
      </c>
    </row>
    <row r="510" customFormat="false" ht="15" hidden="false" customHeight="false" outlineLevel="0" collapsed="false">
      <c r="B510" s="44" t="n">
        <v>501</v>
      </c>
      <c r="C510" s="9" t="s">
        <v>721</v>
      </c>
      <c r="D510" s="9" t="s">
        <v>934</v>
      </c>
      <c r="E510" s="52" t="n">
        <v>57.9</v>
      </c>
      <c r="F510" s="53" t="n">
        <f aca="false">Operating!$H$14</f>
        <v>57.864608</v>
      </c>
      <c r="G510" s="49" t="n">
        <f aca="false">IFERROR(IF(ISNUMBER(F510),F510-E510,"n/a"),"n/a")</f>
        <v>-0.0353920000000016</v>
      </c>
      <c r="H510" s="50" t="n">
        <v>0.050000001</v>
      </c>
      <c r="I510" s="43" t="str">
        <f aca="false">IFERROR(IF(ISNUMBER(F510),IF(ABS(F510-E510)&lt;=H510,"PASS","FAIL"),"FAIL"),"FAIL")</f>
        <v>PASS</v>
      </c>
    </row>
    <row r="511" customFormat="false" ht="15" hidden="false" customHeight="false" outlineLevel="0" collapsed="false">
      <c r="B511" s="44" t="n">
        <v>502</v>
      </c>
      <c r="C511" s="9" t="s">
        <v>749</v>
      </c>
      <c r="D511" s="9" t="s">
        <v>935</v>
      </c>
      <c r="E511" s="52" t="n">
        <v>14.5</v>
      </c>
      <c r="F511" s="53" t="n">
        <f aca="false">Cash_Flow!$H$16</f>
        <v>14.5494217625</v>
      </c>
      <c r="G511" s="49" t="n">
        <f aca="false">IFERROR(IF(ISNUMBER(F511),F511-E511,"n/a"),"n/a")</f>
        <v>0.0494217625000122</v>
      </c>
      <c r="H511" s="50" t="n">
        <v>0.050000001</v>
      </c>
      <c r="I511" s="43" t="str">
        <f aca="false">IFERROR(IF(ISNUMBER(F511),IF(ABS(F511-E511)&lt;=H511,"PASS","FAIL"),"FAIL"),"FAIL")</f>
        <v>PASS</v>
      </c>
    </row>
    <row r="512" customFormat="false" ht="15" hidden="false" customHeight="false" outlineLevel="0" collapsed="false">
      <c r="B512" s="44" t="n">
        <v>503</v>
      </c>
      <c r="C512" s="9" t="s">
        <v>437</v>
      </c>
      <c r="D512" s="9" t="s">
        <v>936</v>
      </c>
      <c r="E512" s="54" t="n">
        <v>4.63</v>
      </c>
      <c r="F512" s="55" t="n">
        <f aca="false">Covenants!$H$11</f>
        <v>4.62722838237745</v>
      </c>
      <c r="G512" s="49" t="n">
        <f aca="false">IFERROR(IF(ISNUMBER(F512),F512-E512,"n/a"),"n/a")</f>
        <v>-0.00277161762255229</v>
      </c>
      <c r="H512" s="50" t="n">
        <v>0.005000001</v>
      </c>
      <c r="I512" s="43" t="str">
        <f aca="false">IFERROR(IF(ISNUMBER(F512),IF(ABS(F512-E512)&lt;=H512,"PASS","FAIL"),"FAIL"),"FAIL")</f>
        <v>PASS</v>
      </c>
    </row>
    <row r="513" customFormat="false" ht="15" hidden="false" customHeight="false" outlineLevel="0" collapsed="false">
      <c r="B513" s="44" t="n">
        <v>504</v>
      </c>
      <c r="C513" s="9" t="s">
        <v>437</v>
      </c>
      <c r="D513" s="9" t="s">
        <v>937</v>
      </c>
      <c r="E513" s="54" t="n">
        <v>0.12</v>
      </c>
      <c r="F513" s="55" t="n">
        <f aca="false">Covenants!$H$13</f>
        <v>0.122771617622552</v>
      </c>
      <c r="G513" s="49" t="n">
        <f aca="false">IFERROR(IF(ISNUMBER(F513),F513-E513,"n/a"),"n/a")</f>
        <v>0.0027716176225524</v>
      </c>
      <c r="H513" s="50" t="n">
        <v>0.005000001</v>
      </c>
      <c r="I513" s="43" t="str">
        <f aca="false">IFERROR(IF(ISNUMBER(F513),IF(ABS(F513-E513)&lt;=H513,"PASS","FAIL"),"FAIL"),"FAIL")</f>
        <v>PASS</v>
      </c>
    </row>
    <row r="514" customFormat="false" ht="15" hidden="false" customHeight="false" outlineLevel="0" collapsed="false">
      <c r="B514" s="44" t="n">
        <v>505</v>
      </c>
      <c r="C514" s="9" t="s">
        <v>437</v>
      </c>
      <c r="D514" s="9" t="s">
        <v>938</v>
      </c>
      <c r="E514" s="54" t="n">
        <v>0.12</v>
      </c>
      <c r="F514" s="55" t="n">
        <f aca="false">Covenants!$H$13</f>
        <v>0.122771617622552</v>
      </c>
      <c r="G514" s="49" t="n">
        <f aca="false">IFERROR(IF(ISNUMBER(F514),F514-E514,"n/a"),"n/a")</f>
        <v>0.0027716176225524</v>
      </c>
      <c r="H514" s="50" t="n">
        <v>0.005000001</v>
      </c>
      <c r="I514" s="43" t="str">
        <f aca="false">IFERROR(IF(ISNUMBER(F514),IF(ABS(F514-E514)&lt;=H514,"PASS","FAIL"),"FAIL"),"FAIL")</f>
        <v>PASS</v>
      </c>
    </row>
    <row r="515" customFormat="false" ht="15" hidden="false" customHeight="false" outlineLevel="0" collapsed="false">
      <c r="B515" s="44" t="n">
        <v>506</v>
      </c>
      <c r="C515" s="9" t="s">
        <v>316</v>
      </c>
      <c r="D515" s="9" t="s">
        <v>939</v>
      </c>
      <c r="E515" s="54" t="n">
        <v>24.63</v>
      </c>
      <c r="F515" s="55" t="n">
        <f aca="false">Debt!$F$13</f>
        <v>24.625</v>
      </c>
      <c r="G515" s="49" t="n">
        <f aca="false">IFERROR(IF(ISNUMBER(F515),F515-E515,"n/a"),"n/a")</f>
        <v>-0.00499999999999901</v>
      </c>
      <c r="H515" s="50" t="n">
        <v>0.005000001</v>
      </c>
      <c r="I515" s="43" t="str">
        <f aca="false">IFERROR(IF(ISNUMBER(F515),IF(ABS(F515-E515)&lt;=H515,"PASS","FAIL"),"FAIL"),"FAIL")</f>
        <v>PASS</v>
      </c>
    </row>
    <row r="516" customFormat="false" ht="15" hidden="false" customHeight="false" outlineLevel="0" collapsed="false">
      <c r="B516" s="44" t="n">
        <v>507</v>
      </c>
      <c r="C516" s="9" t="s">
        <v>721</v>
      </c>
      <c r="D516" s="9" t="s">
        <v>940</v>
      </c>
      <c r="E516" s="52" t="n">
        <v>70.3</v>
      </c>
      <c r="F516" s="53" t="n">
        <f aca="false">Operating!$I$14</f>
        <v>70.26004512</v>
      </c>
      <c r="G516" s="49" t="n">
        <f aca="false">IFERROR(IF(ISNUMBER(F516),F516-E516,"n/a"),"n/a")</f>
        <v>-0.0399548799999963</v>
      </c>
      <c r="H516" s="50" t="n">
        <v>0.050000001</v>
      </c>
      <c r="I516" s="43" t="str">
        <f aca="false">IFERROR(IF(ISNUMBER(F516),IF(ABS(F516-E516)&lt;=H516,"PASS","FAIL"),"FAIL"),"FAIL")</f>
        <v>PASS</v>
      </c>
    </row>
    <row r="517" customFormat="false" ht="15" hidden="false" customHeight="false" outlineLevel="0" collapsed="false">
      <c r="B517" s="44" t="n">
        <v>508</v>
      </c>
      <c r="C517" s="9" t="s">
        <v>437</v>
      </c>
      <c r="D517" s="9" t="s">
        <v>941</v>
      </c>
      <c r="E517" s="54" t="n">
        <v>0.61</v>
      </c>
      <c r="F517" s="55" t="n">
        <f aca="false">Covenants!$I$13</f>
        <v>0.614481863727524</v>
      </c>
      <c r="G517" s="49" t="n">
        <f aca="false">IFERROR(IF(ISNUMBER(F517),F517-E517,"n/a"),"n/a")</f>
        <v>0.00448186372752379</v>
      </c>
      <c r="H517" s="50" t="n">
        <v>0.005000001</v>
      </c>
      <c r="I517" s="43" t="str">
        <f aca="false">IFERROR(IF(ISNUMBER(F517),IF(ABS(F517-E517)&lt;=H517,"PASS","FAIL"),"FAIL"),"FAIL")</f>
        <v>PASS</v>
      </c>
    </row>
    <row r="518" customFormat="false" ht="15" hidden="false" customHeight="false" outlineLevel="0" collapsed="false">
      <c r="B518" s="44" t="n">
        <v>509</v>
      </c>
      <c r="C518" s="9" t="s">
        <v>316</v>
      </c>
      <c r="D518" s="9" t="s">
        <v>942</v>
      </c>
      <c r="E518" s="54" t="n">
        <v>2.95</v>
      </c>
      <c r="F518" s="55" t="n">
        <f aca="false">Debt!$J$33</f>
        <v>2.9513776561063</v>
      </c>
      <c r="G518" s="49" t="n">
        <f aca="false">IFERROR(IF(ISNUMBER(F518),F518-E518,"n/a"),"n/a")</f>
        <v>0.00137765610629881</v>
      </c>
      <c r="H518" s="50" t="n">
        <v>0.005000001</v>
      </c>
      <c r="I518" s="43" t="str">
        <f aca="false">IFERROR(IF(ISNUMBER(F518),IF(ABS(F518-E518)&lt;=H518,"PASS","FAIL"),"FAIL"),"FAIL")</f>
        <v>PASS</v>
      </c>
    </row>
    <row r="519" customFormat="false" ht="15" hidden="false" customHeight="false" outlineLevel="0" collapsed="false">
      <c r="B519" s="44" t="n">
        <v>510</v>
      </c>
      <c r="C519" s="9" t="s">
        <v>316</v>
      </c>
      <c r="D519" s="9" t="s">
        <v>943</v>
      </c>
      <c r="E519" s="54" t="n">
        <v>24.75</v>
      </c>
      <c r="F519" s="55" t="n">
        <f aca="false">Debt!$J$13</f>
        <v>24.7512254357384</v>
      </c>
      <c r="G519" s="49" t="n">
        <f aca="false">IFERROR(IF(ISNUMBER(F519),F519-E519,"n/a"),"n/a")</f>
        <v>0.00122543573835188</v>
      </c>
      <c r="H519" s="50" t="n">
        <v>0.005000001</v>
      </c>
      <c r="I519" s="43" t="str">
        <f aca="false">IFERROR(IF(ISNUMBER(F519),IF(ABS(F519-E519)&lt;=H519,"PASS","FAIL"),"FAIL"),"FAIL")</f>
        <v>PASS</v>
      </c>
    </row>
    <row r="520" customFormat="false" ht="15" hidden="false" customHeight="false" outlineLevel="0" collapsed="false">
      <c r="B520" s="44" t="n">
        <v>511</v>
      </c>
      <c r="C520" s="9" t="s">
        <v>437</v>
      </c>
      <c r="D520" s="9" t="s">
        <v>944</v>
      </c>
      <c r="E520" s="54" t="n">
        <v>0.12</v>
      </c>
      <c r="F520" s="55" t="n">
        <f aca="false">Covenants!$H$13</f>
        <v>0.122771617622552</v>
      </c>
      <c r="G520" s="49" t="n">
        <f aca="false">IFERROR(IF(ISNUMBER(F520),F520-E520,"n/a"),"n/a")</f>
        <v>0.0027716176225524</v>
      </c>
      <c r="H520" s="50" t="n">
        <v>0.005000001</v>
      </c>
      <c r="I520" s="43" t="str">
        <f aca="false">IFERROR(IF(ISNUMBER(F520),IF(ABS(F520-E520)&lt;=H520,"PASS","FAIL"),"FAIL"),"FAIL")</f>
        <v>PASS</v>
      </c>
    </row>
  </sheetData>
  <mergeCells count="1">
    <mergeCell ref="C7:D7"/>
  </mergeCells>
  <conditionalFormatting sqref="I10:I520">
    <cfRule type="cellIs" priority="2" operator="equal" aboveAverage="0" equalAverage="0" bottom="0" percent="0" rank="0" text="" dxfId="0">
      <formula>"FAIL"</formula>
    </cfRule>
  </conditionalFormatting>
  <conditionalFormatting sqref="E6">
    <cfRule type="cellIs" priority="3" operator="greaterThan" aboveAverage="0" equalAverage="0" bottom="0" percent="0" rank="0" text="" dxfId="0">
      <formula>0</formula>
    </cfRule>
  </conditionalFormatting>
  <conditionalFormatting sqref="E7">
    <cfRule type="cellIs" priority="4" operator="equal" aboveAverage="0" equalAverage="0" bottom="0" percent="0" rank="0" text="" dxfId="0">
      <formula>"FAIL"</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2026-09-25T22:01:05Z</dcterms:created>
  <dc:creator>openpyxl</dc:creator>
  <dc:description/>
  <dc:language>en-US</dc:language>
  <cp:lastModifiedBy/>
  <dcterms:modified xsi:type="dcterms:W3CDTF">2026-09-25T22:01:06Z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