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ummary" sheetId="2" state="visible" r:id="rId4"/>
    <sheet name="Assumptions" sheetId="3" state="visible" r:id="rId5"/>
    <sheet name="FFO and AFFO" sheetId="4" state="visible" r:id="rId6"/>
    <sheet name="NAV" sheetId="5" state="visible" r:id="rId7"/>
    <sheet name="Balance Sheet" sheetId="6" state="visible" r:id="rId8"/>
    <sheet name="Capital" sheetId="7" state="visible" r:id="rId9"/>
    <sheet name="Sensitivity" sheetId="8" state="visible" r:id="rId10"/>
    <sheet name="Check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<sst xmlns="http://schemas.openxmlformats.org/spreadsheetml/2006/main" count="385" uniqueCount="332">
  <si>
    <t xml:space="preserve">Meridian Industrial Trust — the complete worked analysis</t>
  </si>
  <si>
    <t xml:space="preserve">Companion file to REIT Analysis and Valuation, by Julian R. Sterling — Chapter 19</t>
  </si>
  <si>
    <t xml:space="preserve">This workbook reproduces Chapter 19 in full. Every figure the chapter publishes is a live formula here,</t>
  </si>
  <si>
    <t xml:space="preserve">so you can change an assumption and watch the recommendation move.</t>
  </si>
  <si>
    <t xml:space="preserve">Where to start: open Assumptions, change the cap rate in row 26, and watch the Summary sheet.</t>
  </si>
  <si>
    <t xml:space="preserve">The implied cap rate does not move — it is set by the share price — but net asset value does, and so</t>
  </si>
  <si>
    <t xml:space="preserve">does the discount. That divergence is the whole argument of Chapters 7 and 8.</t>
  </si>
  <si>
    <t xml:space="preserve">Conventions</t>
  </si>
  <si>
    <t xml:space="preserve">    Blue text      a hardcoded input — you may edit these</t>
  </si>
  <si>
    <t xml:space="preserve">    Black text     a formula — do not overtype these</t>
  </si>
  <si>
    <t xml:space="preserve">    Green text     a link to another sheet</t>
  </si>
  <si>
    <t xml:space="preserve">    Yellow fill    the assumptions that carry the answer</t>
  </si>
  <si>
    <t xml:space="preserve">Sheets</t>
  </si>
  <si>
    <t xml:space="preserve">    Summary            the ten headline outputs, with six checks</t>
  </si>
  <si>
    <t xml:space="preserve">    Assumptions        every input, in one place</t>
  </si>
  <si>
    <t xml:space="preserve">    FFO and AFFO       Steps 2 and 3 of the chapter</t>
  </si>
  <si>
    <t xml:space="preserve">    NAV                Steps 4 and 5 — net asset value and the implied cap rate</t>
  </si>
  <si>
    <t xml:space="preserve">    Balance Sheet      Steps 6 and 7 — leverage and the dividend</t>
  </si>
  <si>
    <t xml:space="preserve">    Capital            Steps 8 and 9 — cost of capital, accretion, development</t>
  </si>
  <si>
    <t xml:space="preserve">    Sensitivity        net asset value across the cap rate band, and accretion across share prices</t>
  </si>
  <si>
    <t xml:space="preserve">    Checks             every figure of the chapter against the file, and identities that hold for any inputs</t>
  </si>
  <si>
    <t xml:space="preserve">One honest note, revised 24 September 2026</t>
  </si>
  <si>
    <t xml:space="preserve">The chapter prints a net asset value of $45.86 at a 5.00 percent cap rate and $40.36 at 5.50. From the</t>
  </si>
  <si>
    <t xml:space="preserve">same inputs they are $45.72 and $40.47: an error in the printed table, not rounding, and a quarter point</t>
  </si>
  <si>
    <t xml:space="preserve">moves the answer by about six percent, not seven. Step 9's threshold is the whole 135 basis point spread,</t>
  </si>
  <si>
    <t xml:space="preserve">not "about 70"; Step 10's value at the implied cap rate is the share price, $34.50, not $35.90; and the</t>
  </si>
  <si>
    <t xml:space="preserve">discount halving is worth 3.9 percent a year (the first file showed 3.6). The Checks sheet holds every</t>
  </si>
  <si>
    <t xml:space="preserve">figure of the chapter, corrected where it had to be, and ends ALL OK.</t>
  </si>
  <si>
    <t xml:space="preserve">These files are provided for education. They are not investment advice, and Meridian Industrial Trust</t>
  </si>
  <si>
    <t xml:space="preserve">is fictional.</t>
  </si>
  <si>
    <t xml:space="preserve">Meridian Industrial Trust — summary</t>
  </si>
  <si>
    <t xml:space="preserve">Every figure below is computed on the other sheets. Change an input and this page moves.</t>
  </si>
  <si>
    <t xml:space="preserve">Checks — all six must read OK</t>
  </si>
  <si>
    <t xml:space="preserve">Funds from operations reconciles to the chapter</t>
  </si>
  <si>
    <t xml:space="preserve">532.0</t>
  </si>
  <si>
    <t xml:space="preserve">Adjusted funds from operations reconciles</t>
  </si>
  <si>
    <t xml:space="preserve">381.0</t>
  </si>
  <si>
    <t xml:space="preserve">Net asset value per share reconciles</t>
  </si>
  <si>
    <t xml:space="preserve">$42.97</t>
  </si>
  <si>
    <t xml:space="preserve">Implied cap rate reconciles</t>
  </si>
  <si>
    <t xml:space="preserve">6.21%</t>
  </si>
  <si>
    <t xml:space="preserve">Net debt / EBITDA reconciles</t>
  </si>
  <si>
    <t xml:space="preserve">4.76x</t>
  </si>
  <si>
    <t xml:space="preserve">Payout on adjusted funds from operations reconciles</t>
  </si>
  <si>
    <t xml:space="preserve">81.3%</t>
  </si>
  <si>
    <t xml:space="preserve">The ten headline outputs</t>
  </si>
  <si>
    <t xml:space="preserve">Funds from operations per share</t>
  </si>
  <si>
    <t xml:space="preserve">book: $2.878</t>
  </si>
  <si>
    <t xml:space="preserve">Adjusted funds from operations per share</t>
  </si>
  <si>
    <t xml:space="preserve">book: $2.117</t>
  </si>
  <si>
    <t xml:space="preserve">Price / adjusted funds from operations</t>
  </si>
  <si>
    <t xml:space="preserve">book: 16.3x</t>
  </si>
  <si>
    <t xml:space="preserve">Net asset value per share</t>
  </si>
  <si>
    <t xml:space="preserve">book: $42.97</t>
  </si>
  <si>
    <t xml:space="preserve">Discount to net asset value</t>
  </si>
  <si>
    <t xml:space="preserve">book: 19.7%</t>
  </si>
  <si>
    <t xml:space="preserve">Implied cap rate</t>
  </si>
  <si>
    <t xml:space="preserve">book: 6.21%</t>
  </si>
  <si>
    <t xml:space="preserve">Spread to transaction evidence</t>
  </si>
  <si>
    <t xml:space="preserve">book: 96 bp</t>
  </si>
  <si>
    <t xml:space="preserve">Net debt / EBITDA</t>
  </si>
  <si>
    <t xml:space="preserve">book: 4.76x</t>
  </si>
  <si>
    <t xml:space="preserve">Payout on adjusted funds from operations</t>
  </si>
  <si>
    <t xml:space="preserve">book: 81.3%</t>
  </si>
  <si>
    <t xml:space="preserve">Accretion from issuing equity today</t>
  </si>
  <si>
    <t xml:space="preserve">book: −0.89%</t>
  </si>
  <si>
    <t xml:space="preserve">The recommendation, in one line</t>
  </si>
  <si>
    <t xml:space="preserve">Meridian prices its buildings 96 basis points wider than comparable assets transact, is conservatively financed, and cannot acquire accretively at this share price.</t>
  </si>
  <si>
    <t xml:space="preserve">Assumptions</t>
  </si>
  <si>
    <t xml:space="preserve">In millions of dollars except per-share amounts. Blue cells are yours to change.</t>
  </si>
  <si>
    <t xml:space="preserve">Share count and price</t>
  </si>
  <si>
    <t xml:space="preserve">Fully diluted shares (millions)</t>
  </si>
  <si>
    <t xml:space="preserve">includes 8.4m exchangeable units</t>
  </si>
  <si>
    <t xml:space="preserve">Listed share count alone (millions)</t>
  </si>
  <si>
    <t xml:space="preserve">shown only to size the error — not used</t>
  </si>
  <si>
    <t xml:space="preserve">Share price</t>
  </si>
  <si>
    <t xml:space="preserve">Annual dividend per share</t>
  </si>
  <si>
    <t xml:space="preserve">Income statement</t>
  </si>
  <si>
    <t xml:space="preserve">Net income</t>
  </si>
  <si>
    <t xml:space="preserve">Real estate depreciation and amortization</t>
  </si>
  <si>
    <t xml:space="preserve">Gains on sale of depreciable property</t>
  </si>
  <si>
    <t xml:space="preserve">Joint venture adjustments</t>
  </si>
  <si>
    <t xml:space="preserve">Preferred dividends</t>
  </si>
  <si>
    <t xml:space="preserve">Adjusted funds from operations bridge</t>
  </si>
  <si>
    <t xml:space="preserve">Straight-line rent adjustment</t>
  </si>
  <si>
    <t xml:space="preserve">Above/below-market lease amortization, net</t>
  </si>
  <si>
    <t xml:space="preserve">Recurring maintenance capital expenditure</t>
  </si>
  <si>
    <t xml:space="preserve">Recurring tenant improvements and leasing commissions</t>
  </si>
  <si>
    <t xml:space="preserve">Amortization of debt issuance costs</t>
  </si>
  <si>
    <t xml:space="preserve">Balance sheet and portfolio</t>
  </si>
  <si>
    <t xml:space="preserve">Forward stabilized net operating income</t>
  </si>
  <si>
    <t xml:space="preserve">the assumption that carries the answer</t>
  </si>
  <si>
    <t xml:space="preserve">Cap rate</t>
  </si>
  <si>
    <t xml:space="preserve">General and administrative expense</t>
  </si>
  <si>
    <t xml:space="preserve">Interest expense</t>
  </si>
  <si>
    <t xml:space="preserve">Total debt (book and fair value)</t>
  </si>
  <si>
    <t xml:space="preserve">Cash</t>
  </si>
  <si>
    <t xml:space="preserve">Preferred equity</t>
  </si>
  <si>
    <t xml:space="preserve">Development in progress, at cost</t>
  </si>
  <si>
    <t xml:space="preserve">Land</t>
  </si>
  <si>
    <t xml:space="preserve">Other assets</t>
  </si>
  <si>
    <t xml:space="preserve">Other liabilities</t>
  </si>
  <si>
    <t xml:space="preserve">Joint venture EBITDA, company share</t>
  </si>
  <si>
    <t xml:space="preserve">Chapter 19, Step 6: 520.0 − 42.0 + 14.0 = 492.0 (was typed inside the EBITDA formula)</t>
  </si>
  <si>
    <t xml:space="preserve">Development</t>
  </si>
  <si>
    <t xml:space="preserve">Expected stabilized yield on cost</t>
  </si>
  <si>
    <t xml:space="preserve">Operating statistics (disclosure, not used in the arithmetic)</t>
  </si>
  <si>
    <t xml:space="preserve">Occupancy</t>
  </si>
  <si>
    <t xml:space="preserve">Same-store NOI growth (cash)</t>
  </si>
  <si>
    <t xml:space="preserve">Cash leasing spread</t>
  </si>
  <si>
    <t xml:space="preserve">Weighted average lease term (years)</t>
  </si>
  <si>
    <t xml:space="preserve">Weighted average debt maturity (years)</t>
  </si>
  <si>
    <t xml:space="preserve">Fixed rate share of debt</t>
  </si>
  <si>
    <t xml:space="preserve">The lease roll (Chapter 19, Step 7)</t>
  </si>
  <si>
    <t xml:space="preserve">Portfolio area (million square feet)</t>
  </si>
  <si>
    <t xml:space="preserve">Re-letting cost per square foot, improvements and commissions</t>
  </si>
  <si>
    <t xml:space="preserve">Funds from operations and adjusted funds from operations</t>
  </si>
  <si>
    <t xml:space="preserve">Chapter 19, Steps 2 and 3</t>
  </si>
  <si>
    <t xml:space="preserve">Step 2 — funds from operations</t>
  </si>
  <si>
    <t xml:space="preserve">plus real estate depreciation and amortization</t>
  </si>
  <si>
    <t xml:space="preserve">less gains on sale of depreciable property</t>
  </si>
  <si>
    <t xml:space="preserve">plus joint venture adjustments</t>
  </si>
  <si>
    <t xml:space="preserve">Funds from operations</t>
  </si>
  <si>
    <t xml:space="preserve">book: 532.0</t>
  </si>
  <si>
    <t xml:space="preserve">less preferred dividends</t>
  </si>
  <si>
    <t xml:space="preserve">Funds from operations to common</t>
  </si>
  <si>
    <t xml:space="preserve">book: 518.0</t>
  </si>
  <si>
    <t xml:space="preserve">Per share</t>
  </si>
  <si>
    <t xml:space="preserve">Step 3 — adjusted funds from operations</t>
  </si>
  <si>
    <t xml:space="preserve">less straight-line rent adjustment</t>
  </si>
  <si>
    <t xml:space="preserve">less above/below-market lease amortization, net</t>
  </si>
  <si>
    <t xml:space="preserve">less recurring maintenance capital expenditure</t>
  </si>
  <si>
    <t xml:space="preserve">less recurring tenant improvements and leasing commissions</t>
  </si>
  <si>
    <t xml:space="preserve">plus amortization of debt issuance costs</t>
  </si>
  <si>
    <t xml:space="preserve">Adjusted funds from operations</t>
  </si>
  <si>
    <t xml:space="preserve">book: 381.0</t>
  </si>
  <si>
    <t xml:space="preserve">Adjusted is below funds from operations by</t>
  </si>
  <si>
    <t xml:space="preserve">book: 26.4%</t>
  </si>
  <si>
    <t xml:space="preserve">The two multiples</t>
  </si>
  <si>
    <t xml:space="preserve">Price / funds from operations</t>
  </si>
  <si>
    <t xml:space="preserve">book: 12.0x</t>
  </si>
  <si>
    <t xml:space="preserve">Turns apart</t>
  </si>
  <si>
    <t xml:space="preserve">book: four and a third — a note quoting only the first has described a cheaper company than exists</t>
  </si>
  <si>
    <t xml:space="preserve">Net asset value and the implied cap rate</t>
  </si>
  <si>
    <t xml:space="preserve">Chapter 19, Steps 4 and 5</t>
  </si>
  <si>
    <t xml:space="preserve">Step 4 — net asset value</t>
  </si>
  <si>
    <t xml:space="preserve">Gross operating real estate value</t>
  </si>
  <si>
    <t xml:space="preserve">book: 9,904.8</t>
  </si>
  <si>
    <t xml:space="preserve">Debt, at fair value</t>
  </si>
  <si>
    <t xml:space="preserve">Net asset value</t>
  </si>
  <si>
    <t xml:space="preserve">book: 7,734.8</t>
  </si>
  <si>
    <t xml:space="preserve">Discount to net asset value at the current price</t>
  </si>
  <si>
    <t xml:space="preserve">Step 5 — the implied cap rate (the number to lead with)</t>
  </si>
  <si>
    <t xml:space="preserve">Market capitalization</t>
  </si>
  <si>
    <t xml:space="preserve">book: 6,210.0</t>
  </si>
  <si>
    <t xml:space="preserve">plus debt</t>
  </si>
  <si>
    <t xml:space="preserve">plus preferred</t>
  </si>
  <si>
    <t xml:space="preserve">plus other liabilities</t>
  </si>
  <si>
    <t xml:space="preserve">less cash</t>
  </si>
  <si>
    <t xml:space="preserve">less other assets</t>
  </si>
  <si>
    <t xml:space="preserve">less development</t>
  </si>
  <si>
    <t xml:space="preserve">less land</t>
  </si>
  <si>
    <t xml:space="preserve">Implied gross real estate value</t>
  </si>
  <si>
    <t xml:space="preserve">book: 8,380.0</t>
  </si>
  <si>
    <t xml:space="preserve">Priced wider than transaction evidence by</t>
  </si>
  <si>
    <t xml:space="preserve">book: 96 bp — that is the finding</t>
  </si>
  <si>
    <t xml:space="preserve">Leverage and the dividend</t>
  </si>
  <si>
    <t xml:space="preserve">Chapter 19, Steps 6 and 7</t>
  </si>
  <si>
    <t xml:space="preserve">Step 6 — the balance sheet</t>
  </si>
  <si>
    <t xml:space="preserve">Net debt</t>
  </si>
  <si>
    <t xml:space="preserve">book: 2,340.0</t>
  </si>
  <si>
    <t xml:space="preserve">EBITDA</t>
  </si>
  <si>
    <t xml:space="preserve">book: 492.0 — net operating income less overhead, plus 14.0 of joint venture EBITDA</t>
  </si>
  <si>
    <t xml:space="preserve">Gross asset value</t>
  </si>
  <si>
    <t xml:space="preserve">10,404.8</t>
  </si>
  <si>
    <t xml:space="preserve">Net debt / gross asset value</t>
  </si>
  <si>
    <t xml:space="preserve">book: 22.5%</t>
  </si>
  <si>
    <t xml:space="preserve">Enterprise value</t>
  </si>
  <si>
    <t xml:space="preserve">8,800.0</t>
  </si>
  <si>
    <t xml:space="preserve">Net debt / enterprise value</t>
  </si>
  <si>
    <t xml:space="preserve">book: 26.6%</t>
  </si>
  <si>
    <t xml:space="preserve">Interest coverage</t>
  </si>
  <si>
    <t xml:space="preserve">book: 5.02x</t>
  </si>
  <si>
    <t xml:space="preserve">Overhead as a share of net operating income</t>
  </si>
  <si>
    <t xml:space="preserve">book: 8.1%</t>
  </si>
  <si>
    <t xml:space="preserve">Overhead capitalized at the cap rate</t>
  </si>
  <si>
    <t xml:space="preserve">book: 800.0</t>
  </si>
  <si>
    <t xml:space="preserve">book: $4.44 — ten percent of net asset value, the cost of the corporate wrapper</t>
  </si>
  <si>
    <t xml:space="preserve">Step 7 — the dividend</t>
  </si>
  <si>
    <t xml:space="preserve">Dividend yield</t>
  </si>
  <si>
    <t xml:space="preserve">book: 4.99%</t>
  </si>
  <si>
    <t xml:space="preserve">Payout on funds from operations</t>
  </si>
  <si>
    <t xml:space="preserve">book: 59.8%</t>
  </si>
  <si>
    <t xml:space="preserve">book: 81.3% — the honest one; the first overstates the cushion by a wide margin</t>
  </si>
  <si>
    <t xml:space="preserve">Retained cash per share</t>
  </si>
  <si>
    <t xml:space="preserve">book: $0.397</t>
  </si>
  <si>
    <t xml:space="preserve">Retained cash, total</t>
  </si>
  <si>
    <t xml:space="preserve">book: 71.4</t>
  </si>
  <si>
    <t xml:space="preserve">Cost of capital, accretion and development</t>
  </si>
  <si>
    <t xml:space="preserve">Chapter 19, Steps 8, 9 and 10</t>
  </si>
  <si>
    <t xml:space="preserve">Step 8 — the cost of capital</t>
  </si>
  <si>
    <t xml:space="preserve">Cost of equity, proxied by the adjusted funds from operations yield</t>
  </si>
  <si>
    <t xml:space="preserve">book: 6.14%</t>
  </si>
  <si>
    <t xml:space="preserve">Acquisition cap rate available</t>
  </si>
  <si>
    <t xml:space="preserve">Accretion from issuing equity to acquire</t>
  </si>
  <si>
    <t xml:space="preserve">book: −89 bp — external growth is dilutive</t>
  </si>
  <si>
    <t xml:space="preserve">Step 9 — development</t>
  </si>
  <si>
    <t xml:space="preserve">Pipeline at cost</t>
  </si>
  <si>
    <t xml:space="preserve">Net operating income at stabilization</t>
  </si>
  <si>
    <t xml:space="preserve">book: 25.1</t>
  </si>
  <si>
    <t xml:space="preserve">Value at the cap rate</t>
  </si>
  <si>
    <t xml:space="preserve">book: 477.7</t>
  </si>
  <si>
    <t xml:space="preserve">Value creation</t>
  </si>
  <si>
    <t xml:space="preserve">book: 97.7</t>
  </si>
  <si>
    <t xml:space="preserve">book: $0.54</t>
  </si>
  <si>
    <t xml:space="preserve">As a share of net asset value</t>
  </si>
  <si>
    <t xml:space="preserve">book: 1.3%</t>
  </si>
  <si>
    <t xml:space="preserve">Development spread over the cap rate</t>
  </si>
  <si>
    <t xml:space="preserve">book: 135 bp. The book calls it "the upper end of the usual requirement"; the usual range is 100 to 200, so it sits in the lower half</t>
  </si>
  <si>
    <t xml:space="preserve">Exit cap rate at which the pipeline stops creating value (the yield on cost)</t>
  </si>
  <si>
    <t xml:space="preserve">revised: the first file showed the transaction cap rate here</t>
  </si>
  <si>
    <t xml:space="preserve">Step 10 — the base case return, before any re-rating</t>
  </si>
  <si>
    <t xml:space="preserve">Adjusted funds from operations growth</t>
  </si>
  <si>
    <t xml:space="preserve">driven by 5.4% same-store growth, partially offset by the share count</t>
  </si>
  <si>
    <t xml:space="preserve">Total return with no re-rating</t>
  </si>
  <si>
    <t xml:space="preserve">book: approximately 9%</t>
  </si>
  <si>
    <t xml:space="preserve">If the discount halves over three years, add (a year, compounded)</t>
  </si>
  <si>
    <t xml:space="preserve">book: roughly 3.9 percent a year (revised: the first file divided a two-step gain by three and showed 3.6)</t>
  </si>
  <si>
    <t xml:space="preserve">Total in that case</t>
  </si>
  <si>
    <t xml:space="preserve">book: low teens</t>
  </si>
  <si>
    <t xml:space="preserve">Revised: the thresholds Step 9 and Step 10 print</t>
  </si>
  <si>
    <t xml:space="preserve">Cap rate widening that eliminates the development spread, bp</t>
  </si>
  <si>
    <t xml:space="preserve">the book prints "about 70": the whole spread, 135, has to go</t>
  </si>
  <si>
    <t xml:space="preserve">Value the pipeline still creates at the market-implied cap rate</t>
  </si>
  <si>
    <t xml:space="preserve">positive: 6.21 percent is still inside the 6.60 threshold</t>
  </si>
  <si>
    <t xml:space="preserve">Net asset value per share if transactions reprice to the implied cap rate</t>
  </si>
  <si>
    <t xml:space="preserve">the book prints about $35.90; by construction it is the share price</t>
  </si>
  <si>
    <t xml:space="preserve">Spread left unexplained once overhead is deducted from NOI, bp</t>
  </si>
  <si>
    <t xml:space="preserve">book: about 45 bp</t>
  </si>
  <si>
    <t xml:space="preserve">The same with overhead capitalized at the transaction cap rate, bp</t>
  </si>
  <si>
    <t xml:space="preserve">the other defensible route: 41 bp</t>
  </si>
  <si>
    <t xml:space="preserve">Share of the appraised-to-implied value gap that capitalized overhead explains</t>
  </si>
  <si>
    <t xml:space="preserve">book: "roughly half"</t>
  </si>
  <si>
    <t xml:space="preserve">The lease roll (Step 7)</t>
  </si>
  <si>
    <t xml:space="preserve">Area rolling each year (million square feet)</t>
  </si>
  <si>
    <t xml:space="preserve">book: 8.75</t>
  </si>
  <si>
    <t xml:space="preserve">Cost of the roll if no tenant renewed</t>
  </si>
  <si>
    <t xml:space="preserve">every renewal lowers it</t>
  </si>
  <si>
    <t xml:space="preserve">Recurring improvements and commissions already deducted in AFFO</t>
  </si>
  <si>
    <t xml:space="preserve">Headroom</t>
  </si>
  <si>
    <t xml:space="preserve">positive: the 46.0 covers the roll even with no renewals, so the 71.4 retained is free</t>
  </si>
  <si>
    <t xml:space="preserve">Sensitivity</t>
  </si>
  <si>
    <t xml:space="preserve">A quarter point on the cap rate moves the answer by about six percent (+6.4 at 5.00, −5.8 at 5.50). The book says roughly seven.</t>
  </si>
  <si>
    <t xml:space="preserve">Gross value</t>
  </si>
  <si>
    <t xml:space="preserve">Discount at $34.50</t>
  </si>
  <si>
    <t xml:space="preserve">Published in the book</t>
  </si>
  <si>
    <t xml:space="preserve">Variance against the published sensitivity</t>
  </si>
  <si>
    <t xml:space="preserve">At 5.00%</t>
  </si>
  <si>
    <t xml:space="preserve">an error in the printed table, not rounding: the book's own inputs give the live figure</t>
  </si>
  <si>
    <t xml:space="preserve">At 5.50%</t>
  </si>
  <si>
    <t xml:space="preserve">Accretion across share prices (Chapter 19, Step 8)</t>
  </si>
  <si>
    <t xml:space="preserve">Cost of equity</t>
  </si>
  <si>
    <t xml:space="preserve">Versus a 5.25% cap rate</t>
  </si>
  <si>
    <t xml:space="preserve">Verdict</t>
  </si>
  <si>
    <t xml:space="preserve">dilutive</t>
  </si>
  <si>
    <t xml:space="preserve">marginal</t>
  </si>
  <si>
    <t xml:space="preserve">accretive</t>
  </si>
  <si>
    <t xml:space="preserve">Book: 6.14% / −89 bp · 4.93% / +32 bp · 4.23% / +102 bp</t>
  </si>
  <si>
    <t xml:space="preserve">Checks: every figure of Chapter 19, and what holds for any inputs</t>
  </si>
  <si>
    <t xml:space="preserve">Rows with a figure compare the file with the book (corrected where the book is wrong, with the printed figure in the note). Rows without one hold for any inputs.</t>
  </si>
  <si>
    <t xml:space="preserve">Check</t>
  </si>
  <si>
    <t xml:space="preserve">Figure</t>
  </si>
  <si>
    <t xml:space="preserve">This file</t>
  </si>
  <si>
    <t xml:space="preserve">Status</t>
  </si>
  <si>
    <t xml:space="preserve">Note</t>
  </si>
  <si>
    <t xml:space="preserve">FFO per share</t>
  </si>
  <si>
    <t xml:space="preserve">AFFO per share</t>
  </si>
  <si>
    <t xml:space="preserve">AFFO below FFO by</t>
  </si>
  <si>
    <t xml:space="preserve">Step 3 prints 26.4; Chapter 4 prints 26</t>
  </si>
  <si>
    <t xml:space="preserve">Price / FFO</t>
  </si>
  <si>
    <t xml:space="preserve">Price / AFFO</t>
  </si>
  <si>
    <t xml:space="preserve">Turns between the two multiples</t>
  </si>
  <si>
    <t xml:space="preserve">"four and a third"</t>
  </si>
  <si>
    <t xml:space="preserve">Listed count alone raises NAV per share by</t>
  </si>
  <si>
    <t xml:space="preserve">"about five percent"</t>
  </si>
  <si>
    <t xml:space="preserve">NAV per share</t>
  </si>
  <si>
    <t xml:space="preserve">Discount to NAV</t>
  </si>
  <si>
    <t xml:space="preserve">Wider than transactions by, bp</t>
  </si>
  <si>
    <t xml:space="preserve">EV / EBITDA</t>
  </si>
  <si>
    <t xml:space="preserve">Chapter 9</t>
  </si>
  <si>
    <t xml:space="preserve">Overhead / NOI</t>
  </si>
  <si>
    <t xml:space="preserve">Overhead capitalized</t>
  </si>
  <si>
    <t xml:space="preserve">  per share</t>
  </si>
  <si>
    <t xml:space="preserve">  as a share of NAV</t>
  </si>
  <si>
    <t xml:space="preserve">Payout on FFO</t>
  </si>
  <si>
    <t xml:space="preserve">Payout on AFFO</t>
  </si>
  <si>
    <t xml:space="preserve">Cost of equity at $34.50</t>
  </si>
  <si>
    <t xml:space="preserve">Accretion at $34.50, bp</t>
  </si>
  <si>
    <t xml:space="preserve">Cost of equity at NAV</t>
  </si>
  <si>
    <t xml:space="preserve">Accretion at NAV, bp</t>
  </si>
  <si>
    <t xml:space="preserve">Cost of equity at $50.00</t>
  </si>
  <si>
    <t xml:space="preserve">Accretion at $50.00, bp</t>
  </si>
  <si>
    <t xml:space="preserve">Premium to NAV at $50.00</t>
  </si>
  <si>
    <t xml:space="preserve">"16% premium"</t>
  </si>
  <si>
    <t xml:space="preserve">Development NOI at stabilization</t>
  </si>
  <si>
    <t xml:space="preserve">Development value</t>
  </si>
  <si>
    <t xml:space="preserve">Value created</t>
  </si>
  <si>
    <t xml:space="preserve">Development spread, bp</t>
  </si>
  <si>
    <t xml:space="preserve">"approximately 9 percent"</t>
  </si>
  <si>
    <t xml:space="preserve">Discount halving over three years, a year</t>
  </si>
  <si>
    <t xml:space="preserve">revised: the first file showed 3.6</t>
  </si>
  <si>
    <t xml:space="preserve">Spread unexplained after overhead, bp</t>
  </si>
  <si>
    <t xml:space="preserve">Area rolling each year, million sq ft</t>
  </si>
  <si>
    <t xml:space="preserve">NAV per share at a 5.00% cap rate</t>
  </si>
  <si>
    <t xml:space="preserve">revised: the book prints 45.86</t>
  </si>
  <si>
    <t xml:space="preserve">NAV per share at a 5.50% cap rate</t>
  </si>
  <si>
    <t xml:space="preserve">revised: the book prints 40.36</t>
  </si>
  <si>
    <t xml:space="preserve">A quarter point tighter moves NAV per share by</t>
  </si>
  <si>
    <t xml:space="preserve">revised: the book says "roughly seven percent"</t>
  </si>
  <si>
    <t xml:space="preserve">Cap rate widening that ends the development spread, bp</t>
  </si>
  <si>
    <t xml:space="preserve">revised: the book prints "about 70"</t>
  </si>
  <si>
    <t xml:space="preserve">NAV per share at the implied cap rate</t>
  </si>
  <si>
    <t xml:space="preserve">revised: the book prints about $35.90</t>
  </si>
  <si>
    <t xml:space="preserve">Identity: NAV at the implied cap rate equals the share price</t>
  </si>
  <si>
    <t xml:space="preserve">Identity: forward NOI over gross value returns the cap rate</t>
  </si>
  <si>
    <t xml:space="preserve">Chapter 17's sixth check</t>
  </si>
  <si>
    <t xml:space="preserve">Identity: the AFFO bridge adds up from net income</t>
  </si>
  <si>
    <t xml:space="preserve">Identity: at the frontier price (AFFO ÷ cap rate) accretion is zero</t>
  </si>
  <si>
    <t xml:space="preserve">Appendix F</t>
  </si>
  <si>
    <t xml:space="preserve">Identity: payout + retained = 100 percent of AFFO</t>
  </si>
  <si>
    <t xml:space="preserve">The six checks of the Summary sheet</t>
  </si>
  <si>
    <t xml:space="preserve">All checks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</si>
</sst>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\$#,##0.00;&quot;($&quot;#,##0.00\);\-"/>
    <numFmt numFmtId="166" formatCode="0.00\x"/>
    <numFmt numFmtId="167" formatCode="0.0%"/>
    <numFmt numFmtId="168" formatCode="0.00%"/>
    <numFmt numFmtId="169" formatCode="#,##0&quot; bp&quot;"/>
    <numFmt numFmtId="170" formatCode="#,##0.0"/>
    <numFmt numFmtId="171" formatCode="#,##0.0;\(#,##0.0\);\-"/>
    <numFmt numFmtId="172" formatCode="0.0"/>
    <numFmt numFmtId="173" formatCode="0.00"/>
    <numFmt numFmtId="174" formatCode="0"/>
    <numFmt numFmtId="175" formatCode="\$0.00"/>
    <numFmt numFmtId="176" formatCode="0.000"/>
    <numFmt numFmtId="177" formatCode="0.0\x"/>
    <numFmt numFmtId="178" formatCode="0.00\x"/>
    <numFmt numFmtId="179" formatCode="0%"/>
    <numFmt numFmtId="180" formatCode="@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1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</row>
    <row r="5" customFormat="false" ht="15" hidden="false" customHeight="true" outlineLevel="0" collapsed="false">
      <c r="A5" s="4" t="s">
        <v>3</v>
      </c>
    </row>
    <row r="6" customFormat="false" ht="15" hidden="false" customHeight="true" outlineLevel="0" collapsed="false">
      <c r="A6" s="4"/>
    </row>
    <row r="7" customFormat="false" ht="15" hidden="false" customHeight="true" outlineLevel="0" collapsed="false">
      <c r="A7" s="4" t="s">
        <v>4</v>
      </c>
    </row>
    <row r="8" customFormat="false" ht="15" hidden="false" customHeight="true" outlineLevel="0" collapsed="false">
      <c r="A8" s="4" t="s">
        <v>5</v>
      </c>
    </row>
    <row r="9" customFormat="false" ht="15" hidden="false" customHeight="true" outlineLevel="0" collapsed="false">
      <c r="A9" s="4" t="s">
        <v>6</v>
      </c>
    </row>
    <row r="10" customFormat="false" ht="15" hidden="false" customHeight="true" outlineLevel="0" collapsed="false">
      <c r="A10" s="4"/>
    </row>
    <row r="11" customFormat="false" ht="15" hidden="false" customHeight="true" outlineLevel="0" collapsed="false">
      <c r="A11" s="5" t="s">
        <v>7</v>
      </c>
    </row>
    <row r="12" customFormat="false" ht="15" hidden="false" customHeight="true" outlineLevel="0" collapsed="false">
      <c r="A12" s="4" t="s">
        <v>8</v>
      </c>
    </row>
    <row r="13" customFormat="false" ht="15" hidden="false" customHeight="true" outlineLevel="0" collapsed="false">
      <c r="A13" s="4" t="s">
        <v>9</v>
      </c>
    </row>
    <row r="14" customFormat="false" ht="15" hidden="false" customHeight="true" outlineLevel="0" collapsed="false">
      <c r="A14" s="4" t="s">
        <v>10</v>
      </c>
    </row>
    <row r="15" customFormat="false" ht="15" hidden="false" customHeight="true" outlineLevel="0" collapsed="false">
      <c r="A15" s="4" t="s">
        <v>11</v>
      </c>
    </row>
    <row r="16" customFormat="false" ht="15" hidden="false" customHeight="true" outlineLevel="0" collapsed="false">
      <c r="A16" s="4"/>
    </row>
    <row r="17" customFormat="false" ht="15" hidden="false" customHeight="true" outlineLevel="0" collapsed="false">
      <c r="A17" s="5" t="s">
        <v>12</v>
      </c>
    </row>
    <row r="18" customFormat="false" ht="15" hidden="false" customHeight="true" outlineLevel="0" collapsed="false">
      <c r="A18" s="4" t="s">
        <v>13</v>
      </c>
    </row>
    <row r="19" customFormat="false" ht="15" hidden="false" customHeight="true" outlineLevel="0" collapsed="false">
      <c r="A19" s="4" t="s">
        <v>14</v>
      </c>
    </row>
    <row r="20" customFormat="false" ht="15" hidden="false" customHeight="true" outlineLevel="0" collapsed="false">
      <c r="A20" s="4" t="s">
        <v>15</v>
      </c>
    </row>
    <row r="21" customFormat="false" ht="15" hidden="false" customHeight="true" outlineLevel="0" collapsed="false">
      <c r="A21" s="4" t="s">
        <v>16</v>
      </c>
    </row>
    <row r="22" customFormat="false" ht="15" hidden="false" customHeight="true" outlineLevel="0" collapsed="false">
      <c r="A22" s="4" t="s">
        <v>17</v>
      </c>
    </row>
    <row r="23" customFormat="false" ht="15" hidden="false" customHeight="true" outlineLevel="0" collapsed="false">
      <c r="A23" s="4" t="s">
        <v>18</v>
      </c>
    </row>
    <row r="24" customFormat="false" ht="15" hidden="false" customHeight="true" outlineLevel="0" collapsed="false">
      <c r="A24" s="4" t="s">
        <v>19</v>
      </c>
    </row>
    <row r="25" customFormat="false" ht="15" hidden="false" customHeight="true" outlineLevel="0" collapsed="false">
      <c r="A25" s="4" t="s">
        <v>20</v>
      </c>
    </row>
    <row r="26" customFormat="false" ht="15" hidden="false" customHeight="true" outlineLevel="0" collapsed="false">
      <c r="A26" s="5" t="s">
        <v>21</v>
      </c>
    </row>
    <row r="27" customFormat="false" ht="15" hidden="false" customHeight="true" outlineLevel="0" collapsed="false">
      <c r="A27" s="4" t="s">
        <v>22</v>
      </c>
    </row>
    <row r="28" customFormat="false" ht="15" hidden="false" customHeight="true" outlineLevel="0" collapsed="false">
      <c r="A28" s="4" t="s">
        <v>23</v>
      </c>
    </row>
    <row r="29" customFormat="false" ht="15" hidden="false" customHeight="true" outlineLevel="0" collapsed="false">
      <c r="A29" s="4" t="s">
        <v>24</v>
      </c>
    </row>
    <row r="30" customFormat="false" ht="15" hidden="false" customHeight="true" outlineLevel="0" collapsed="false">
      <c r="A30" s="4" t="s">
        <v>25</v>
      </c>
    </row>
    <row r="31" customFormat="false" ht="15" hidden="false" customHeight="true" outlineLevel="0" collapsed="false">
      <c r="A31" s="4" t="s">
        <v>26</v>
      </c>
    </row>
    <row r="32" customFormat="false" ht="15" hidden="false" customHeight="true" outlineLevel="0" collapsed="false">
      <c r="A32" s="4" t="s">
        <v>27</v>
      </c>
    </row>
    <row r="33" customFormat="false" ht="15" hidden="false" customHeight="true" outlineLevel="0" collapsed="false">
      <c r="A33" s="4"/>
    </row>
    <row r="34" customFormat="false" ht="15" hidden="false" customHeight="true" outlineLevel="0" collapsed="false">
      <c r="A34" s="4" t="s">
        <v>28</v>
      </c>
    </row>
    <row r="35" customFormat="false" ht="15" hidden="false" customHeight="true" outlineLevel="0" collapsed="false">
      <c r="A35" s="4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8"/>
    <col collapsed="false" customWidth="true" hidden="false" outlineLevel="0" max="3" min="3" style="1" width="62"/>
  </cols>
  <sheetData>
    <row r="1" customFormat="false" ht="17.25" hidden="false" customHeight="true" outlineLevel="0" collapsed="false">
      <c r="A1" s="2" t="s">
        <v>30</v>
      </c>
    </row>
    <row r="2" customFormat="false" ht="15" hidden="false" customHeight="true" outlineLevel="0" collapsed="false">
      <c r="A2" s="3" t="s">
        <v>31</v>
      </c>
    </row>
    <row r="4" customFormat="false" ht="15" hidden="false" customHeight="true" outlineLevel="0" collapsed="false">
      <c r="A4" s="6" t="s">
        <v>32</v>
      </c>
    </row>
    <row r="5" customFormat="false" ht="15" hidden="false" customHeight="true" outlineLevel="0" collapsed="false">
      <c r="A5" s="4" t="s">
        <v>33</v>
      </c>
      <c r="B5" s="5" t="str">
        <f aca="false">IF(ABS('FFO and AFFO'!B9-532)&lt;0.05,"OK","CHECK")</f>
        <v>OK</v>
      </c>
      <c r="C5" s="3" t="s">
        <v>34</v>
      </c>
    </row>
    <row r="6" customFormat="false" ht="15" hidden="false" customHeight="true" outlineLevel="0" collapsed="false">
      <c r="A6" s="4" t="s">
        <v>35</v>
      </c>
      <c r="B6" s="5" t="str">
        <f aca="false">IF(ABS('FFO and AFFO'!B21-381)&lt;0.05,"OK","CHECK")</f>
        <v>OK</v>
      </c>
      <c r="C6" s="3" t="s">
        <v>36</v>
      </c>
    </row>
    <row r="7" customFormat="false" ht="15" hidden="false" customHeight="true" outlineLevel="0" collapsed="false">
      <c r="A7" s="4" t="s">
        <v>37</v>
      </c>
      <c r="B7" s="5" t="str">
        <f aca="false">IF(ABS(NAV!B16-42.97)&lt;0.005,"OK","CHECK")</f>
        <v>OK</v>
      </c>
      <c r="C7" s="3" t="s">
        <v>38</v>
      </c>
    </row>
    <row r="8" customFormat="false" ht="15" hidden="false" customHeight="true" outlineLevel="0" collapsed="false">
      <c r="A8" s="4" t="s">
        <v>39</v>
      </c>
      <c r="B8" s="5" t="str">
        <f aca="false">IF(ABS(NAV!B29-0.0621)&lt;0.00005,"OK","CHECK")</f>
        <v>OK</v>
      </c>
      <c r="C8" s="3" t="s">
        <v>40</v>
      </c>
    </row>
    <row r="9" customFormat="false" ht="15" hidden="false" customHeight="true" outlineLevel="0" collapsed="false">
      <c r="A9" s="4" t="s">
        <v>41</v>
      </c>
      <c r="B9" s="5" t="str">
        <f aca="false">IF(ABS('Balance Sheet'!B5/'Balance Sheet'!B6-4.76)&lt;0.005,"OK","CHECK")</f>
        <v>OK</v>
      </c>
      <c r="C9" s="3" t="s">
        <v>42</v>
      </c>
    </row>
    <row r="10" customFormat="false" ht="15" hidden="false" customHeight="true" outlineLevel="0" collapsed="false">
      <c r="A10" s="4" t="s">
        <v>43</v>
      </c>
      <c r="B10" s="5" t="str">
        <f aca="false">IF(ABS(Assumptions!$B$8/'FFO and AFFO'!$B$22-0.813)&lt;0.0005,"OK","CHECK")</f>
        <v>OK</v>
      </c>
      <c r="C10" s="3" t="s">
        <v>44</v>
      </c>
    </row>
    <row r="12" customFormat="false" ht="15" hidden="false" customHeight="true" outlineLevel="0" collapsed="false">
      <c r="A12" s="6" t="s">
        <v>45</v>
      </c>
    </row>
    <row r="13" customFormat="false" ht="15" hidden="false" customHeight="true" outlineLevel="0" collapsed="false">
      <c r="A13" s="4" t="s">
        <v>46</v>
      </c>
      <c r="B13" s="7" t="n">
        <f aca="false">'FFO and AFFO'!B12</f>
        <v>2.87777777777778</v>
      </c>
      <c r="C13" s="3" t="s">
        <v>47</v>
      </c>
    </row>
    <row r="14" customFormat="false" ht="15" hidden="false" customHeight="true" outlineLevel="0" collapsed="false">
      <c r="A14" s="4" t="s">
        <v>48</v>
      </c>
      <c r="B14" s="7" t="n">
        <f aca="false">'FFO and AFFO'!B22</f>
        <v>2.11666666666667</v>
      </c>
      <c r="C14" s="3" t="s">
        <v>49</v>
      </c>
    </row>
    <row r="15" customFormat="false" ht="15" hidden="false" customHeight="true" outlineLevel="0" collapsed="false">
      <c r="A15" s="4" t="s">
        <v>50</v>
      </c>
      <c r="B15" s="8" t="n">
        <f aca="false">'FFO and AFFO'!B27</f>
        <v>16.2992125984252</v>
      </c>
      <c r="C15" s="3" t="s">
        <v>51</v>
      </c>
    </row>
    <row r="16" customFormat="false" ht="15" hidden="false" customHeight="true" outlineLevel="0" collapsed="false">
      <c r="A16" s="4" t="s">
        <v>52</v>
      </c>
      <c r="B16" s="7" t="n">
        <f aca="false">NAV!B16</f>
        <v>42.9708994708995</v>
      </c>
      <c r="C16" s="3" t="s">
        <v>53</v>
      </c>
    </row>
    <row r="17" customFormat="false" ht="15" hidden="false" customHeight="true" outlineLevel="0" collapsed="false">
      <c r="A17" s="4" t="s">
        <v>54</v>
      </c>
      <c r="B17" s="9" t="n">
        <f aca="false">NAV!B17</f>
        <v>0.197131071846334</v>
      </c>
      <c r="C17" s="3" t="s">
        <v>55</v>
      </c>
    </row>
    <row r="18" customFormat="false" ht="15" hidden="false" customHeight="true" outlineLevel="0" collapsed="false">
      <c r="A18" s="4" t="s">
        <v>56</v>
      </c>
      <c r="B18" s="10" t="n">
        <f aca="false">NAV!B29</f>
        <v>0.0620525059665871</v>
      </c>
      <c r="C18" s="3" t="s">
        <v>57</v>
      </c>
    </row>
    <row r="19" customFormat="false" ht="15" hidden="false" customHeight="true" outlineLevel="0" collapsed="false">
      <c r="A19" s="4" t="s">
        <v>58</v>
      </c>
      <c r="B19" s="11" t="n">
        <f aca="false">(NAV!B29-Assumptions!$B$26)*10000</f>
        <v>95.5250596658711</v>
      </c>
      <c r="C19" s="3" t="s">
        <v>59</v>
      </c>
    </row>
    <row r="20" customFormat="false" ht="15" hidden="false" customHeight="true" outlineLevel="0" collapsed="false">
      <c r="A20" s="4" t="s">
        <v>60</v>
      </c>
      <c r="B20" s="8" t="n">
        <f aca="false">'Balance Sheet'!B5/'Balance Sheet'!B6</f>
        <v>4.75609756097561</v>
      </c>
      <c r="C20" s="3" t="s">
        <v>61</v>
      </c>
    </row>
    <row r="21" customFormat="false" ht="15" hidden="false" customHeight="true" outlineLevel="0" collapsed="false">
      <c r="A21" s="4" t="s">
        <v>62</v>
      </c>
      <c r="B21" s="9" t="n">
        <f aca="false">Assumptions!$B$8/'FFO and AFFO'!$B$22</f>
        <v>0.81259842519685</v>
      </c>
      <c r="C21" s="3" t="s">
        <v>63</v>
      </c>
    </row>
    <row r="22" customFormat="false" ht="15" hidden="false" customHeight="true" outlineLevel="0" collapsed="false">
      <c r="A22" s="4" t="s">
        <v>64</v>
      </c>
      <c r="B22" s="10" t="n">
        <f aca="false">Assumptions!$B$26-'FFO and AFFO'!$B$22/Assumptions!$B$7</f>
        <v>-0.00885265700483092</v>
      </c>
      <c r="C22" s="3" t="s">
        <v>65</v>
      </c>
    </row>
    <row r="24" customFormat="false" ht="15" hidden="false" customHeight="true" outlineLevel="0" collapsed="false">
      <c r="A24" s="6" t="s">
        <v>66</v>
      </c>
    </row>
    <row r="25" customFormat="false" ht="15" hidden="false" customHeight="true" outlineLevel="0" collapsed="false">
      <c r="A25" s="4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6"/>
    <col collapsed="false" customWidth="true" hidden="false" outlineLevel="0" max="3" min="3" style="1" width="62"/>
  </cols>
  <sheetData>
    <row r="1" customFormat="false" ht="17.25" hidden="false" customHeight="true" outlineLevel="0" collapsed="false">
      <c r="A1" s="2" t="s">
        <v>68</v>
      </c>
    </row>
    <row r="2" customFormat="false" ht="15" hidden="false" customHeight="true" outlineLevel="0" collapsed="false">
      <c r="A2" s="3" t="s">
        <v>69</v>
      </c>
    </row>
    <row r="4" customFormat="false" ht="15" hidden="false" customHeight="true" outlineLevel="0" collapsed="false">
      <c r="A4" s="6" t="s">
        <v>70</v>
      </c>
    </row>
    <row r="5" customFormat="false" ht="15" hidden="false" customHeight="true" outlineLevel="0" collapsed="false">
      <c r="A5" s="4" t="s">
        <v>71</v>
      </c>
      <c r="B5" s="12" t="n">
        <v>180</v>
      </c>
      <c r="C5" s="3" t="s">
        <v>72</v>
      </c>
    </row>
    <row r="6" customFormat="false" ht="15" hidden="false" customHeight="true" outlineLevel="0" collapsed="false">
      <c r="A6" s="4" t="s">
        <v>73</v>
      </c>
      <c r="B6" s="12" t="n">
        <v>171.6</v>
      </c>
      <c r="C6" s="3" t="s">
        <v>74</v>
      </c>
    </row>
    <row r="7" customFormat="false" ht="15" hidden="false" customHeight="true" outlineLevel="0" collapsed="false">
      <c r="A7" s="4" t="s">
        <v>75</v>
      </c>
      <c r="B7" s="13" t="n">
        <v>34.5</v>
      </c>
    </row>
    <row r="8" customFormat="false" ht="15" hidden="false" customHeight="true" outlineLevel="0" collapsed="false">
      <c r="A8" s="4" t="s">
        <v>76</v>
      </c>
      <c r="B8" s="13" t="n">
        <v>1.72</v>
      </c>
    </row>
    <row r="10" customFormat="false" ht="15" hidden="false" customHeight="true" outlineLevel="0" collapsed="false">
      <c r="A10" s="6" t="s">
        <v>77</v>
      </c>
    </row>
    <row r="11" customFormat="false" ht="15" hidden="false" customHeight="true" outlineLevel="0" collapsed="false">
      <c r="A11" s="4" t="s">
        <v>78</v>
      </c>
      <c r="B11" s="14" t="n">
        <v>210</v>
      </c>
    </row>
    <row r="12" customFormat="false" ht="15" hidden="false" customHeight="true" outlineLevel="0" collapsed="false">
      <c r="A12" s="4" t="s">
        <v>79</v>
      </c>
      <c r="B12" s="14" t="n">
        <v>395</v>
      </c>
    </row>
    <row r="13" customFormat="false" ht="15" hidden="false" customHeight="true" outlineLevel="0" collapsed="false">
      <c r="A13" s="4" t="s">
        <v>80</v>
      </c>
      <c r="B13" s="14" t="n">
        <v>-85</v>
      </c>
    </row>
    <row r="14" customFormat="false" ht="15" hidden="false" customHeight="true" outlineLevel="0" collapsed="false">
      <c r="A14" s="4" t="s">
        <v>81</v>
      </c>
      <c r="B14" s="14" t="n">
        <v>12</v>
      </c>
    </row>
    <row r="15" customFormat="false" ht="15" hidden="false" customHeight="true" outlineLevel="0" collapsed="false">
      <c r="A15" s="4" t="s">
        <v>82</v>
      </c>
      <c r="B15" s="14" t="n">
        <v>-14</v>
      </c>
    </row>
    <row r="17" customFormat="false" ht="15" hidden="false" customHeight="true" outlineLevel="0" collapsed="false">
      <c r="A17" s="6" t="s">
        <v>83</v>
      </c>
    </row>
    <row r="18" customFormat="false" ht="15" hidden="false" customHeight="true" outlineLevel="0" collapsed="false">
      <c r="A18" s="4" t="s">
        <v>84</v>
      </c>
      <c r="B18" s="14" t="n">
        <v>-38</v>
      </c>
    </row>
    <row r="19" customFormat="false" ht="15" hidden="false" customHeight="true" outlineLevel="0" collapsed="false">
      <c r="A19" s="4" t="s">
        <v>85</v>
      </c>
      <c r="B19" s="14" t="n">
        <v>-6</v>
      </c>
    </row>
    <row r="20" customFormat="false" ht="15" hidden="false" customHeight="true" outlineLevel="0" collapsed="false">
      <c r="A20" s="4" t="s">
        <v>86</v>
      </c>
      <c r="B20" s="14" t="n">
        <v>-52</v>
      </c>
    </row>
    <row r="21" customFormat="false" ht="15" hidden="false" customHeight="true" outlineLevel="0" collapsed="false">
      <c r="A21" s="4" t="s">
        <v>87</v>
      </c>
      <c r="B21" s="14" t="n">
        <v>-46</v>
      </c>
    </row>
    <row r="22" customFormat="false" ht="15" hidden="false" customHeight="true" outlineLevel="0" collapsed="false">
      <c r="A22" s="4" t="s">
        <v>88</v>
      </c>
      <c r="B22" s="14" t="n">
        <v>5</v>
      </c>
    </row>
    <row r="24" customFormat="false" ht="15" hidden="false" customHeight="true" outlineLevel="0" collapsed="false">
      <c r="A24" s="6" t="s">
        <v>89</v>
      </c>
    </row>
    <row r="25" customFormat="false" ht="15" hidden="false" customHeight="true" outlineLevel="0" collapsed="false">
      <c r="A25" s="4" t="s">
        <v>90</v>
      </c>
      <c r="B25" s="15" t="n">
        <v>520</v>
      </c>
      <c r="C25" s="3" t="s">
        <v>91</v>
      </c>
    </row>
    <row r="26" customFormat="false" ht="15" hidden="false" customHeight="true" outlineLevel="0" collapsed="false">
      <c r="A26" s="4" t="s">
        <v>92</v>
      </c>
      <c r="B26" s="16" t="n">
        <v>0.0525</v>
      </c>
      <c r="C26" s="3" t="s">
        <v>91</v>
      </c>
    </row>
    <row r="27" customFormat="false" ht="15" hidden="false" customHeight="true" outlineLevel="0" collapsed="false">
      <c r="A27" s="4" t="s">
        <v>93</v>
      </c>
      <c r="B27" s="14" t="n">
        <v>42</v>
      </c>
    </row>
    <row r="28" customFormat="false" ht="15" hidden="false" customHeight="true" outlineLevel="0" collapsed="false">
      <c r="A28" s="4" t="s">
        <v>94</v>
      </c>
      <c r="B28" s="14" t="n">
        <v>98</v>
      </c>
    </row>
    <row r="29" customFormat="false" ht="15" hidden="false" customHeight="true" outlineLevel="0" collapsed="false">
      <c r="A29" s="4" t="s">
        <v>95</v>
      </c>
      <c r="B29" s="14" t="n">
        <v>2435</v>
      </c>
    </row>
    <row r="30" customFormat="false" ht="15" hidden="false" customHeight="true" outlineLevel="0" collapsed="false">
      <c r="A30" s="4" t="s">
        <v>96</v>
      </c>
      <c r="B30" s="14" t="n">
        <v>95</v>
      </c>
    </row>
    <row r="31" customFormat="false" ht="15" hidden="false" customHeight="true" outlineLevel="0" collapsed="false">
      <c r="A31" s="4" t="s">
        <v>97</v>
      </c>
      <c r="B31" s="14" t="n">
        <v>250</v>
      </c>
    </row>
    <row r="32" customFormat="false" ht="15" hidden="false" customHeight="true" outlineLevel="0" collapsed="false">
      <c r="A32" s="4" t="s">
        <v>98</v>
      </c>
      <c r="B32" s="14" t="n">
        <v>380</v>
      </c>
    </row>
    <row r="33" customFormat="false" ht="15" hidden="false" customHeight="true" outlineLevel="0" collapsed="false">
      <c r="A33" s="4" t="s">
        <v>99</v>
      </c>
      <c r="B33" s="14" t="n">
        <v>120</v>
      </c>
    </row>
    <row r="34" customFormat="false" ht="15" hidden="false" customHeight="true" outlineLevel="0" collapsed="false">
      <c r="A34" s="4" t="s">
        <v>100</v>
      </c>
      <c r="B34" s="14" t="n">
        <v>60</v>
      </c>
    </row>
    <row r="35" customFormat="false" ht="15" hidden="false" customHeight="true" outlineLevel="0" collapsed="false">
      <c r="A35" s="4" t="s">
        <v>101</v>
      </c>
      <c r="B35" s="14" t="n">
        <v>140</v>
      </c>
    </row>
    <row r="36" customFormat="false" ht="15" hidden="false" customHeight="false" outlineLevel="0" collapsed="false">
      <c r="A36" s="4" t="s">
        <v>102</v>
      </c>
      <c r="B36" s="14" t="n">
        <v>14</v>
      </c>
      <c r="C36" s="3" t="s">
        <v>103</v>
      </c>
    </row>
    <row r="37" customFormat="false" ht="15" hidden="false" customHeight="true" outlineLevel="0" collapsed="false">
      <c r="A37" s="6" t="s">
        <v>104</v>
      </c>
    </row>
    <row r="38" customFormat="false" ht="15" hidden="false" customHeight="true" outlineLevel="0" collapsed="false">
      <c r="A38" s="4" t="s">
        <v>105</v>
      </c>
      <c r="B38" s="17" t="n">
        <v>0.066</v>
      </c>
    </row>
    <row r="40" customFormat="false" ht="15" hidden="false" customHeight="true" outlineLevel="0" collapsed="false">
      <c r="A40" s="6" t="s">
        <v>106</v>
      </c>
    </row>
    <row r="41" customFormat="false" ht="15" hidden="false" customHeight="true" outlineLevel="0" collapsed="false">
      <c r="A41" s="4" t="s">
        <v>107</v>
      </c>
      <c r="B41" s="18" t="n">
        <v>0.968</v>
      </c>
    </row>
    <row r="42" customFormat="false" ht="15" hidden="false" customHeight="true" outlineLevel="0" collapsed="false">
      <c r="A42" s="4" t="s">
        <v>108</v>
      </c>
      <c r="B42" s="18" t="n">
        <v>0.054</v>
      </c>
    </row>
    <row r="43" customFormat="false" ht="15" hidden="false" customHeight="true" outlineLevel="0" collapsed="false">
      <c r="A43" s="4" t="s">
        <v>109</v>
      </c>
      <c r="B43" s="18" t="n">
        <v>0.22</v>
      </c>
    </row>
    <row r="44" customFormat="false" ht="15" hidden="false" customHeight="true" outlineLevel="0" collapsed="false">
      <c r="A44" s="4" t="s">
        <v>110</v>
      </c>
      <c r="B44" s="19" t="n">
        <v>4.8</v>
      </c>
    </row>
    <row r="45" customFormat="false" ht="15" hidden="false" customHeight="true" outlineLevel="0" collapsed="false">
      <c r="A45" s="4" t="s">
        <v>111</v>
      </c>
      <c r="B45" s="19" t="n">
        <v>6.2</v>
      </c>
    </row>
    <row r="46" customFormat="false" ht="15" hidden="false" customHeight="true" outlineLevel="0" collapsed="false">
      <c r="A46" s="4" t="s">
        <v>112</v>
      </c>
      <c r="B46" s="18" t="n">
        <v>0.88</v>
      </c>
    </row>
    <row r="48" customFormat="false" ht="15" hidden="false" customHeight="false" outlineLevel="0" collapsed="false">
      <c r="A48" s="6" t="s">
        <v>113</v>
      </c>
    </row>
    <row r="49" customFormat="false" ht="15" hidden="false" customHeight="false" outlineLevel="0" collapsed="false">
      <c r="A49" s="4" t="s">
        <v>114</v>
      </c>
      <c r="B49" s="19" t="n">
        <v>42</v>
      </c>
    </row>
    <row r="50" customFormat="false" ht="15" hidden="false" customHeight="false" outlineLevel="0" collapsed="false">
      <c r="A50" s="4" t="s">
        <v>115</v>
      </c>
      <c r="B50" s="20" t="n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6"/>
    <col collapsed="false" customWidth="true" hidden="false" outlineLevel="0" max="3" min="3" style="1" width="62"/>
  </cols>
  <sheetData>
    <row r="1" customFormat="false" ht="17.25" hidden="false" customHeight="true" outlineLevel="0" collapsed="false">
      <c r="A1" s="2" t="s">
        <v>116</v>
      </c>
    </row>
    <row r="2" customFormat="false" ht="15" hidden="false" customHeight="true" outlineLevel="0" collapsed="false">
      <c r="A2" s="3" t="s">
        <v>117</v>
      </c>
    </row>
    <row r="4" customFormat="false" ht="15" hidden="false" customHeight="true" outlineLevel="0" collapsed="false">
      <c r="A4" s="6" t="s">
        <v>118</v>
      </c>
    </row>
    <row r="5" customFormat="false" ht="15" hidden="false" customHeight="true" outlineLevel="0" collapsed="false">
      <c r="A5" s="4" t="s">
        <v>78</v>
      </c>
      <c r="B5" s="21" t="n">
        <f aca="false">Assumptions!$B$11</f>
        <v>210</v>
      </c>
    </row>
    <row r="6" customFormat="false" ht="15" hidden="false" customHeight="true" outlineLevel="0" collapsed="false">
      <c r="A6" s="4" t="s">
        <v>119</v>
      </c>
      <c r="B6" s="21" t="n">
        <f aca="false">Assumptions!$B$12</f>
        <v>395</v>
      </c>
    </row>
    <row r="7" customFormat="false" ht="15" hidden="false" customHeight="true" outlineLevel="0" collapsed="false">
      <c r="A7" s="4" t="s">
        <v>120</v>
      </c>
      <c r="B7" s="21" t="n">
        <f aca="false">Assumptions!$B$13</f>
        <v>-85</v>
      </c>
    </row>
    <row r="8" customFormat="false" ht="15" hidden="false" customHeight="true" outlineLevel="0" collapsed="false">
      <c r="A8" s="4" t="s">
        <v>121</v>
      </c>
      <c r="B8" s="21" t="n">
        <f aca="false">Assumptions!$B$14</f>
        <v>12</v>
      </c>
    </row>
    <row r="9" customFormat="false" ht="15" hidden="false" customHeight="true" outlineLevel="0" collapsed="false">
      <c r="A9" s="4" t="s">
        <v>122</v>
      </c>
      <c r="B9" s="22" t="n">
        <f aca="false">SUM(B5:B8)</f>
        <v>532</v>
      </c>
      <c r="C9" s="3" t="s">
        <v>123</v>
      </c>
    </row>
    <row r="10" customFormat="false" ht="15" hidden="false" customHeight="true" outlineLevel="0" collapsed="false">
      <c r="A10" s="4" t="s">
        <v>124</v>
      </c>
      <c r="B10" s="21" t="n">
        <f aca="false">Assumptions!$B$15</f>
        <v>-14</v>
      </c>
    </row>
    <row r="11" customFormat="false" ht="15" hidden="false" customHeight="true" outlineLevel="0" collapsed="false">
      <c r="A11" s="4" t="s">
        <v>125</v>
      </c>
      <c r="B11" s="22" t="n">
        <f aca="false">B9+B10</f>
        <v>518</v>
      </c>
      <c r="C11" s="3" t="s">
        <v>126</v>
      </c>
    </row>
    <row r="12" customFormat="false" ht="15" hidden="false" customHeight="true" outlineLevel="0" collapsed="false">
      <c r="A12" s="4" t="s">
        <v>127</v>
      </c>
      <c r="B12" s="23" t="n">
        <f aca="false">B11/Assumptions!$B$5</f>
        <v>2.87777777777778</v>
      </c>
      <c r="C12" s="3" t="s">
        <v>47</v>
      </c>
    </row>
    <row r="14" customFormat="false" ht="15" hidden="false" customHeight="true" outlineLevel="0" collapsed="false">
      <c r="A14" s="6" t="s">
        <v>128</v>
      </c>
    </row>
    <row r="15" customFormat="false" ht="15" hidden="false" customHeight="true" outlineLevel="0" collapsed="false">
      <c r="A15" s="4" t="s">
        <v>125</v>
      </c>
      <c r="B15" s="24" t="n">
        <f aca="false">B11</f>
        <v>518</v>
      </c>
    </row>
    <row r="16" customFormat="false" ht="15" hidden="false" customHeight="true" outlineLevel="0" collapsed="false">
      <c r="A16" s="4" t="s">
        <v>129</v>
      </c>
      <c r="B16" s="21" t="n">
        <f aca="false">Assumptions!$B$18</f>
        <v>-38</v>
      </c>
    </row>
    <row r="17" customFormat="false" ht="15" hidden="false" customHeight="true" outlineLevel="0" collapsed="false">
      <c r="A17" s="4" t="s">
        <v>130</v>
      </c>
      <c r="B17" s="21" t="n">
        <f aca="false">Assumptions!$B$19</f>
        <v>-6</v>
      </c>
    </row>
    <row r="18" customFormat="false" ht="15" hidden="false" customHeight="true" outlineLevel="0" collapsed="false">
      <c r="A18" s="4" t="s">
        <v>131</v>
      </c>
      <c r="B18" s="21" t="n">
        <f aca="false">Assumptions!$B$20</f>
        <v>-52</v>
      </c>
    </row>
    <row r="19" customFormat="false" ht="15" hidden="false" customHeight="true" outlineLevel="0" collapsed="false">
      <c r="A19" s="4" t="s">
        <v>132</v>
      </c>
      <c r="B19" s="21" t="n">
        <f aca="false">Assumptions!$B$21</f>
        <v>-46</v>
      </c>
    </row>
    <row r="20" customFormat="false" ht="15" hidden="false" customHeight="true" outlineLevel="0" collapsed="false">
      <c r="A20" s="4" t="s">
        <v>133</v>
      </c>
      <c r="B20" s="21" t="n">
        <f aca="false">Assumptions!$B$22</f>
        <v>5</v>
      </c>
    </row>
    <row r="21" customFormat="false" ht="15" hidden="false" customHeight="true" outlineLevel="0" collapsed="false">
      <c r="A21" s="4" t="s">
        <v>134</v>
      </c>
      <c r="B21" s="22" t="n">
        <f aca="false">SUM(B15:B20)</f>
        <v>381</v>
      </c>
      <c r="C21" s="3" t="s">
        <v>135</v>
      </c>
    </row>
    <row r="22" customFormat="false" ht="15" hidden="false" customHeight="true" outlineLevel="0" collapsed="false">
      <c r="A22" s="4" t="s">
        <v>127</v>
      </c>
      <c r="B22" s="23" t="n">
        <f aca="false">B21/Assumptions!$B$5</f>
        <v>2.11666666666667</v>
      </c>
      <c r="C22" s="3" t="s">
        <v>49</v>
      </c>
    </row>
    <row r="23" customFormat="false" ht="15" hidden="false" customHeight="true" outlineLevel="0" collapsed="false">
      <c r="A23" s="4" t="s">
        <v>136</v>
      </c>
      <c r="B23" s="25" t="n">
        <f aca="false">1-B21/B11</f>
        <v>0.264478764478765</v>
      </c>
      <c r="C23" s="3" t="s">
        <v>137</v>
      </c>
    </row>
    <row r="25" customFormat="false" ht="15" hidden="false" customHeight="true" outlineLevel="0" collapsed="false">
      <c r="A25" s="6" t="s">
        <v>138</v>
      </c>
    </row>
    <row r="26" customFormat="false" ht="15" hidden="false" customHeight="true" outlineLevel="0" collapsed="false">
      <c r="A26" s="4" t="s">
        <v>139</v>
      </c>
      <c r="B26" s="26" t="n">
        <f aca="false">Assumptions!$B$7/B12</f>
        <v>11.988416988417</v>
      </c>
      <c r="C26" s="3" t="s">
        <v>140</v>
      </c>
    </row>
    <row r="27" customFormat="false" ht="15" hidden="false" customHeight="true" outlineLevel="0" collapsed="false">
      <c r="A27" s="4" t="s">
        <v>50</v>
      </c>
      <c r="B27" s="26" t="n">
        <f aca="false">Assumptions!$B$7/B22</f>
        <v>16.2992125984252</v>
      </c>
      <c r="C27" s="3" t="s">
        <v>51</v>
      </c>
    </row>
    <row r="28" customFormat="false" ht="15" hidden="false" customHeight="true" outlineLevel="0" collapsed="false">
      <c r="A28" s="4" t="s">
        <v>141</v>
      </c>
      <c r="B28" s="27" t="n">
        <f aca="false">B27-B26</f>
        <v>4.31079561000821</v>
      </c>
      <c r="C28" s="3" t="s">
        <v>142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6"/>
    <col collapsed="false" customWidth="true" hidden="false" outlineLevel="0" max="3" min="3" style="1" width="62"/>
  </cols>
  <sheetData>
    <row r="1" customFormat="false" ht="17.25" hidden="false" customHeight="true" outlineLevel="0" collapsed="false">
      <c r="A1" s="2" t="s">
        <v>143</v>
      </c>
    </row>
    <row r="2" customFormat="false" ht="15" hidden="false" customHeight="true" outlineLevel="0" collapsed="false">
      <c r="A2" s="3" t="s">
        <v>144</v>
      </c>
    </row>
    <row r="4" customFormat="false" ht="15" hidden="false" customHeight="true" outlineLevel="0" collapsed="false">
      <c r="A4" s="6" t="s">
        <v>145</v>
      </c>
    </row>
    <row r="5" customFormat="false" ht="15" hidden="false" customHeight="true" outlineLevel="0" collapsed="false">
      <c r="A5" s="4" t="s">
        <v>90</v>
      </c>
      <c r="B5" s="21" t="n">
        <f aca="false">Assumptions!$B$25</f>
        <v>520</v>
      </c>
    </row>
    <row r="6" customFormat="false" ht="15" hidden="false" customHeight="true" outlineLevel="0" collapsed="false">
      <c r="A6" s="4" t="s">
        <v>92</v>
      </c>
      <c r="B6" s="10" t="n">
        <f aca="false">Assumptions!$B$26</f>
        <v>0.0525</v>
      </c>
    </row>
    <row r="7" customFormat="false" ht="15" hidden="false" customHeight="true" outlineLevel="0" collapsed="false">
      <c r="A7" s="4" t="s">
        <v>146</v>
      </c>
      <c r="B7" s="22" t="n">
        <f aca="false">B5/B6</f>
        <v>9904.76190476191</v>
      </c>
      <c r="C7" s="3" t="s">
        <v>147</v>
      </c>
    </row>
    <row r="8" customFormat="false" ht="15" hidden="false" customHeight="true" outlineLevel="0" collapsed="false">
      <c r="A8" s="4" t="s">
        <v>98</v>
      </c>
      <c r="B8" s="21" t="n">
        <f aca="false">Assumptions!$B$32</f>
        <v>380</v>
      </c>
    </row>
    <row r="9" customFormat="false" ht="15" hidden="false" customHeight="true" outlineLevel="0" collapsed="false">
      <c r="A9" s="4" t="s">
        <v>99</v>
      </c>
      <c r="B9" s="21" t="n">
        <f aca="false">Assumptions!$B$33</f>
        <v>120</v>
      </c>
    </row>
    <row r="10" customFormat="false" ht="15" hidden="false" customHeight="true" outlineLevel="0" collapsed="false">
      <c r="A10" s="4" t="s">
        <v>96</v>
      </c>
      <c r="B10" s="21" t="n">
        <f aca="false">Assumptions!$B$30</f>
        <v>95</v>
      </c>
    </row>
    <row r="11" customFormat="false" ht="15" hidden="false" customHeight="true" outlineLevel="0" collapsed="false">
      <c r="A11" s="4" t="s">
        <v>100</v>
      </c>
      <c r="B11" s="21" t="n">
        <f aca="false">Assumptions!$B$34</f>
        <v>60</v>
      </c>
    </row>
    <row r="12" customFormat="false" ht="15" hidden="false" customHeight="true" outlineLevel="0" collapsed="false">
      <c r="A12" s="4" t="s">
        <v>148</v>
      </c>
      <c r="B12" s="21" t="n">
        <f aca="false">-Assumptions!$B$29</f>
        <v>-2435</v>
      </c>
    </row>
    <row r="13" customFormat="false" ht="15" hidden="false" customHeight="true" outlineLevel="0" collapsed="false">
      <c r="A13" s="4" t="s">
        <v>97</v>
      </c>
      <c r="B13" s="21" t="n">
        <f aca="false">-Assumptions!$B$31</f>
        <v>-250</v>
      </c>
    </row>
    <row r="14" customFormat="false" ht="15" hidden="false" customHeight="true" outlineLevel="0" collapsed="false">
      <c r="A14" s="4" t="s">
        <v>101</v>
      </c>
      <c r="B14" s="21" t="n">
        <f aca="false">-Assumptions!$B$35</f>
        <v>-140</v>
      </c>
    </row>
    <row r="15" customFormat="false" ht="15" hidden="false" customHeight="true" outlineLevel="0" collapsed="false">
      <c r="A15" s="4" t="s">
        <v>149</v>
      </c>
      <c r="B15" s="22" t="n">
        <f aca="false">B7+SUM(B8:B14)</f>
        <v>7734.76190476191</v>
      </c>
      <c r="C15" s="3" t="s">
        <v>150</v>
      </c>
    </row>
    <row r="16" customFormat="false" ht="15" hidden="false" customHeight="true" outlineLevel="0" collapsed="false">
      <c r="A16" s="4" t="s">
        <v>127</v>
      </c>
      <c r="B16" s="23" t="n">
        <f aca="false">B15/Assumptions!$B$5</f>
        <v>42.9708994708995</v>
      </c>
      <c r="C16" s="3" t="s">
        <v>53</v>
      </c>
    </row>
    <row r="17" customFormat="false" ht="15" hidden="false" customHeight="true" outlineLevel="0" collapsed="false">
      <c r="A17" s="4" t="s">
        <v>151</v>
      </c>
      <c r="B17" s="25" t="n">
        <f aca="false">1-Assumptions!$B$7/B16</f>
        <v>0.197131071846334</v>
      </c>
      <c r="C17" s="3" t="s">
        <v>55</v>
      </c>
    </row>
    <row r="19" customFormat="false" ht="15" hidden="false" customHeight="true" outlineLevel="0" collapsed="false">
      <c r="A19" s="6" t="s">
        <v>152</v>
      </c>
    </row>
    <row r="20" customFormat="false" ht="15" hidden="false" customHeight="true" outlineLevel="0" collapsed="false">
      <c r="A20" s="4" t="s">
        <v>153</v>
      </c>
      <c r="B20" s="24" t="n">
        <f aca="false">Assumptions!$B$5*Assumptions!$B$7</f>
        <v>6210</v>
      </c>
      <c r="C20" s="3" t="s">
        <v>154</v>
      </c>
    </row>
    <row r="21" customFormat="false" ht="15" hidden="false" customHeight="true" outlineLevel="0" collapsed="false">
      <c r="A21" s="4" t="s">
        <v>155</v>
      </c>
      <c r="B21" s="21" t="n">
        <f aca="false">Assumptions!$B$29</f>
        <v>2435</v>
      </c>
    </row>
    <row r="22" customFormat="false" ht="15" hidden="false" customHeight="true" outlineLevel="0" collapsed="false">
      <c r="A22" s="4" t="s">
        <v>156</v>
      </c>
      <c r="B22" s="21" t="n">
        <f aca="false">Assumptions!$B$31</f>
        <v>250</v>
      </c>
    </row>
    <row r="23" customFormat="false" ht="15" hidden="false" customHeight="true" outlineLevel="0" collapsed="false">
      <c r="A23" s="4" t="s">
        <v>157</v>
      </c>
      <c r="B23" s="21" t="n">
        <f aca="false">Assumptions!$B$35</f>
        <v>140</v>
      </c>
    </row>
    <row r="24" customFormat="false" ht="15" hidden="false" customHeight="true" outlineLevel="0" collapsed="false">
      <c r="A24" s="4" t="s">
        <v>158</v>
      </c>
      <c r="B24" s="21" t="n">
        <f aca="false">-Assumptions!$B$30</f>
        <v>-95</v>
      </c>
    </row>
    <row r="25" customFormat="false" ht="15" hidden="false" customHeight="true" outlineLevel="0" collapsed="false">
      <c r="A25" s="4" t="s">
        <v>159</v>
      </c>
      <c r="B25" s="21" t="n">
        <f aca="false">-Assumptions!$B$34</f>
        <v>-60</v>
      </c>
    </row>
    <row r="26" customFormat="false" ht="15" hidden="false" customHeight="true" outlineLevel="0" collapsed="false">
      <c r="A26" s="4" t="s">
        <v>160</v>
      </c>
      <c r="B26" s="21" t="n">
        <f aca="false">-Assumptions!$B$32</f>
        <v>-380</v>
      </c>
    </row>
    <row r="27" customFormat="false" ht="15" hidden="false" customHeight="true" outlineLevel="0" collapsed="false">
      <c r="A27" s="4" t="s">
        <v>161</v>
      </c>
      <c r="B27" s="21" t="n">
        <f aca="false">-Assumptions!$B$33</f>
        <v>-120</v>
      </c>
    </row>
    <row r="28" customFormat="false" ht="15" hidden="false" customHeight="true" outlineLevel="0" collapsed="false">
      <c r="A28" s="4" t="s">
        <v>162</v>
      </c>
      <c r="B28" s="22" t="n">
        <f aca="false">B20+SUM(B21:B27)</f>
        <v>8380</v>
      </c>
      <c r="C28" s="3" t="s">
        <v>163</v>
      </c>
    </row>
    <row r="29" customFormat="false" ht="15" hidden="false" customHeight="true" outlineLevel="0" collapsed="false">
      <c r="A29" s="4" t="s">
        <v>56</v>
      </c>
      <c r="B29" s="28" t="n">
        <f aca="false">Assumptions!$B$25/B28</f>
        <v>0.0620525059665871</v>
      </c>
      <c r="C29" s="3" t="s">
        <v>57</v>
      </c>
    </row>
    <row r="30" customFormat="false" ht="15" hidden="false" customHeight="true" outlineLevel="0" collapsed="false">
      <c r="A30" s="4" t="s">
        <v>164</v>
      </c>
      <c r="B30" s="29" t="n">
        <f aca="false">(B29-Assumptions!$B$26)*10000</f>
        <v>95.5250596658711</v>
      </c>
      <c r="C30" s="3" t="s">
        <v>165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6"/>
    <col collapsed="false" customWidth="true" hidden="false" outlineLevel="0" max="3" min="3" style="1" width="62"/>
  </cols>
  <sheetData>
    <row r="1" customFormat="false" ht="17.25" hidden="false" customHeight="true" outlineLevel="0" collapsed="false">
      <c r="A1" s="2" t="s">
        <v>166</v>
      </c>
    </row>
    <row r="2" customFormat="false" ht="15" hidden="false" customHeight="true" outlineLevel="0" collapsed="false">
      <c r="A2" s="3" t="s">
        <v>167</v>
      </c>
    </row>
    <row r="4" customFormat="false" ht="15" hidden="false" customHeight="true" outlineLevel="0" collapsed="false">
      <c r="A4" s="6" t="s">
        <v>168</v>
      </c>
    </row>
    <row r="5" customFormat="false" ht="15" hidden="false" customHeight="true" outlineLevel="0" collapsed="false">
      <c r="A5" s="4" t="s">
        <v>169</v>
      </c>
      <c r="B5" s="24" t="n">
        <f aca="false">Assumptions!$B$29-Assumptions!$B$30</f>
        <v>2340</v>
      </c>
      <c r="C5" s="3" t="s">
        <v>170</v>
      </c>
    </row>
    <row r="6" customFormat="false" ht="15" hidden="false" customHeight="true" outlineLevel="0" collapsed="false">
      <c r="A6" s="4" t="s">
        <v>171</v>
      </c>
      <c r="B6" s="24" t="n">
        <f aca="false">Assumptions!$B$25-Assumptions!$B$27+Assumptions!$B$36</f>
        <v>492</v>
      </c>
      <c r="C6" s="3" t="s">
        <v>172</v>
      </c>
    </row>
    <row r="7" customFormat="false" ht="15" hidden="false" customHeight="true" outlineLevel="0" collapsed="false">
      <c r="A7" s="4" t="s">
        <v>60</v>
      </c>
      <c r="B7" s="26" t="n">
        <f aca="false">B5/B6</f>
        <v>4.75609756097561</v>
      </c>
      <c r="C7" s="3" t="s">
        <v>61</v>
      </c>
    </row>
    <row r="8" customFormat="false" ht="15" hidden="false" customHeight="true" outlineLevel="0" collapsed="false">
      <c r="A8" s="4" t="s">
        <v>173</v>
      </c>
      <c r="B8" s="24" t="n">
        <f aca="false">NAV!$B$7+Assumptions!$B$32+Assumptions!$B$33</f>
        <v>10404.7619047619</v>
      </c>
      <c r="C8" s="3" t="s">
        <v>174</v>
      </c>
    </row>
    <row r="9" customFormat="false" ht="15" hidden="false" customHeight="true" outlineLevel="0" collapsed="false">
      <c r="A9" s="4" t="s">
        <v>175</v>
      </c>
      <c r="B9" s="25" t="n">
        <f aca="false">B5/B8</f>
        <v>0.224897025171625</v>
      </c>
      <c r="C9" s="3" t="s">
        <v>176</v>
      </c>
    </row>
    <row r="10" customFormat="false" ht="15" hidden="false" customHeight="true" outlineLevel="0" collapsed="false">
      <c r="A10" s="4" t="s">
        <v>177</v>
      </c>
      <c r="B10" s="24" t="n">
        <f aca="false">Assumptions!$B$5*Assumptions!$B$7+Assumptions!$B$29+Assumptions!$B$31-Assumptions!$B$30</f>
        <v>8800</v>
      </c>
      <c r="C10" s="3" t="s">
        <v>178</v>
      </c>
    </row>
    <row r="11" customFormat="false" ht="15" hidden="false" customHeight="true" outlineLevel="0" collapsed="false">
      <c r="A11" s="4" t="s">
        <v>179</v>
      </c>
      <c r="B11" s="25" t="n">
        <f aca="false">B5/B10</f>
        <v>0.265909090909091</v>
      </c>
      <c r="C11" s="3" t="s">
        <v>180</v>
      </c>
    </row>
    <row r="12" customFormat="false" ht="15" hidden="false" customHeight="true" outlineLevel="0" collapsed="false">
      <c r="A12" s="4" t="s">
        <v>181</v>
      </c>
      <c r="B12" s="26" t="n">
        <f aca="false">B6/Assumptions!$B$28</f>
        <v>5.02040816326531</v>
      </c>
      <c r="C12" s="3" t="s">
        <v>182</v>
      </c>
    </row>
    <row r="14" customFormat="false" ht="15" hidden="false" customHeight="true" outlineLevel="0" collapsed="false">
      <c r="A14" s="4" t="s">
        <v>183</v>
      </c>
      <c r="B14" s="30" t="n">
        <f aca="false">Assumptions!$B$27/Assumptions!$B$25</f>
        <v>0.0807692307692308</v>
      </c>
      <c r="C14" s="3" t="s">
        <v>184</v>
      </c>
    </row>
    <row r="15" customFormat="false" ht="15" hidden="false" customHeight="true" outlineLevel="0" collapsed="false">
      <c r="A15" s="4" t="s">
        <v>185</v>
      </c>
      <c r="B15" s="24" t="n">
        <f aca="false">Assumptions!$B$27/Assumptions!$B$26</f>
        <v>800</v>
      </c>
      <c r="C15" s="3" t="s">
        <v>186</v>
      </c>
    </row>
    <row r="16" customFormat="false" ht="15" hidden="false" customHeight="true" outlineLevel="0" collapsed="false">
      <c r="A16" s="4" t="s">
        <v>127</v>
      </c>
      <c r="B16" s="23" t="n">
        <f aca="false">B15/Assumptions!$B$5</f>
        <v>4.44444444444445</v>
      </c>
      <c r="C16" s="3" t="s">
        <v>187</v>
      </c>
    </row>
    <row r="18" customFormat="false" ht="15" hidden="false" customHeight="true" outlineLevel="0" collapsed="false">
      <c r="A18" s="6" t="s">
        <v>188</v>
      </c>
    </row>
    <row r="19" customFormat="false" ht="15" hidden="false" customHeight="true" outlineLevel="0" collapsed="false">
      <c r="A19" s="4" t="s">
        <v>189</v>
      </c>
      <c r="B19" s="28" t="n">
        <f aca="false">Assumptions!$B$8/Assumptions!$B$7</f>
        <v>0.0498550724637681</v>
      </c>
      <c r="C19" s="3" t="s">
        <v>190</v>
      </c>
    </row>
    <row r="20" customFormat="false" ht="15" hidden="false" customHeight="true" outlineLevel="0" collapsed="false">
      <c r="A20" s="4" t="s">
        <v>191</v>
      </c>
      <c r="B20" s="25" t="n">
        <f aca="false">Assumptions!$B$8/'FFO and AFFO'!$B$12</f>
        <v>0.597683397683398</v>
      </c>
      <c r="C20" s="3" t="s">
        <v>192</v>
      </c>
    </row>
    <row r="21" customFormat="false" ht="15" hidden="false" customHeight="true" outlineLevel="0" collapsed="false">
      <c r="A21" s="4" t="s">
        <v>62</v>
      </c>
      <c r="B21" s="25" t="n">
        <f aca="false">Assumptions!$B$8/'FFO and AFFO'!$B$22</f>
        <v>0.81259842519685</v>
      </c>
      <c r="C21" s="3" t="s">
        <v>193</v>
      </c>
    </row>
    <row r="22" customFormat="false" ht="15" hidden="false" customHeight="true" outlineLevel="0" collapsed="false">
      <c r="A22" s="4" t="s">
        <v>194</v>
      </c>
      <c r="B22" s="23" t="n">
        <f aca="false">'FFO and AFFO'!$B$22-Assumptions!$B$8</f>
        <v>0.396666666666667</v>
      </c>
      <c r="C22" s="3" t="s">
        <v>195</v>
      </c>
    </row>
    <row r="23" customFormat="false" ht="15" hidden="false" customHeight="true" outlineLevel="0" collapsed="false">
      <c r="A23" s="4" t="s">
        <v>196</v>
      </c>
      <c r="B23" s="22" t="n">
        <f aca="false">B22*Assumptions!$B$5</f>
        <v>71.4</v>
      </c>
      <c r="C23" s="3" t="s">
        <v>197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6"/>
    <col collapsed="false" customWidth="true" hidden="false" outlineLevel="0" max="3" min="3" style="1" width="62"/>
  </cols>
  <sheetData>
    <row r="1" customFormat="false" ht="17.25" hidden="false" customHeight="true" outlineLevel="0" collapsed="false">
      <c r="A1" s="2" t="s">
        <v>198</v>
      </c>
    </row>
    <row r="2" customFormat="false" ht="15" hidden="false" customHeight="true" outlineLevel="0" collapsed="false">
      <c r="A2" s="3" t="s">
        <v>199</v>
      </c>
    </row>
    <row r="4" customFormat="false" ht="15" hidden="false" customHeight="true" outlineLevel="0" collapsed="false">
      <c r="A4" s="6" t="s">
        <v>200</v>
      </c>
    </row>
    <row r="5" customFormat="false" ht="15" hidden="false" customHeight="true" outlineLevel="0" collapsed="false">
      <c r="A5" s="4" t="s">
        <v>201</v>
      </c>
      <c r="B5" s="28" t="n">
        <f aca="false">'FFO and AFFO'!$B$22/Assumptions!$B$7</f>
        <v>0.0613526570048309</v>
      </c>
      <c r="C5" s="3" t="s">
        <v>202</v>
      </c>
    </row>
    <row r="6" customFormat="false" ht="15" hidden="false" customHeight="true" outlineLevel="0" collapsed="false">
      <c r="A6" s="4" t="s">
        <v>203</v>
      </c>
      <c r="B6" s="10" t="n">
        <f aca="false">Assumptions!$B$26</f>
        <v>0.0525</v>
      </c>
    </row>
    <row r="7" customFormat="false" ht="15" hidden="false" customHeight="true" outlineLevel="0" collapsed="false">
      <c r="A7" s="4" t="s">
        <v>204</v>
      </c>
      <c r="B7" s="29" t="n">
        <f aca="false">(Assumptions!$B$26-B5)*10000</f>
        <v>-88.5265700483092</v>
      </c>
      <c r="C7" s="3" t="s">
        <v>205</v>
      </c>
    </row>
    <row r="9" customFormat="false" ht="15" hidden="false" customHeight="true" outlineLevel="0" collapsed="false">
      <c r="A9" s="6" t="s">
        <v>206</v>
      </c>
    </row>
    <row r="10" customFormat="false" ht="15" hidden="false" customHeight="true" outlineLevel="0" collapsed="false">
      <c r="A10" s="4" t="s">
        <v>207</v>
      </c>
      <c r="B10" s="21" t="n">
        <f aca="false">Assumptions!$B$32</f>
        <v>380</v>
      </c>
    </row>
    <row r="11" customFormat="false" ht="15" hidden="false" customHeight="true" outlineLevel="0" collapsed="false">
      <c r="A11" s="4" t="s">
        <v>208</v>
      </c>
      <c r="B11" s="24" t="n">
        <f aca="false">Assumptions!$B$32*Assumptions!$B$38</f>
        <v>25.08</v>
      </c>
      <c r="C11" s="3" t="s">
        <v>209</v>
      </c>
    </row>
    <row r="12" customFormat="false" ht="15" hidden="false" customHeight="true" outlineLevel="0" collapsed="false">
      <c r="A12" s="4" t="s">
        <v>210</v>
      </c>
      <c r="B12" s="24" t="n">
        <f aca="false">B11/Assumptions!$B$26</f>
        <v>477.714285714286</v>
      </c>
      <c r="C12" s="3" t="s">
        <v>211</v>
      </c>
    </row>
    <row r="13" customFormat="false" ht="15" hidden="false" customHeight="true" outlineLevel="0" collapsed="false">
      <c r="A13" s="4" t="s">
        <v>212</v>
      </c>
      <c r="B13" s="22" t="n">
        <f aca="false">B12-Assumptions!$B$32</f>
        <v>97.7142857142858</v>
      </c>
      <c r="C13" s="3" t="s">
        <v>213</v>
      </c>
    </row>
    <row r="14" customFormat="false" ht="15" hidden="false" customHeight="true" outlineLevel="0" collapsed="false">
      <c r="A14" s="4" t="s">
        <v>127</v>
      </c>
      <c r="B14" s="23" t="n">
        <f aca="false">B13/Assumptions!$B$5</f>
        <v>0.542857142857143</v>
      </c>
      <c r="C14" s="3" t="s">
        <v>214</v>
      </c>
    </row>
    <row r="15" customFormat="false" ht="15" hidden="false" customHeight="true" outlineLevel="0" collapsed="false">
      <c r="A15" s="4" t="s">
        <v>215</v>
      </c>
      <c r="B15" s="30" t="n">
        <f aca="false">B13/NAV!$B$15</f>
        <v>0.0126331342732254</v>
      </c>
      <c r="C15" s="3" t="s">
        <v>216</v>
      </c>
    </row>
    <row r="16" customFormat="false" ht="15" hidden="false" customHeight="true" outlineLevel="0" collapsed="false">
      <c r="A16" s="4" t="s">
        <v>217</v>
      </c>
      <c r="B16" s="29" t="n">
        <f aca="false">(Assumptions!$B$38-Assumptions!$B$26)*10000</f>
        <v>135</v>
      </c>
      <c r="C16" s="3" t="s">
        <v>218</v>
      </c>
    </row>
    <row r="17" customFormat="false" ht="15" hidden="false" customHeight="true" outlineLevel="0" collapsed="false">
      <c r="A17" s="4" t="s">
        <v>219</v>
      </c>
      <c r="B17" s="31" t="n">
        <f aca="false">Assumptions!$B$38</f>
        <v>0.066</v>
      </c>
      <c r="C17" s="3" t="s">
        <v>220</v>
      </c>
    </row>
    <row r="19" customFormat="false" ht="15" hidden="false" customHeight="true" outlineLevel="0" collapsed="false">
      <c r="A19" s="6" t="s">
        <v>221</v>
      </c>
    </row>
    <row r="20" customFormat="false" ht="15" hidden="false" customHeight="true" outlineLevel="0" collapsed="false">
      <c r="A20" s="4" t="s">
        <v>189</v>
      </c>
      <c r="B20" s="10" t="n">
        <f aca="false">'Balance Sheet'!$B$19</f>
        <v>0.0498550724637681</v>
      </c>
    </row>
    <row r="21" customFormat="false" ht="15" hidden="false" customHeight="true" outlineLevel="0" collapsed="false">
      <c r="A21" s="4" t="s">
        <v>222</v>
      </c>
      <c r="B21" s="18" t="n">
        <v>0.04</v>
      </c>
      <c r="C21" s="3" t="s">
        <v>223</v>
      </c>
    </row>
    <row r="22" customFormat="false" ht="15" hidden="false" customHeight="true" outlineLevel="0" collapsed="false">
      <c r="A22" s="4" t="s">
        <v>224</v>
      </c>
      <c r="B22" s="25" t="n">
        <f aca="false">'Balance Sheet'!$B$19+B21</f>
        <v>0.0898550724637681</v>
      </c>
      <c r="C22" s="3" t="s">
        <v>225</v>
      </c>
    </row>
    <row r="24" customFormat="false" ht="15" hidden="false" customHeight="true" outlineLevel="0" collapsed="false">
      <c r="A24" s="4" t="s">
        <v>226</v>
      </c>
      <c r="B24" s="30" t="n">
        <f aca="false">((1-NAV!$B$17/2)/(1-NAV!$B$17))^(1/3)-1</f>
        <v>0.0393532279737576</v>
      </c>
      <c r="C24" s="3" t="s">
        <v>227</v>
      </c>
    </row>
    <row r="25" customFormat="false" ht="15" hidden="false" customHeight="true" outlineLevel="0" collapsed="false">
      <c r="A25" s="4" t="s">
        <v>228</v>
      </c>
      <c r="B25" s="25" t="n">
        <f aca="false">B22+B24</f>
        <v>0.129208300437526</v>
      </c>
      <c r="C25" s="3" t="s">
        <v>229</v>
      </c>
    </row>
    <row r="27" customFormat="false" ht="15" hidden="false" customHeight="false" outlineLevel="0" collapsed="false">
      <c r="A27" s="6" t="s">
        <v>230</v>
      </c>
    </row>
    <row r="28" customFormat="false" ht="15" hidden="false" customHeight="false" outlineLevel="0" collapsed="false">
      <c r="A28" s="4" t="s">
        <v>231</v>
      </c>
      <c r="B28" s="32" t="n">
        <f aca="false">(Assumptions!$B$38-Assumptions!$B$26)*10000</f>
        <v>135</v>
      </c>
      <c r="C28" s="3" t="s">
        <v>232</v>
      </c>
    </row>
    <row r="29" customFormat="false" ht="15" hidden="false" customHeight="false" outlineLevel="0" collapsed="false">
      <c r="A29" s="4" t="s">
        <v>233</v>
      </c>
      <c r="B29" s="33" t="n">
        <f aca="false">B11/NAV!$B$29-Assumptions!$B$32</f>
        <v>24.1738461538462</v>
      </c>
      <c r="C29" s="3" t="s">
        <v>234</v>
      </c>
    </row>
    <row r="30" customFormat="false" ht="15" hidden="false" customHeight="false" outlineLevel="0" collapsed="false">
      <c r="A30" s="4" t="s">
        <v>235</v>
      </c>
      <c r="B30" s="34" t="n">
        <f aca="false">(Assumptions!$B$25/NAV!$B$29+NAV!$B$15-NAV!$B$7)/Assumptions!$B$5</f>
        <v>34.5</v>
      </c>
      <c r="C30" s="3" t="s">
        <v>236</v>
      </c>
    </row>
    <row r="31" customFormat="false" ht="15" hidden="false" customHeight="false" outlineLevel="0" collapsed="false">
      <c r="A31" s="4" t="s">
        <v>237</v>
      </c>
      <c r="B31" s="32" t="n">
        <f aca="false">((Assumptions!$B$25-Assumptions!$B$27)/NAV!$B$28-Assumptions!$B$26)*10000</f>
        <v>45.4057279236277</v>
      </c>
      <c r="C31" s="3" t="s">
        <v>238</v>
      </c>
    </row>
    <row r="32" customFormat="false" ht="15" hidden="false" customHeight="false" outlineLevel="0" collapsed="false">
      <c r="A32" s="4" t="s">
        <v>239</v>
      </c>
      <c r="B32" s="32" t="n">
        <f aca="false">(Assumptions!$B$25/(NAV!$B$28+'Balance Sheet'!$B$15)-Assumptions!$B$26)*10000</f>
        <v>41.4488017429194</v>
      </c>
      <c r="C32" s="3" t="s">
        <v>240</v>
      </c>
    </row>
    <row r="33" customFormat="false" ht="15" hidden="false" customHeight="false" outlineLevel="0" collapsed="false">
      <c r="A33" s="4" t="s">
        <v>241</v>
      </c>
      <c r="B33" s="25" t="n">
        <f aca="false">'Balance Sheet'!$B$15/(NAV!$B$7-NAV!$B$28)</f>
        <v>0.524672079950031</v>
      </c>
      <c r="C33" s="3" t="s">
        <v>242</v>
      </c>
    </row>
    <row r="35" customFormat="false" ht="15" hidden="false" customHeight="false" outlineLevel="0" collapsed="false">
      <c r="A35" s="6" t="s">
        <v>243</v>
      </c>
    </row>
    <row r="36" customFormat="false" ht="15" hidden="false" customHeight="false" outlineLevel="0" collapsed="false">
      <c r="A36" s="4" t="s">
        <v>244</v>
      </c>
      <c r="B36" s="35" t="n">
        <f aca="false">Assumptions!$B$49/Assumptions!$B$44</f>
        <v>8.75</v>
      </c>
      <c r="C36" s="3" t="s">
        <v>245</v>
      </c>
    </row>
    <row r="37" customFormat="false" ht="15" hidden="false" customHeight="false" outlineLevel="0" collapsed="false">
      <c r="A37" s="4" t="s">
        <v>246</v>
      </c>
      <c r="B37" s="33" t="n">
        <f aca="false">B36*Assumptions!$B$50</f>
        <v>35</v>
      </c>
      <c r="C37" s="3" t="s">
        <v>247</v>
      </c>
    </row>
    <row r="38" customFormat="false" ht="15" hidden="false" customHeight="false" outlineLevel="0" collapsed="false">
      <c r="A38" s="4" t="s">
        <v>248</v>
      </c>
      <c r="B38" s="33" t="n">
        <f aca="false">-Assumptions!$B$21</f>
        <v>46</v>
      </c>
      <c r="C38" s="3"/>
    </row>
    <row r="39" customFormat="false" ht="15" hidden="false" customHeight="false" outlineLevel="0" collapsed="false">
      <c r="A39" s="4" t="s">
        <v>249</v>
      </c>
      <c r="B39" s="33" t="n">
        <f aca="false">B38-B37</f>
        <v>11</v>
      </c>
      <c r="C39" s="3" t="s">
        <v>250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4" min="2" style="1" width="18"/>
    <col collapsed="false" customWidth="true" hidden="false" outlineLevel="0" max="5" min="5" style="1" width="20"/>
    <col collapsed="false" customWidth="true" hidden="false" outlineLevel="0" max="6" min="6" style="1" width="30"/>
  </cols>
  <sheetData>
    <row r="1" customFormat="false" ht="17.25" hidden="false" customHeight="true" outlineLevel="0" collapsed="false">
      <c r="A1" s="2" t="s">
        <v>251</v>
      </c>
    </row>
    <row r="2" customFormat="false" ht="15" hidden="false" customHeight="true" outlineLevel="0" collapsed="false">
      <c r="A2" s="3" t="s">
        <v>252</v>
      </c>
    </row>
    <row r="4" customFormat="false" ht="15" hidden="false" customHeight="true" outlineLevel="0" collapsed="false">
      <c r="A4" s="36" t="s">
        <v>92</v>
      </c>
      <c r="B4" s="36" t="s">
        <v>253</v>
      </c>
      <c r="C4" s="36" t="s">
        <v>149</v>
      </c>
      <c r="D4" s="36" t="s">
        <v>127</v>
      </c>
      <c r="E4" s="36" t="s">
        <v>254</v>
      </c>
      <c r="F4" s="36" t="s">
        <v>255</v>
      </c>
    </row>
    <row r="5" customFormat="false" ht="15" hidden="false" customHeight="true" outlineLevel="0" collapsed="false">
      <c r="A5" s="37" t="n">
        <v>0.0475</v>
      </c>
      <c r="B5" s="38" t="n">
        <f aca="false">Assumptions!$B$25/A5</f>
        <v>10947.3684210526</v>
      </c>
      <c r="C5" s="38" t="n">
        <f aca="false">B5+Assumptions!$B$32+Assumptions!$B$33+Assumptions!$B$30+Assumptions!$B$34-Assumptions!$B$29-Assumptions!$B$31-Assumptions!$B$35</f>
        <v>8777.36842105263</v>
      </c>
      <c r="D5" s="39" t="n">
        <f aca="false">C5/Assumptions!$B$5</f>
        <v>48.7631578947368</v>
      </c>
      <c r="E5" s="40" t="n">
        <f aca="false">1-Assumptions!$B$7/D5</f>
        <v>0.292498650836481</v>
      </c>
      <c r="F5" s="41"/>
    </row>
    <row r="6" customFormat="false" ht="15" hidden="false" customHeight="true" outlineLevel="0" collapsed="false">
      <c r="A6" s="37" t="n">
        <v>0.05</v>
      </c>
      <c r="B6" s="38" t="n">
        <f aca="false">Assumptions!$B$25/A6</f>
        <v>10400</v>
      </c>
      <c r="C6" s="38" t="n">
        <f aca="false">B6+Assumptions!$B$32+Assumptions!$B$33+Assumptions!$B$30+Assumptions!$B$34-Assumptions!$B$29-Assumptions!$B$31-Assumptions!$B$35</f>
        <v>8230</v>
      </c>
      <c r="D6" s="39" t="n">
        <f aca="false">C6/Assumptions!$B$5</f>
        <v>45.7222222222222</v>
      </c>
      <c r="E6" s="40" t="n">
        <f aca="false">1-Assumptions!$B$7/D6</f>
        <v>0.245443499392467</v>
      </c>
      <c r="F6" s="42" t="n">
        <v>45.86</v>
      </c>
    </row>
    <row r="7" customFormat="false" ht="15" hidden="false" customHeight="true" outlineLevel="0" collapsed="false">
      <c r="A7" s="37" t="n">
        <v>0.0525</v>
      </c>
      <c r="B7" s="38" t="n">
        <f aca="false">Assumptions!$B$25/A7</f>
        <v>9904.76190476191</v>
      </c>
      <c r="C7" s="38" t="n">
        <f aca="false">B7+Assumptions!$B$32+Assumptions!$B$33+Assumptions!$B$30+Assumptions!$B$34-Assumptions!$B$29-Assumptions!$B$31-Assumptions!$B$35</f>
        <v>7734.76190476191</v>
      </c>
      <c r="D7" s="39" t="n">
        <f aca="false">C7/Assumptions!$B$5</f>
        <v>42.9708994708995</v>
      </c>
      <c r="E7" s="40" t="n">
        <f aca="false">1-Assumptions!$B$7/D7</f>
        <v>0.197131071846334</v>
      </c>
      <c r="F7" s="42" t="n">
        <v>42.97</v>
      </c>
    </row>
    <row r="8" customFormat="false" ht="15" hidden="false" customHeight="true" outlineLevel="0" collapsed="false">
      <c r="A8" s="37" t="n">
        <v>0.055</v>
      </c>
      <c r="B8" s="38" t="n">
        <f aca="false">Assumptions!$B$25/A8</f>
        <v>9454.54545454545</v>
      </c>
      <c r="C8" s="38" t="n">
        <f aca="false">B8+Assumptions!$B$32+Assumptions!$B$33+Assumptions!$B$30+Assumptions!$B$34-Assumptions!$B$29-Assumptions!$B$31-Assumptions!$B$35</f>
        <v>7284.54545454545</v>
      </c>
      <c r="D8" s="39" t="n">
        <f aca="false">C8/Assumptions!$B$5</f>
        <v>40.469696969697</v>
      </c>
      <c r="E8" s="40" t="n">
        <f aca="false">1-Assumptions!$B$7/D8</f>
        <v>0.147510295769375</v>
      </c>
      <c r="F8" s="42" t="n">
        <v>40.36</v>
      </c>
    </row>
    <row r="9" customFormat="false" ht="15" hidden="false" customHeight="true" outlineLevel="0" collapsed="false">
      <c r="A9" s="37" t="n">
        <v>0.0575</v>
      </c>
      <c r="B9" s="38" t="n">
        <f aca="false">Assumptions!$B$25/A9</f>
        <v>9043.47826086956</v>
      </c>
      <c r="C9" s="38" t="n">
        <f aca="false">B9+Assumptions!$B$32+Assumptions!$B$33+Assumptions!$B$30+Assumptions!$B$34-Assumptions!$B$29-Assumptions!$B$31-Assumptions!$B$35</f>
        <v>6873.47826086956</v>
      </c>
      <c r="D9" s="39" t="n">
        <f aca="false">C9/Assumptions!$B$5</f>
        <v>38.1859903381642</v>
      </c>
      <c r="E9" s="40" t="n">
        <f aca="false">1-Assumptions!$B$7/D9</f>
        <v>0.0965272945790371</v>
      </c>
      <c r="F9" s="41"/>
    </row>
    <row r="11" customFormat="false" ht="15" hidden="false" customHeight="true" outlineLevel="0" collapsed="false">
      <c r="A11" s="6" t="s">
        <v>256</v>
      </c>
    </row>
    <row r="12" customFormat="false" ht="15" hidden="false" customHeight="true" outlineLevel="0" collapsed="false">
      <c r="A12" s="4" t="s">
        <v>257</v>
      </c>
      <c r="B12" s="23" t="n">
        <f aca="false">D6-F6</f>
        <v>-0.137777777777778</v>
      </c>
      <c r="C12" s="43" t="n">
        <f aca="false">ABS(D6/F6-1)</f>
        <v>0.00300431264234147</v>
      </c>
      <c r="D12" s="3" t="s">
        <v>258</v>
      </c>
    </row>
    <row r="13" customFormat="false" ht="15" hidden="false" customHeight="true" outlineLevel="0" collapsed="false">
      <c r="A13" s="4" t="s">
        <v>259</v>
      </c>
      <c r="B13" s="23" t="n">
        <f aca="false">D8-F8</f>
        <v>0.109696969696969</v>
      </c>
      <c r="C13" s="43" t="n">
        <f aca="false">ABS(D8/F8-1)</f>
        <v>0.00271796257921131</v>
      </c>
      <c r="D13" s="3" t="s">
        <v>258</v>
      </c>
    </row>
    <row r="15" customFormat="false" ht="15" hidden="false" customHeight="true" outlineLevel="0" collapsed="false">
      <c r="A15" s="6" t="s">
        <v>260</v>
      </c>
    </row>
    <row r="16" customFormat="false" ht="15" hidden="false" customHeight="true" outlineLevel="0" collapsed="false">
      <c r="A16" s="36" t="s">
        <v>75</v>
      </c>
      <c r="B16" s="36" t="s">
        <v>261</v>
      </c>
      <c r="C16" s="36" t="s">
        <v>262</v>
      </c>
      <c r="D16" s="36" t="s">
        <v>263</v>
      </c>
    </row>
    <row r="17" customFormat="false" ht="15" hidden="false" customHeight="true" outlineLevel="0" collapsed="false">
      <c r="A17" s="42" t="n">
        <v>34.5</v>
      </c>
      <c r="B17" s="44" t="n">
        <f aca="false">'FFO and AFFO'!$B$22/A17</f>
        <v>0.0613526570048309</v>
      </c>
      <c r="C17" s="45" t="n">
        <f aca="false">(Assumptions!$B$26-B17)*10000</f>
        <v>-88.5265700483092</v>
      </c>
      <c r="D17" s="46" t="s">
        <v>264</v>
      </c>
    </row>
    <row r="18" customFormat="false" ht="15" hidden="false" customHeight="true" outlineLevel="0" collapsed="false">
      <c r="A18" s="42" t="n">
        <v>42.97</v>
      </c>
      <c r="B18" s="44" t="n">
        <f aca="false">'FFO and AFFO'!$B$22/A18</f>
        <v>0.0492591730664805</v>
      </c>
      <c r="C18" s="45" t="n">
        <f aca="false">(Assumptions!$B$26-B18)*10000</f>
        <v>32.4082693351951</v>
      </c>
      <c r="D18" s="46" t="s">
        <v>265</v>
      </c>
    </row>
    <row r="19" customFormat="false" ht="15" hidden="false" customHeight="true" outlineLevel="0" collapsed="false">
      <c r="A19" s="42" t="n">
        <v>50</v>
      </c>
      <c r="B19" s="44" t="n">
        <f aca="false">'FFO and AFFO'!$B$22/A19</f>
        <v>0.0423333333333333</v>
      </c>
      <c r="C19" s="45" t="n">
        <f aca="false">(Assumptions!$B$26-B19)*10000</f>
        <v>101.666666666667</v>
      </c>
      <c r="D19" s="46" t="s">
        <v>266</v>
      </c>
    </row>
    <row r="21" customFormat="false" ht="15" hidden="false" customHeight="true" outlineLevel="0" collapsed="false">
      <c r="A21" s="3" t="s">
        <v>267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4"/>
    <col collapsed="false" customWidth="true" hidden="false" outlineLevel="0" max="3" min="2" style="0" width="14"/>
    <col collapsed="false" customWidth="true" hidden="false" outlineLevel="0" max="4" min="4" style="0" width="10"/>
    <col collapsed="false" customWidth="true" hidden="false" outlineLevel="0" max="5" min="5" style="0" width="62"/>
  </cols>
  <sheetData>
    <row r="1" customFormat="false" ht="15" hidden="false" customHeight="false" outlineLevel="0" collapsed="false">
      <c r="A1" s="47" t="s">
        <v>268</v>
      </c>
    </row>
    <row r="2" customFormat="false" ht="15" hidden="false" customHeight="false" outlineLevel="0" collapsed="false">
      <c r="A2" s="48" t="s">
        <v>269</v>
      </c>
    </row>
    <row r="4" customFormat="false" ht="15" hidden="false" customHeight="false" outlineLevel="0" collapsed="false">
      <c r="A4" s="49" t="s">
        <v>270</v>
      </c>
      <c r="B4" s="49" t="s">
        <v>271</v>
      </c>
      <c r="C4" s="49" t="s">
        <v>272</v>
      </c>
      <c r="D4" s="49" t="s">
        <v>273</v>
      </c>
      <c r="E4" s="49" t="s">
        <v>274</v>
      </c>
    </row>
    <row r="5" customFormat="false" ht="15" hidden="false" customHeight="false" outlineLevel="0" collapsed="false">
      <c r="A5" s="50" t="s">
        <v>122</v>
      </c>
      <c r="B5" s="51" t="n">
        <v>532</v>
      </c>
      <c r="C5" s="51" t="n">
        <f aca="false">'FFO and AFFO'!B9</f>
        <v>532</v>
      </c>
      <c r="D5" s="52" t="str">
        <f aca="false">IF(ISNUMBER(C5)=FALSE(),"CHECK",IF(ABS(C5-B5)&lt;=0.05,"OK","CHECK"))</f>
        <v>OK</v>
      </c>
      <c r="E5" s="53"/>
    </row>
    <row r="6" customFormat="false" ht="15" hidden="false" customHeight="false" outlineLevel="0" collapsed="false">
      <c r="A6" s="50" t="s">
        <v>125</v>
      </c>
      <c r="B6" s="51" t="n">
        <v>518</v>
      </c>
      <c r="C6" s="51" t="n">
        <f aca="false">'FFO and AFFO'!B11</f>
        <v>518</v>
      </c>
      <c r="D6" s="52" t="str">
        <f aca="false">IF(ISNUMBER(C6)=FALSE(),"CHECK",IF(ABS(C6-B6)&lt;=0.05,"OK","CHECK"))</f>
        <v>OK</v>
      </c>
      <c r="E6" s="53"/>
    </row>
    <row r="7" customFormat="false" ht="15" hidden="false" customHeight="false" outlineLevel="0" collapsed="false">
      <c r="A7" s="50" t="s">
        <v>275</v>
      </c>
      <c r="B7" s="54" t="n">
        <v>2.878</v>
      </c>
      <c r="C7" s="54" t="n">
        <f aca="false">'FFO and AFFO'!B12</f>
        <v>2.87777777777778</v>
      </c>
      <c r="D7" s="52" t="str">
        <f aca="false">IF(ISNUMBER(C7)=FALSE(),"CHECK",IF(ABS(C7-B7)&lt;=0.0005,"OK","CHECK"))</f>
        <v>OK</v>
      </c>
      <c r="E7" s="53"/>
    </row>
    <row r="8" customFormat="false" ht="15" hidden="false" customHeight="false" outlineLevel="0" collapsed="false">
      <c r="A8" s="50" t="s">
        <v>134</v>
      </c>
      <c r="B8" s="51" t="n">
        <v>381</v>
      </c>
      <c r="C8" s="51" t="n">
        <f aca="false">'FFO and AFFO'!B21</f>
        <v>381</v>
      </c>
      <c r="D8" s="52" t="str">
        <f aca="false">IF(ISNUMBER(C8)=FALSE(),"CHECK",IF(ABS(C8-B8)&lt;=0.05,"OK","CHECK"))</f>
        <v>OK</v>
      </c>
      <c r="E8" s="53"/>
    </row>
    <row r="9" customFormat="false" ht="15" hidden="false" customHeight="false" outlineLevel="0" collapsed="false">
      <c r="A9" s="50" t="s">
        <v>276</v>
      </c>
      <c r="B9" s="54" t="n">
        <v>2.117</v>
      </c>
      <c r="C9" s="54" t="n">
        <f aca="false">'FFO and AFFO'!B22</f>
        <v>2.11666666666667</v>
      </c>
      <c r="D9" s="52" t="str">
        <f aca="false">IF(ISNUMBER(C9)=FALSE(),"CHECK",IF(ABS(C9-B9)&lt;=0.0005,"OK","CHECK"))</f>
        <v>OK</v>
      </c>
      <c r="E9" s="53"/>
    </row>
    <row r="10" customFormat="false" ht="15" hidden="false" customHeight="false" outlineLevel="0" collapsed="false">
      <c r="A10" s="50" t="s">
        <v>277</v>
      </c>
      <c r="B10" s="55" t="n">
        <v>0.264</v>
      </c>
      <c r="C10" s="55" t="n">
        <f aca="false">'FFO and AFFO'!B23</f>
        <v>0.264478764478765</v>
      </c>
      <c r="D10" s="52" t="str">
        <f aca="false">IF(ISNUMBER(C10)=FALSE(),"CHECK",IF(ABS(C10-B10)&lt;=0.0005,"OK","CHECK"))</f>
        <v>OK</v>
      </c>
      <c r="E10" s="53" t="s">
        <v>278</v>
      </c>
    </row>
    <row r="11" customFormat="false" ht="15" hidden="false" customHeight="false" outlineLevel="0" collapsed="false">
      <c r="A11" s="50" t="s">
        <v>279</v>
      </c>
      <c r="B11" s="56" t="n">
        <v>12</v>
      </c>
      <c r="C11" s="56" t="n">
        <f aca="false">'FFO and AFFO'!B26</f>
        <v>11.988416988417</v>
      </c>
      <c r="D11" s="52" t="str">
        <f aca="false">IF(ISNUMBER(C11)=FALSE(),"CHECK",IF(ABS(C11-B11)&lt;=0.05,"OK","CHECK"))</f>
        <v>OK</v>
      </c>
      <c r="E11" s="53"/>
    </row>
    <row r="12" customFormat="false" ht="15" hidden="false" customHeight="false" outlineLevel="0" collapsed="false">
      <c r="A12" s="50" t="s">
        <v>280</v>
      </c>
      <c r="B12" s="56" t="n">
        <v>16.3</v>
      </c>
      <c r="C12" s="56" t="n">
        <f aca="false">'FFO and AFFO'!B27</f>
        <v>16.2992125984252</v>
      </c>
      <c r="D12" s="52" t="str">
        <f aca="false">IF(ISNUMBER(C12)=FALSE(),"CHECK",IF(ABS(C12-B12)&lt;=0.05,"OK","CHECK"))</f>
        <v>OK</v>
      </c>
      <c r="E12" s="53"/>
    </row>
    <row r="13" customFormat="false" ht="15" hidden="false" customHeight="false" outlineLevel="0" collapsed="false">
      <c r="A13" s="50" t="s">
        <v>281</v>
      </c>
      <c r="B13" s="57" t="n">
        <v>4.3</v>
      </c>
      <c r="C13" s="57" t="n">
        <f aca="false">'FFO and AFFO'!B28</f>
        <v>4.31079561000821</v>
      </c>
      <c r="D13" s="52" t="str">
        <f aca="false">IF(ISNUMBER(C13)=FALSE(),"CHECK",IF(ABS(C13-B13)&lt;=0.05,"OK","CHECK"))</f>
        <v>OK</v>
      </c>
      <c r="E13" s="53" t="s">
        <v>282</v>
      </c>
    </row>
    <row r="14" customFormat="false" ht="15" hidden="false" customHeight="false" outlineLevel="0" collapsed="false">
      <c r="A14" s="50" t="s">
        <v>283</v>
      </c>
      <c r="B14" s="55" t="n">
        <v>0.05</v>
      </c>
      <c r="C14" s="55" t="n">
        <f aca="false">NAV!B15/Assumptions!B6/NAV!B16-1</f>
        <v>0.048951048951049</v>
      </c>
      <c r="D14" s="52" t="str">
        <f aca="false">IF(ISNUMBER(C14)=FALSE(),"CHECK",IF(ABS(C14-B14)&lt;=0.005,"OK","CHECK"))</f>
        <v>OK</v>
      </c>
      <c r="E14" s="53" t="s">
        <v>284</v>
      </c>
    </row>
    <row r="15" customFormat="false" ht="15" hidden="false" customHeight="false" outlineLevel="0" collapsed="false">
      <c r="A15" s="50" t="s">
        <v>146</v>
      </c>
      <c r="B15" s="51" t="n">
        <v>9904.8</v>
      </c>
      <c r="C15" s="51" t="n">
        <f aca="false">NAV!B7</f>
        <v>9904.76190476191</v>
      </c>
      <c r="D15" s="52" t="str">
        <f aca="false">IF(ISNUMBER(C15)=FALSE(),"CHECK",IF(ABS(C15-B15)&lt;=0.05,"OK","CHECK"))</f>
        <v>OK</v>
      </c>
      <c r="E15" s="53"/>
    </row>
    <row r="16" customFormat="false" ht="15" hidden="false" customHeight="false" outlineLevel="0" collapsed="false">
      <c r="A16" s="50" t="s">
        <v>149</v>
      </c>
      <c r="B16" s="51" t="n">
        <v>7734.8</v>
      </c>
      <c r="C16" s="51" t="n">
        <f aca="false">NAV!B15</f>
        <v>7734.76190476191</v>
      </c>
      <c r="D16" s="52" t="str">
        <f aca="false">IF(ISNUMBER(C16)=FALSE(),"CHECK",IF(ABS(C16-B16)&lt;=0.05,"OK","CHECK"))</f>
        <v>OK</v>
      </c>
      <c r="E16" s="53"/>
    </row>
    <row r="17" customFormat="false" ht="15" hidden="false" customHeight="false" outlineLevel="0" collapsed="false">
      <c r="A17" s="50" t="s">
        <v>285</v>
      </c>
      <c r="B17" s="58" t="n">
        <v>42.97</v>
      </c>
      <c r="C17" s="58" t="n">
        <f aca="false">NAV!B16</f>
        <v>42.9708994708995</v>
      </c>
      <c r="D17" s="52" t="str">
        <f aca="false">IF(ISNUMBER(C17)=FALSE(),"CHECK",IF(ABS(C17-B17)&lt;=0.005,"OK","CHECK"))</f>
        <v>OK</v>
      </c>
      <c r="E17" s="53"/>
    </row>
    <row r="18" customFormat="false" ht="15" hidden="false" customHeight="false" outlineLevel="0" collapsed="false">
      <c r="A18" s="50" t="s">
        <v>286</v>
      </c>
      <c r="B18" s="55" t="n">
        <v>0.197</v>
      </c>
      <c r="C18" s="55" t="n">
        <f aca="false">NAV!B17</f>
        <v>0.197131071846334</v>
      </c>
      <c r="D18" s="52" t="str">
        <f aca="false">IF(ISNUMBER(C18)=FALSE(),"CHECK",IF(ABS(C18-B18)&lt;=0.0005,"OK","CHECK"))</f>
        <v>OK</v>
      </c>
      <c r="E18" s="53"/>
    </row>
    <row r="19" customFormat="false" ht="15" hidden="false" customHeight="false" outlineLevel="0" collapsed="false">
      <c r="A19" s="50" t="s">
        <v>153</v>
      </c>
      <c r="B19" s="51" t="n">
        <v>6210</v>
      </c>
      <c r="C19" s="51" t="n">
        <f aca="false">NAV!B20</f>
        <v>6210</v>
      </c>
      <c r="D19" s="52" t="str">
        <f aca="false">IF(ISNUMBER(C19)=FALSE(),"CHECK",IF(ABS(C19-B19)&lt;=0.05,"OK","CHECK"))</f>
        <v>OK</v>
      </c>
      <c r="E19" s="53"/>
    </row>
    <row r="20" customFormat="false" ht="15" hidden="false" customHeight="false" outlineLevel="0" collapsed="false">
      <c r="A20" s="50" t="s">
        <v>162</v>
      </c>
      <c r="B20" s="51" t="n">
        <v>8380</v>
      </c>
      <c r="C20" s="51" t="n">
        <f aca="false">NAV!B28</f>
        <v>8380</v>
      </c>
      <c r="D20" s="52" t="str">
        <f aca="false">IF(ISNUMBER(C20)=FALSE(),"CHECK",IF(ABS(C20-B20)&lt;=0.05,"OK","CHECK"))</f>
        <v>OK</v>
      </c>
      <c r="E20" s="53"/>
    </row>
    <row r="21" customFormat="false" ht="15" hidden="false" customHeight="false" outlineLevel="0" collapsed="false">
      <c r="A21" s="50" t="s">
        <v>56</v>
      </c>
      <c r="B21" s="59" t="n">
        <v>0.0621</v>
      </c>
      <c r="C21" s="59" t="n">
        <f aca="false">NAV!B29</f>
        <v>0.0620525059665871</v>
      </c>
      <c r="D21" s="52" t="str">
        <f aca="false">IF(ISNUMBER(C21)=FALSE(),"CHECK",IF(ABS(C21-B21)&lt;=0.00005,"OK","CHECK"))</f>
        <v>OK</v>
      </c>
      <c r="E21" s="53"/>
    </row>
    <row r="22" customFormat="false" ht="15" hidden="false" customHeight="false" outlineLevel="0" collapsed="false">
      <c r="A22" s="50" t="s">
        <v>287</v>
      </c>
      <c r="B22" s="60" t="n">
        <v>96</v>
      </c>
      <c r="C22" s="60" t="n">
        <f aca="false">NAV!B30</f>
        <v>95.5250596658711</v>
      </c>
      <c r="D22" s="52" t="str">
        <f aca="false">IF(ISNUMBER(C22)=FALSE(),"CHECK",IF(ABS(C22-B22)&lt;=0.5,"OK","CHECK"))</f>
        <v>OK</v>
      </c>
      <c r="E22" s="53"/>
    </row>
    <row r="23" customFormat="false" ht="15" hidden="false" customHeight="false" outlineLevel="0" collapsed="false">
      <c r="A23" s="50" t="s">
        <v>169</v>
      </c>
      <c r="B23" s="51" t="n">
        <v>2340</v>
      </c>
      <c r="C23" s="51" t="n">
        <f aca="false">'Balance Sheet'!B5</f>
        <v>2340</v>
      </c>
      <c r="D23" s="52" t="str">
        <f aca="false">IF(ISNUMBER(C23)=FALSE(),"CHECK",IF(ABS(C23-B23)&lt;=0.05,"OK","CHECK"))</f>
        <v>OK</v>
      </c>
      <c r="E23" s="53"/>
    </row>
    <row r="24" customFormat="false" ht="15" hidden="false" customHeight="false" outlineLevel="0" collapsed="false">
      <c r="A24" s="50" t="s">
        <v>171</v>
      </c>
      <c r="B24" s="51" t="n">
        <v>492</v>
      </c>
      <c r="C24" s="51" t="n">
        <f aca="false">'Balance Sheet'!B6</f>
        <v>492</v>
      </c>
      <c r="D24" s="52" t="str">
        <f aca="false">IF(ISNUMBER(C24)=FALSE(),"CHECK",IF(ABS(C24-B24)&lt;=0.05,"OK","CHECK"))</f>
        <v>OK</v>
      </c>
      <c r="E24" s="53"/>
    </row>
    <row r="25" customFormat="false" ht="15" hidden="false" customHeight="false" outlineLevel="0" collapsed="false">
      <c r="A25" s="50" t="s">
        <v>60</v>
      </c>
      <c r="B25" s="61" t="n">
        <v>4.76</v>
      </c>
      <c r="C25" s="61" t="n">
        <f aca="false">'Balance Sheet'!B7</f>
        <v>4.75609756097561</v>
      </c>
      <c r="D25" s="52" t="str">
        <f aca="false">IF(ISNUMBER(C25)=FALSE(),"CHECK",IF(ABS(C25-B25)&lt;=0.005,"OK","CHECK"))</f>
        <v>OK</v>
      </c>
      <c r="E25" s="53"/>
    </row>
    <row r="26" customFormat="false" ht="15" hidden="false" customHeight="false" outlineLevel="0" collapsed="false">
      <c r="A26" s="50" t="s">
        <v>175</v>
      </c>
      <c r="B26" s="55" t="n">
        <v>0.225</v>
      </c>
      <c r="C26" s="55" t="n">
        <f aca="false">'Balance Sheet'!B9</f>
        <v>0.224897025171625</v>
      </c>
      <c r="D26" s="52" t="str">
        <f aca="false">IF(ISNUMBER(C26)=FALSE(),"CHECK",IF(ABS(C26-B26)&lt;=0.0005,"OK","CHECK"))</f>
        <v>OK</v>
      </c>
      <c r="E26" s="53"/>
    </row>
    <row r="27" customFormat="false" ht="15" hidden="false" customHeight="false" outlineLevel="0" collapsed="false">
      <c r="A27" s="50" t="s">
        <v>177</v>
      </c>
      <c r="B27" s="51" t="n">
        <v>8800</v>
      </c>
      <c r="C27" s="51" t="n">
        <f aca="false">'Balance Sheet'!B10</f>
        <v>8800</v>
      </c>
      <c r="D27" s="52" t="str">
        <f aca="false">IF(ISNUMBER(C27)=FALSE(),"CHECK",IF(ABS(C27-B27)&lt;=0.05,"OK","CHECK"))</f>
        <v>OK</v>
      </c>
      <c r="E27" s="53"/>
    </row>
    <row r="28" customFormat="false" ht="15" hidden="false" customHeight="false" outlineLevel="0" collapsed="false">
      <c r="A28" s="50" t="s">
        <v>179</v>
      </c>
      <c r="B28" s="55" t="n">
        <v>0.266</v>
      </c>
      <c r="C28" s="55" t="n">
        <f aca="false">'Balance Sheet'!B11</f>
        <v>0.265909090909091</v>
      </c>
      <c r="D28" s="52" t="str">
        <f aca="false">IF(ISNUMBER(C28)=FALSE(),"CHECK",IF(ABS(C28-B28)&lt;=0.0005,"OK","CHECK"))</f>
        <v>OK</v>
      </c>
      <c r="E28" s="53"/>
    </row>
    <row r="29" customFormat="false" ht="15" hidden="false" customHeight="false" outlineLevel="0" collapsed="false">
      <c r="A29" s="50" t="s">
        <v>288</v>
      </c>
      <c r="B29" s="56" t="n">
        <v>17.9</v>
      </c>
      <c r="C29" s="56" t="n">
        <f aca="false">'Balance Sheet'!B10/'Balance Sheet'!B6</f>
        <v>17.8861788617886</v>
      </c>
      <c r="D29" s="52" t="str">
        <f aca="false">IF(ISNUMBER(C29)=FALSE(),"CHECK",IF(ABS(C29-B29)&lt;=0.05,"OK","CHECK"))</f>
        <v>OK</v>
      </c>
      <c r="E29" s="53" t="s">
        <v>289</v>
      </c>
    </row>
    <row r="30" customFormat="false" ht="15" hidden="false" customHeight="false" outlineLevel="0" collapsed="false">
      <c r="A30" s="50" t="s">
        <v>181</v>
      </c>
      <c r="B30" s="61" t="n">
        <v>5.02</v>
      </c>
      <c r="C30" s="61" t="n">
        <f aca="false">'Balance Sheet'!B12</f>
        <v>5.02040816326531</v>
      </c>
      <c r="D30" s="52" t="str">
        <f aca="false">IF(ISNUMBER(C30)=FALSE(),"CHECK",IF(ABS(C30-B30)&lt;=0.005,"OK","CHECK"))</f>
        <v>OK</v>
      </c>
      <c r="E30" s="53"/>
    </row>
    <row r="31" customFormat="false" ht="15" hidden="false" customHeight="false" outlineLevel="0" collapsed="false">
      <c r="A31" s="50" t="s">
        <v>290</v>
      </c>
      <c r="B31" s="55" t="n">
        <v>0.081</v>
      </c>
      <c r="C31" s="55" t="n">
        <f aca="false">'Balance Sheet'!B14</f>
        <v>0.0807692307692308</v>
      </c>
      <c r="D31" s="52" t="str">
        <f aca="false">IF(ISNUMBER(C31)=FALSE(),"CHECK",IF(ABS(C31-B31)&lt;=0.0005,"OK","CHECK"))</f>
        <v>OK</v>
      </c>
      <c r="E31" s="53"/>
    </row>
    <row r="32" customFormat="false" ht="15" hidden="false" customHeight="false" outlineLevel="0" collapsed="false">
      <c r="A32" s="50" t="s">
        <v>291</v>
      </c>
      <c r="B32" s="51" t="n">
        <v>800</v>
      </c>
      <c r="C32" s="51" t="n">
        <f aca="false">'Balance Sheet'!B15</f>
        <v>800</v>
      </c>
      <c r="D32" s="52" t="str">
        <f aca="false">IF(ISNUMBER(C32)=FALSE(),"CHECK",IF(ABS(C32-B32)&lt;=0.05,"OK","CHECK"))</f>
        <v>OK</v>
      </c>
      <c r="E32" s="53"/>
    </row>
    <row r="33" customFormat="false" ht="15" hidden="false" customHeight="false" outlineLevel="0" collapsed="false">
      <c r="A33" s="50" t="s">
        <v>292</v>
      </c>
      <c r="B33" s="58" t="n">
        <v>4.44</v>
      </c>
      <c r="C33" s="58" t="n">
        <f aca="false">'Balance Sheet'!B16</f>
        <v>4.44444444444445</v>
      </c>
      <c r="D33" s="52" t="str">
        <f aca="false">IF(ISNUMBER(C33)=FALSE(),"CHECK",IF(ABS(C33-B33)&lt;=0.005,"OK","CHECK"))</f>
        <v>OK</v>
      </c>
      <c r="E33" s="53"/>
    </row>
    <row r="34" customFormat="false" ht="15" hidden="false" customHeight="false" outlineLevel="0" collapsed="false">
      <c r="A34" s="50" t="s">
        <v>293</v>
      </c>
      <c r="B34" s="55" t="n">
        <v>0.103</v>
      </c>
      <c r="C34" s="55" t="n">
        <f aca="false">'Balance Sheet'!B15/NAV!B15</f>
        <v>0.103429169488395</v>
      </c>
      <c r="D34" s="52" t="str">
        <f aca="false">IF(ISNUMBER(C34)=FALSE(),"CHECK",IF(ABS(C34-B34)&lt;=0.0005,"OK","CHECK"))</f>
        <v>OK</v>
      </c>
      <c r="E34" s="53"/>
    </row>
    <row r="35" customFormat="false" ht="15" hidden="false" customHeight="false" outlineLevel="0" collapsed="false">
      <c r="A35" s="50" t="s">
        <v>189</v>
      </c>
      <c r="B35" s="59" t="n">
        <v>0.0499</v>
      </c>
      <c r="C35" s="59" t="n">
        <f aca="false">'Balance Sheet'!B19</f>
        <v>0.0498550724637681</v>
      </c>
      <c r="D35" s="52" t="str">
        <f aca="false">IF(ISNUMBER(C35)=FALSE(),"CHECK",IF(ABS(C35-B35)&lt;=0.00005,"OK","CHECK"))</f>
        <v>OK</v>
      </c>
      <c r="E35" s="53"/>
    </row>
    <row r="36" customFormat="false" ht="15" hidden="false" customHeight="false" outlineLevel="0" collapsed="false">
      <c r="A36" s="50" t="s">
        <v>294</v>
      </c>
      <c r="B36" s="55" t="n">
        <v>0.598</v>
      </c>
      <c r="C36" s="55" t="n">
        <f aca="false">'Balance Sheet'!B20</f>
        <v>0.597683397683398</v>
      </c>
      <c r="D36" s="52" t="str">
        <f aca="false">IF(ISNUMBER(C36)=FALSE(),"CHECK",IF(ABS(C36-B36)&lt;=0.0005,"OK","CHECK"))</f>
        <v>OK</v>
      </c>
      <c r="E36" s="53"/>
    </row>
    <row r="37" customFormat="false" ht="15" hidden="false" customHeight="false" outlineLevel="0" collapsed="false">
      <c r="A37" s="50" t="s">
        <v>295</v>
      </c>
      <c r="B37" s="55" t="n">
        <v>0.813</v>
      </c>
      <c r="C37" s="55" t="n">
        <f aca="false">'Balance Sheet'!B21</f>
        <v>0.81259842519685</v>
      </c>
      <c r="D37" s="52" t="str">
        <f aca="false">IF(ISNUMBER(C37)=FALSE(),"CHECK",IF(ABS(C37-B37)&lt;=0.0005,"OK","CHECK"))</f>
        <v>OK</v>
      </c>
      <c r="E37" s="53"/>
    </row>
    <row r="38" customFormat="false" ht="15" hidden="false" customHeight="false" outlineLevel="0" collapsed="false">
      <c r="A38" s="50" t="s">
        <v>194</v>
      </c>
      <c r="B38" s="54" t="n">
        <v>0.397</v>
      </c>
      <c r="C38" s="54" t="n">
        <f aca="false">'Balance Sheet'!B22</f>
        <v>0.396666666666667</v>
      </c>
      <c r="D38" s="52" t="str">
        <f aca="false">IF(ISNUMBER(C38)=FALSE(),"CHECK",IF(ABS(C38-B38)&lt;=0.0005,"OK","CHECK"))</f>
        <v>OK</v>
      </c>
      <c r="E38" s="53"/>
    </row>
    <row r="39" customFormat="false" ht="15" hidden="false" customHeight="false" outlineLevel="0" collapsed="false">
      <c r="A39" s="50" t="s">
        <v>196</v>
      </c>
      <c r="B39" s="51" t="n">
        <v>71.4</v>
      </c>
      <c r="C39" s="51" t="n">
        <f aca="false">'Balance Sheet'!B23</f>
        <v>71.4</v>
      </c>
      <c r="D39" s="52" t="str">
        <f aca="false">IF(ISNUMBER(C39)=FALSE(),"CHECK",IF(ABS(C39-B39)&lt;=0.05,"OK","CHECK"))</f>
        <v>OK</v>
      </c>
      <c r="E39" s="53"/>
    </row>
    <row r="40" customFormat="false" ht="15" hidden="false" customHeight="false" outlineLevel="0" collapsed="false">
      <c r="A40" s="50" t="s">
        <v>296</v>
      </c>
      <c r="B40" s="59" t="n">
        <v>0.0614</v>
      </c>
      <c r="C40" s="59" t="n">
        <f aca="false">Capital!B5</f>
        <v>0.0613526570048309</v>
      </c>
      <c r="D40" s="52" t="str">
        <f aca="false">IF(ISNUMBER(C40)=FALSE(),"CHECK",IF(ABS(C40-B40)&lt;=0.00005,"OK","CHECK"))</f>
        <v>OK</v>
      </c>
      <c r="E40" s="53"/>
    </row>
    <row r="41" customFormat="false" ht="15" hidden="false" customHeight="false" outlineLevel="0" collapsed="false">
      <c r="A41" s="50" t="s">
        <v>297</v>
      </c>
      <c r="B41" s="60" t="n">
        <v>-89</v>
      </c>
      <c r="C41" s="60" t="n">
        <f aca="false">Capital!B7</f>
        <v>-88.5265700483092</v>
      </c>
      <c r="D41" s="52" t="str">
        <f aca="false">IF(ISNUMBER(C41)=FALSE(),"CHECK",IF(ABS(C41-B41)&lt;=0.5,"OK","CHECK"))</f>
        <v>OK</v>
      </c>
      <c r="E41" s="53"/>
    </row>
    <row r="42" customFormat="false" ht="15" hidden="false" customHeight="false" outlineLevel="0" collapsed="false">
      <c r="A42" s="50" t="s">
        <v>298</v>
      </c>
      <c r="B42" s="59" t="n">
        <v>0.0493</v>
      </c>
      <c r="C42" s="59" t="n">
        <f aca="false">Sensitivity!B18</f>
        <v>0.0492591730664805</v>
      </c>
      <c r="D42" s="52" t="str">
        <f aca="false">IF(ISNUMBER(C42)=FALSE(),"CHECK",IF(ABS(C42-B42)&lt;=0.00005,"OK","CHECK"))</f>
        <v>OK</v>
      </c>
      <c r="E42" s="53"/>
    </row>
    <row r="43" customFormat="false" ht="15" hidden="false" customHeight="false" outlineLevel="0" collapsed="false">
      <c r="A43" s="50" t="s">
        <v>299</v>
      </c>
      <c r="B43" s="60" t="n">
        <v>32</v>
      </c>
      <c r="C43" s="60" t="n">
        <f aca="false">Sensitivity!C18</f>
        <v>32.4082693351951</v>
      </c>
      <c r="D43" s="52" t="str">
        <f aca="false">IF(ISNUMBER(C43)=FALSE(),"CHECK",IF(ABS(C43-B43)&lt;=0.5,"OK","CHECK"))</f>
        <v>OK</v>
      </c>
      <c r="E43" s="53"/>
    </row>
    <row r="44" customFormat="false" ht="15" hidden="false" customHeight="false" outlineLevel="0" collapsed="false">
      <c r="A44" s="50" t="s">
        <v>300</v>
      </c>
      <c r="B44" s="59" t="n">
        <v>0.0423</v>
      </c>
      <c r="C44" s="59" t="n">
        <f aca="false">Sensitivity!B19</f>
        <v>0.0423333333333333</v>
      </c>
      <c r="D44" s="52" t="str">
        <f aca="false">IF(ISNUMBER(C44)=FALSE(),"CHECK",IF(ABS(C44-B44)&lt;=0.00005,"OK","CHECK"))</f>
        <v>OK</v>
      </c>
      <c r="E44" s="53"/>
    </row>
    <row r="45" customFormat="false" ht="15" hidden="false" customHeight="false" outlineLevel="0" collapsed="false">
      <c r="A45" s="50" t="s">
        <v>301</v>
      </c>
      <c r="B45" s="60" t="n">
        <v>102</v>
      </c>
      <c r="C45" s="60" t="n">
        <f aca="false">Sensitivity!C19</f>
        <v>101.666666666667</v>
      </c>
      <c r="D45" s="52" t="str">
        <f aca="false">IF(ISNUMBER(C45)=FALSE(),"CHECK",IF(ABS(C45-B45)&lt;=0.5,"OK","CHECK"))</f>
        <v>OK</v>
      </c>
      <c r="E45" s="53"/>
    </row>
    <row r="46" customFormat="false" ht="15" hidden="false" customHeight="false" outlineLevel="0" collapsed="false">
      <c r="A46" s="50" t="s">
        <v>302</v>
      </c>
      <c r="B46" s="62" t="n">
        <v>0.16</v>
      </c>
      <c r="C46" s="62" t="n">
        <f aca="false">Sensitivity!A19/NAV!B16-1</f>
        <v>0.163578156744444</v>
      </c>
      <c r="D46" s="52" t="str">
        <f aca="false">IF(ISNUMBER(C46)=FALSE(),"CHECK",IF(ABS(C46-B46)&lt;=0.005,"OK","CHECK"))</f>
        <v>OK</v>
      </c>
      <c r="E46" s="53" t="s">
        <v>303</v>
      </c>
    </row>
    <row r="47" customFormat="false" ht="15" hidden="false" customHeight="false" outlineLevel="0" collapsed="false">
      <c r="A47" s="50" t="s">
        <v>304</v>
      </c>
      <c r="B47" s="51" t="n">
        <v>25.1</v>
      </c>
      <c r="C47" s="51" t="n">
        <f aca="false">Capital!B11</f>
        <v>25.08</v>
      </c>
      <c r="D47" s="52" t="str">
        <f aca="false">IF(ISNUMBER(C47)=FALSE(),"CHECK",IF(ABS(C47-B47)&lt;=0.05,"OK","CHECK"))</f>
        <v>OK</v>
      </c>
      <c r="E47" s="53"/>
    </row>
    <row r="48" customFormat="false" ht="15" hidden="false" customHeight="false" outlineLevel="0" collapsed="false">
      <c r="A48" s="50" t="s">
        <v>305</v>
      </c>
      <c r="B48" s="51" t="n">
        <v>477.7</v>
      </c>
      <c r="C48" s="51" t="n">
        <f aca="false">Capital!B12</f>
        <v>477.714285714286</v>
      </c>
      <c r="D48" s="52" t="str">
        <f aca="false">IF(ISNUMBER(C48)=FALSE(),"CHECK",IF(ABS(C48-B48)&lt;=0.05,"OK","CHECK"))</f>
        <v>OK</v>
      </c>
      <c r="E48" s="53"/>
    </row>
    <row r="49" customFormat="false" ht="15" hidden="false" customHeight="false" outlineLevel="0" collapsed="false">
      <c r="A49" s="50" t="s">
        <v>306</v>
      </c>
      <c r="B49" s="51" t="n">
        <v>97.7</v>
      </c>
      <c r="C49" s="51" t="n">
        <f aca="false">Capital!B13</f>
        <v>97.7142857142858</v>
      </c>
      <c r="D49" s="52" t="str">
        <f aca="false">IF(ISNUMBER(C49)=FALSE(),"CHECK",IF(ABS(C49-B49)&lt;=0.05,"OK","CHECK"))</f>
        <v>OK</v>
      </c>
      <c r="E49" s="53"/>
    </row>
    <row r="50" customFormat="false" ht="15" hidden="false" customHeight="false" outlineLevel="0" collapsed="false">
      <c r="A50" s="50" t="s">
        <v>292</v>
      </c>
      <c r="B50" s="58" t="n">
        <v>0.54</v>
      </c>
      <c r="C50" s="58" t="n">
        <f aca="false">Capital!B14</f>
        <v>0.542857142857143</v>
      </c>
      <c r="D50" s="52" t="str">
        <f aca="false">IF(ISNUMBER(C50)=FALSE(),"CHECK",IF(ABS(C50-B50)&lt;=0.005,"OK","CHECK"))</f>
        <v>OK</v>
      </c>
      <c r="E50" s="53"/>
    </row>
    <row r="51" customFormat="false" ht="15" hidden="false" customHeight="false" outlineLevel="0" collapsed="false">
      <c r="A51" s="50" t="s">
        <v>293</v>
      </c>
      <c r="B51" s="55" t="n">
        <v>0.013</v>
      </c>
      <c r="C51" s="55" t="n">
        <f aca="false">Capital!B15</f>
        <v>0.0126331342732254</v>
      </c>
      <c r="D51" s="52" t="str">
        <f aca="false">IF(ISNUMBER(C51)=FALSE(),"CHECK",IF(ABS(C51-B51)&lt;=0.0005,"OK","CHECK"))</f>
        <v>OK</v>
      </c>
      <c r="E51" s="53"/>
    </row>
    <row r="52" customFormat="false" ht="15" hidden="false" customHeight="false" outlineLevel="0" collapsed="false">
      <c r="A52" s="50" t="s">
        <v>307</v>
      </c>
      <c r="B52" s="60" t="n">
        <v>135</v>
      </c>
      <c r="C52" s="60" t="n">
        <f aca="false">Capital!B16</f>
        <v>135</v>
      </c>
      <c r="D52" s="52" t="str">
        <f aca="false">IF(ISNUMBER(C52)=FALSE(),"CHECK",IF(ABS(C52-B52)&lt;=0.5,"OK","CHECK"))</f>
        <v>OK</v>
      </c>
      <c r="E52" s="53"/>
    </row>
    <row r="53" customFormat="false" ht="15" hidden="false" customHeight="false" outlineLevel="0" collapsed="false">
      <c r="A53" s="50" t="s">
        <v>224</v>
      </c>
      <c r="B53" s="55" t="n">
        <v>0.09</v>
      </c>
      <c r="C53" s="55" t="n">
        <f aca="false">Capital!B22</f>
        <v>0.0898550724637681</v>
      </c>
      <c r="D53" s="52" t="str">
        <f aca="false">IF(ISNUMBER(C53)=FALSE(),"CHECK",IF(ABS(C53-B53)&lt;=0.001,"OK","CHECK"))</f>
        <v>OK</v>
      </c>
      <c r="E53" s="53" t="s">
        <v>308</v>
      </c>
    </row>
    <row r="54" customFormat="false" ht="15" hidden="false" customHeight="false" outlineLevel="0" collapsed="false">
      <c r="A54" s="50" t="s">
        <v>309</v>
      </c>
      <c r="B54" s="55" t="n">
        <v>0.039</v>
      </c>
      <c r="C54" s="55" t="n">
        <f aca="false">Capital!B24</f>
        <v>0.0393532279737576</v>
      </c>
      <c r="D54" s="52" t="str">
        <f aca="false">IF(ISNUMBER(C54)=FALSE(),"CHECK",IF(ABS(C54-B54)&lt;=0.0005,"OK","CHECK"))</f>
        <v>OK</v>
      </c>
      <c r="E54" s="53" t="s">
        <v>310</v>
      </c>
    </row>
    <row r="55" customFormat="false" ht="15" hidden="false" customHeight="false" outlineLevel="0" collapsed="false">
      <c r="A55" s="50" t="s">
        <v>311</v>
      </c>
      <c r="B55" s="60" t="n">
        <v>45</v>
      </c>
      <c r="C55" s="60" t="n">
        <f aca="false">Capital!B31</f>
        <v>45.4057279236277</v>
      </c>
      <c r="D55" s="52" t="str">
        <f aca="false">IF(ISNUMBER(C55)=FALSE(),"CHECK",IF(ABS(C55-B55)&lt;=0.5,"OK","CHECK"))</f>
        <v>OK</v>
      </c>
      <c r="E55" s="53"/>
    </row>
    <row r="56" customFormat="false" ht="15" hidden="false" customHeight="false" outlineLevel="0" collapsed="false">
      <c r="A56" s="50" t="s">
        <v>312</v>
      </c>
      <c r="B56" s="63" t="n">
        <v>8.75</v>
      </c>
      <c r="C56" s="63" t="n">
        <f aca="false">Capital!B36</f>
        <v>8.75</v>
      </c>
      <c r="D56" s="52" t="str">
        <f aca="false">IF(ISNUMBER(C56)=FALSE(),"CHECK",IF(ABS(C56-B56)&lt;=0.005,"OK","CHECK"))</f>
        <v>OK</v>
      </c>
      <c r="E56" s="53"/>
    </row>
    <row r="57" customFormat="false" ht="15" hidden="false" customHeight="false" outlineLevel="0" collapsed="false">
      <c r="A57" s="50" t="s">
        <v>313</v>
      </c>
      <c r="B57" s="58" t="n">
        <v>45.72</v>
      </c>
      <c r="C57" s="58" t="n">
        <f aca="false">Sensitivity!D6</f>
        <v>45.7222222222222</v>
      </c>
      <c r="D57" s="52" t="str">
        <f aca="false">IF(ISNUMBER(C57)=FALSE(),"CHECK",IF(ABS(C57-B57)&lt;=0.005,"OK","CHECK"))</f>
        <v>OK</v>
      </c>
      <c r="E57" s="53" t="s">
        <v>314</v>
      </c>
    </row>
    <row r="58" customFormat="false" ht="15" hidden="false" customHeight="false" outlineLevel="0" collapsed="false">
      <c r="A58" s="50" t="s">
        <v>315</v>
      </c>
      <c r="B58" s="58" t="n">
        <v>40.47</v>
      </c>
      <c r="C58" s="58" t="n">
        <f aca="false">Sensitivity!D8</f>
        <v>40.469696969697</v>
      </c>
      <c r="D58" s="52" t="str">
        <f aca="false">IF(ISNUMBER(C58)=FALSE(),"CHECK",IF(ABS(C58-B58)&lt;=0.005,"OK","CHECK"))</f>
        <v>OK</v>
      </c>
      <c r="E58" s="53" t="s">
        <v>316</v>
      </c>
    </row>
    <row r="59" customFormat="false" ht="15" hidden="false" customHeight="false" outlineLevel="0" collapsed="false">
      <c r="A59" s="50" t="s">
        <v>317</v>
      </c>
      <c r="B59" s="55" t="n">
        <v>0.064</v>
      </c>
      <c r="C59" s="55" t="n">
        <f aca="false">Sensitivity!D6/Sensitivity!D7-1</f>
        <v>0.0640275811118636</v>
      </c>
      <c r="D59" s="52" t="str">
        <f aca="false">IF(ISNUMBER(C59)=FALSE(),"CHECK",IF(ABS(C59-B59)&lt;=0.0005,"OK","CHECK"))</f>
        <v>OK</v>
      </c>
      <c r="E59" s="53" t="s">
        <v>318</v>
      </c>
    </row>
    <row r="60" customFormat="false" ht="15" hidden="false" customHeight="false" outlineLevel="0" collapsed="false">
      <c r="A60" s="50" t="s">
        <v>319</v>
      </c>
      <c r="B60" s="60" t="n">
        <v>135</v>
      </c>
      <c r="C60" s="60" t="n">
        <f aca="false">Capital!B28</f>
        <v>135</v>
      </c>
      <c r="D60" s="52" t="str">
        <f aca="false">IF(ISNUMBER(C60)=FALSE(),"CHECK",IF(ABS(C60-B60)&lt;=0.5,"OK","CHECK"))</f>
        <v>OK</v>
      </c>
      <c r="E60" s="53" t="s">
        <v>320</v>
      </c>
    </row>
    <row r="61" customFormat="false" ht="15" hidden="false" customHeight="false" outlineLevel="0" collapsed="false">
      <c r="A61" s="50" t="s">
        <v>321</v>
      </c>
      <c r="B61" s="58" t="n">
        <v>34.5</v>
      </c>
      <c r="C61" s="58" t="n">
        <f aca="false">Capital!B30</f>
        <v>34.5</v>
      </c>
      <c r="D61" s="52" t="str">
        <f aca="false">IF(ISNUMBER(C61)=FALSE(),"CHECK",IF(ABS(C61-B61)&lt;=0.005,"OK","CHECK"))</f>
        <v>OK</v>
      </c>
      <c r="E61" s="53" t="s">
        <v>322</v>
      </c>
    </row>
    <row r="62" customFormat="false" ht="15" hidden="false" customHeight="false" outlineLevel="0" collapsed="false">
      <c r="A62" s="50" t="s">
        <v>323</v>
      </c>
      <c r="C62" s="64" t="str">
        <f aca="false">IF(ABS(Capital!B30-Assumptions!B7)&lt;0.000000001,"OK","CHECK")</f>
        <v>OK</v>
      </c>
      <c r="D62" s="52" t="str">
        <f aca="false">IF(C62="","",IF(C62="OK","OK","CHECK"))</f>
        <v>OK</v>
      </c>
      <c r="E62" s="53"/>
    </row>
    <row r="63" customFormat="false" ht="15" hidden="false" customHeight="false" outlineLevel="0" collapsed="false">
      <c r="A63" s="50" t="s">
        <v>324</v>
      </c>
      <c r="C63" s="64" t="str">
        <f aca="false">IF(ABS(Assumptions!B25/NAV!B7-Assumptions!B26)&lt;0.000000000001,"OK","CHECK")</f>
        <v>OK</v>
      </c>
      <c r="D63" s="52" t="str">
        <f aca="false">IF(C63="","",IF(C63="OK","OK","CHECK"))</f>
        <v>OK</v>
      </c>
      <c r="E63" s="53" t="s">
        <v>325</v>
      </c>
    </row>
    <row r="64" customFormat="false" ht="15" hidden="false" customHeight="false" outlineLevel="0" collapsed="false">
      <c r="A64" s="50" t="s">
        <v>326</v>
      </c>
      <c r="C64" s="64" t="str">
        <f aca="false">IF(ABS('FFO and AFFO'!B21-SUM(Assumptions!B11:B15)-SUM(Assumptions!B18:B22))&lt;0.000000001,"OK","CHECK")</f>
        <v>OK</v>
      </c>
      <c r="D64" s="52" t="str">
        <f aca="false">IF(C64="","",IF(C64="OK","OK","CHECK"))</f>
        <v>OK</v>
      </c>
      <c r="E64" s="53"/>
    </row>
    <row r="65" customFormat="false" ht="15" hidden="false" customHeight="false" outlineLevel="0" collapsed="false">
      <c r="A65" s="50" t="s">
        <v>327</v>
      </c>
      <c r="C65" s="64" t="str">
        <f aca="false">IF(ABS(Assumptions!B26-'FFO and AFFO'!B22/('FFO and AFFO'!B22/Assumptions!B26))&lt;0.000000000001,"OK","CHECK")</f>
        <v>OK</v>
      </c>
      <c r="D65" s="52" t="str">
        <f aca="false">IF(C65="","",IF(C65="OK","OK","CHECK"))</f>
        <v>OK</v>
      </c>
      <c r="E65" s="53" t="s">
        <v>328</v>
      </c>
    </row>
    <row r="66" customFormat="false" ht="15" hidden="false" customHeight="false" outlineLevel="0" collapsed="false">
      <c r="A66" s="50" t="s">
        <v>329</v>
      </c>
      <c r="C66" s="64" t="str">
        <f aca="false">IF(ABS('Balance Sheet'!B21+'Balance Sheet'!B22/'FFO and AFFO'!B22-1)&lt;0.000000001,"OK","CHECK")</f>
        <v>OK</v>
      </c>
      <c r="D66" s="52" t="str">
        <f aca="false">IF(C66="","",IF(C66="OK","OK","CHECK"))</f>
        <v>OK</v>
      </c>
      <c r="E66" s="53"/>
    </row>
    <row r="67" customFormat="false" ht="15" hidden="false" customHeight="false" outlineLevel="0" collapsed="false">
      <c r="A67" s="50" t="s">
        <v>330</v>
      </c>
      <c r="C67" s="64" t="str">
        <f aca="false">IF(COUNTIF(Summary!B5:B10,"OK")=6,"OK","CHECK")</f>
        <v>OK</v>
      </c>
      <c r="D67" s="52" t="str">
        <f aca="false">IF(C67="","",IF(C67="OK","OK","CHECK"))</f>
        <v>OK</v>
      </c>
      <c r="E67" s="53"/>
    </row>
    <row r="69" customFormat="false" ht="15" hidden="false" customHeight="false" outlineLevel="0" collapsed="false">
      <c r="A69" s="52" t="s">
        <v>331</v>
      </c>
      <c r="C69" s="52" t="str">
        <f aca="false">COUNTIF(D5:D67,"OK")&amp;" / 63"</f>
        <v>63 / 63</v>
      </c>
      <c r="D69" s="52" t="str">
        <f aca="false">IF(COUNTIF(D5:D67,"OK")=63,"ALL OK","SOME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2026-08-12T15:34:47Z</dcterms:created>
  <dc:creator>openpyxl</dc:creator>
  <dc:description/>
  <dc:language>en-US</dc:language>
  <cp:lastModifiedBy/>
  <dcterms:modified xsi:type="dcterms:W3CDTF">2026-09-24T00:09:34Z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