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The tape" sheetId="2" state="visible" r:id="rId4"/>
    <sheet name="3. Assumptions" sheetId="3" state="visible" r:id="rId5"/>
    <sheet name="4. The rate card" sheetId="4" state="visible" r:id="rId6"/>
    <sheet name="5. RevPAB" sheetId="5" state="visible" r:id="rId7"/>
    <sheet name="6. The summer" sheetId="6" state="visible" r:id="rId8"/>
    <sheet name="7. The cost base" sheetId="7" state="visible" r:id="rId9"/>
    <sheet name="8. Capital expenditure" sheetId="8" state="visible" r:id="rId10"/>
    <sheet name="9. Ten-year cash flow" sheetId="9" state="visible" r:id="rId11"/>
    <sheet name="10. The exit and the value" sheetId="10" state="visible" r:id="rId12"/>
    <sheet name="12. Rate and occupancy" sheetId="11" state="visible" r:id="rId13"/>
    <sheet name="13. What a point is worth" sheetId="12" state="visible" r:id="rId14"/>
    <sheet name="14. The nomination" sheetId="13" state="visible" r:id="rId15"/>
    <sheet name="15. City and competitor" sheetId="14" state="visible" r:id="rId16"/>
    <sheet name="16. Debt" sheetId="15" state="visible" r:id="rId17"/>
    <sheet name="17. Scenarios" sheetId="16" state="visible" r:id="rId18"/>
    <sheet name="18. Affordability and the hold" sheetId="17" state="visible" r:id="rId19"/>
    <sheet name="19. Checks" sheetId="18" state="visible" r:id="rId2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<sst xmlns="http://schemas.openxmlformats.org/spreadsheetml/2006/main" count="1316" uniqueCount="961">
  <si>
    <t xml:space="preserve">The Student Housing Model</t>
  </si>
  <si>
    <t xml:space="preserve">Companion workbook to Student Housing Real Estate</t>
  </si>
  <si>
    <t xml:space="preserve">Student housing is the only institutional asset class whose entire rent roll expires and is re-sold every September. This workbook is the model the whole book is computed from: six room types, the rate card against what is actually collected, RevPAB, the summer, the cost base, the capital cycle, the ten-year cash flow and the exit.</t>
  </si>
  <si>
    <t xml:space="preserve">Overwrite the tape on sheet 2 with your own scheme and everything downstream moves with it, including the checks on the last sheet.</t>
  </si>
  <si>
    <t xml:space="preserve">What it computes</t>
  </si>
  <si>
    <t xml:space="preserve">The advertised rate, the collected rate and revenue per available bed — the three numbers Chapter 5 says never to quote without saying which one you mean.</t>
  </si>
  <si>
    <t xml:space="preserve">The three concessions that separate the first from the second, and what each costs.</t>
  </si>
  <si>
    <t xml:space="preserve">The summer programme on its own margin, with the two taxes Chapter 9 prices.</t>
  </si>
  <si>
    <t xml:space="preserve">The cost base per bed, the management fee on gross revenue, and net operating income.</t>
  </si>
  <si>
    <t xml:space="preserve">Capital expenditure annualised in three parts — the refurbishment cycle, the ongoing items, and the summer the cycle consumes — and the yield after all three.</t>
  </si>
  <si>
    <t xml:space="preserve">Ten years of cash flow with the cycle at its real place, the three-step exit, the value that leaves, and the discount to the asking price.</t>
  </si>
  <si>
    <t xml:space="preserve">The inputs to argue about</t>
  </si>
  <si>
    <t xml:space="preserve">Occupancy at the census, on sheet 3, on a yellow fill. Chapter 4's whole argument is that this is a price the operator chose to pay, not a measurement.</t>
  </si>
  <si>
    <t xml:space="preserve">The rate-to-occupancy elasticity, also on sheet 3. It moves no valuation in this book, and every piece of reasoning about discounting rests on it.</t>
  </si>
  <si>
    <t xml:space="preserve">The exit yield on sheet 3. On a ten-year hold it carries more of the value than the ten years of operating the building do.</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</si>
  <si>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</si>
  <si>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</si>
  <si>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</si>
  <si>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</si>
  <si>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</si>
  <si>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24 September 2026</t>
  </si>
  <si>
    <t xml:space="preserve">The first version computed twenty-one of the book's figures. The book says every number in it comes out of this model, and this sheet said the summer carried the two taxes of Chapter 9 and that the elasticity drove the reasoning on discounting; neither was in the file. Both are now.</t>
  </si>
  <si>
    <t xml:space="preserve">Added: the two taxes of the summer (sheet 6), irrecoverable VAT, the energy short position and the vacancy saving (sheet 7), the yield gap line by line (sheet 8), the return at the asking price and the bid on both conventions (sheet 10), and seven sheets: 12 the rate-and-occupancy trade, 13 what a point is worth, 14 the nomination, 15 the city and a competitor, 16 the debt, 17 a scenario engine that re-runs the ten-year value for every sensitivity, scenario and inversion in Chapters 12, 17, 19, 20 and 21, and 18 affordability and the hold.</t>
  </si>
  <si>
    <t xml:space="preserve">The checks sheet is now sheet 19 and compares 269 printed figures. Three figures in the book are corrected, and the checks sheet carries the corrected values with the book's in the note: the summer's share of the deferral gain (Chapter 12), one bad September in ten (Chapter 20), and one swing in Chapter 4.</t>
  </si>
  <si>
    <t xml:space="preserve">The new inputs are on sheet 3 below the originals. The scenario grid carries ten years, as the cash flow does.</t>
  </si>
  <si>
    <t xml:space="preserve">Six room types, one September</t>
  </si>
  <si>
    <t xml:space="preserve">Overwrite every blue cell. The rate card is the seller's; the collected rate is not.</t>
  </si>
  <si>
    <t xml:space="preserve">Room type</t>
  </si>
  <si>
    <t xml:space="preserve">Beds</t>
  </si>
  <si>
    <t xml:space="preserve">Advertised rate £/week</t>
  </si>
  <si>
    <t xml:space="preserve">Contract weeks</t>
  </si>
  <si>
    <t xml:space="preserve">Area m²</t>
  </si>
  <si>
    <t xml:space="preserve">Cluster ensuite, 5-bed</t>
  </si>
  <si>
    <t xml:space="preserve">Cluster ensuite, 7-bed</t>
  </si>
  <si>
    <t xml:space="preserve">Premium ensuite</t>
  </si>
  <si>
    <t xml:space="preserve">Studio, standard</t>
  </si>
  <si>
    <t xml:space="preserve">Studio, large</t>
  </si>
  <si>
    <t xml:space="preserve">Accessible studio</t>
  </si>
  <si>
    <t xml:space="preserve">Total / weighted average</t>
  </si>
  <si>
    <t xml:space="preserve">Advertised rent for the academic year</t>
  </si>
  <si>
    <t xml:space="preserve">Bed-weeks sold in a full year</t>
  </si>
  <si>
    <t xml:space="preserve">Every scalar input</t>
  </si>
  <si>
    <t xml:space="preserve">Assumption</t>
  </si>
  <si>
    <t xml:space="preserve">Value</t>
  </si>
  <si>
    <t xml:space="preserve">Note</t>
  </si>
  <si>
    <t xml:space="preserve">Occupancy at the census</t>
  </si>
  <si>
    <t xml:space="preserve">⚠ A decision, not a measurement — Chapter 4</t>
  </si>
  <si>
    <t xml:space="preserve">Occupancy ceiling</t>
  </si>
  <si>
    <t xml:space="preserve">Rooms out of service and changeover</t>
  </si>
  <si>
    <t xml:space="preserve">Arrears</t>
  </si>
  <si>
    <t xml:space="preserve">On the academic rent</t>
  </si>
  <si>
    <t xml:space="preserve">Early-booking discount</t>
  </si>
  <si>
    <t xml:space="preserve">Given before the end of March</t>
  </si>
  <si>
    <t xml:space="preserve">Share booking early</t>
  </si>
  <si>
    <t xml:space="preserve">Late discount</t>
  </si>
  <si>
    <t xml:space="preserve">August and September, on unsold rooms</t>
  </si>
  <si>
    <t xml:space="preserve">Share booking late</t>
  </si>
  <si>
    <t xml:space="preserve">Agent commission</t>
  </si>
  <si>
    <t xml:space="preserve">International beds</t>
  </si>
  <si>
    <t xml:space="preserve">Share through agents</t>
  </si>
  <si>
    <t xml:space="preserve">Rate-to-occupancy elasticity</t>
  </si>
  <si>
    <t xml:space="preserve">⚠ Points of occupancy per per cent of rate — Chapters 4 and 7</t>
  </si>
  <si>
    <t xml:space="preserve">Summer weeks</t>
  </si>
  <si>
    <t xml:space="preserve">Sellable, outside the academic contract</t>
  </si>
  <si>
    <t xml:space="preserve">Changeover weeks</t>
  </si>
  <si>
    <t xml:space="preserve">Summer occupancy</t>
  </si>
  <si>
    <t xml:space="preserve">Group business, lumpy</t>
  </si>
  <si>
    <t xml:space="preserve">Summer rate, share of the collected rate</t>
  </si>
  <si>
    <t xml:space="preserve">⚠ The base is a judgement — Chapter 9</t>
  </si>
  <si>
    <t xml:space="preserve">Summer direct cost ratio</t>
  </si>
  <si>
    <t xml:space="preserve">Cleaning, linen, staffing, channel</t>
  </si>
  <si>
    <t xml:space="preserve">Energy per bed</t>
  </si>
  <si>
    <t xml:space="preserve">All-inclusive rent: the landlord pays</t>
  </si>
  <si>
    <t xml:space="preserve">Water per bed</t>
  </si>
  <si>
    <t xml:space="preserve">On-site staff per bed</t>
  </si>
  <si>
    <t xml:space="preserve">Repairs per bed</t>
  </si>
  <si>
    <t xml:space="preserve">Marketing per bed</t>
  </si>
  <si>
    <t xml:space="preserve">Insurance per bed</t>
  </si>
  <si>
    <t xml:space="preserve">Business rates per bed</t>
  </si>
  <si>
    <t xml:space="preserve">Common parts only</t>
  </si>
  <si>
    <t xml:space="preserve">Other per bed</t>
  </si>
  <si>
    <t xml:space="preserve">Management fee, on gross revenue</t>
  </si>
  <si>
    <t xml:space="preserve">Not on net — Chapter 11</t>
  </si>
  <si>
    <t xml:space="preserve">Refurbishment cost per bed</t>
  </si>
  <si>
    <t xml:space="preserve">Fit-out only</t>
  </si>
  <si>
    <t xml:space="preserve">Refurbishment cycle, years</t>
  </si>
  <si>
    <t xml:space="preserve">Years since the last refurbishment</t>
  </si>
  <si>
    <t xml:space="preserve">⚠ Ask, and walk a room</t>
  </si>
  <si>
    <t xml:space="preserve">Ongoing capex per bed</t>
  </si>
  <si>
    <t xml:space="preserve">Plant, roof, lifts, systems</t>
  </si>
  <si>
    <t xml:space="preserve">Deal yield, net initial</t>
  </si>
  <si>
    <t xml:space="preserve">On price plus purchaser's costs</t>
  </si>
  <si>
    <t xml:space="preserve">Exit yield</t>
  </si>
  <si>
    <t xml:space="preserve">⚠ Somebody else's yield, ten years out</t>
  </si>
  <si>
    <t xml:space="preserve">Target return</t>
  </si>
  <si>
    <t xml:space="preserve">The discount rate</t>
  </si>
  <si>
    <t xml:space="preserve">Rate growth</t>
  </si>
  <si>
    <t xml:space="preserve">Cost growth</t>
  </si>
  <si>
    <t xml:space="preserve">Acquisition costs</t>
  </si>
  <si>
    <t xml:space="preserve">Stamp duty and fees</t>
  </si>
  <si>
    <t xml:space="preserve">Disposal costs</t>
  </si>
  <si>
    <t xml:space="preserve">Hold period, years</t>
  </si>
  <si>
    <t xml:space="preserve">Asking price</t>
  </si>
  <si>
    <t xml:space="preserve">What the vendor wants</t>
  </si>
  <si>
    <t xml:space="preserve">Added in the revised workbook (24 September 2026): the inputs the book prints in Appendix B and elsewhere that the first version did not carry</t>
  </si>
  <si>
    <t xml:space="preserve">Occupancy the pack quotes</t>
  </si>
  <si>
    <t xml:space="preserve">Chapter 1, the unit trap</t>
  </si>
  <si>
    <t xml:space="preserve">Occupancy floor an operator will not price through</t>
  </si>
  <si>
    <t xml:space="preserve">The right end of Chapter 4; not listed in Appendix B</t>
  </si>
  <si>
    <t xml:space="preserve">Re-booking rate</t>
  </si>
  <si>
    <t xml:space="preserve">Chapters 6 and 23</t>
  </si>
  <si>
    <t xml:space="preserve">Nominated beds, on offer</t>
  </si>
  <si>
    <t xml:space="preserve">Chapter 8: an offer, not a contract in place</t>
  </si>
  <si>
    <t xml:space="preserve">Nomination discount on the weekly rate</t>
  </si>
  <si>
    <t xml:space="preserve">Nomination weeks</t>
  </si>
  <si>
    <t xml:space="preserve">⚠ The agreement — check it</t>
  </si>
  <si>
    <t xml:space="preserve">Nomination term, years</t>
  </si>
  <si>
    <t xml:space="preserve">Maintenance loan outside London, maximum</t>
  </si>
  <si>
    <t xml:space="preserve">⚠ Government published</t>
  </si>
  <si>
    <t xml:space="preserve">Maintenance loan, means-tested floor</t>
  </si>
  <si>
    <t xml:space="preserve">Maintenance loan uprating</t>
  </si>
  <si>
    <t xml:space="preserve">⚠ Judgement</t>
  </si>
  <si>
    <t xml:space="preserve">Council tax per bed per calendar week, if the exemption falls</t>
  </si>
  <si>
    <t xml:space="preserve">Bedrooms losing the exemption in the summer</t>
  </si>
  <si>
    <t xml:space="preserve">⚠ Judgement — bracketed in Chapter 9</t>
  </si>
  <si>
    <t xml:space="preserve">VAT, standard rate</t>
  </si>
  <si>
    <t xml:space="preserve">VAT, reduced rate on fuel and power in qualifying residential use</t>
  </si>
  <si>
    <t xml:space="preserve">Standard-rated share of the summer direct cost</t>
  </si>
  <si>
    <t xml:space="preserve">⚠ Judgement — reception hours are wages</t>
  </si>
  <si>
    <t xml:space="preserve">Energy per bed, top of the range</t>
  </si>
  <si>
    <t xml:space="preserve">Chapter 11</t>
  </si>
  <si>
    <t xml:space="preserve">Insurance per bed, top of the range</t>
  </si>
  <si>
    <t xml:space="preserve">Variable share of energy at vacancy</t>
  </si>
  <si>
    <t xml:space="preserve">Variable share of water at vacancy</t>
  </si>
  <si>
    <t xml:space="preserve">Energy pass-through lag, years</t>
  </si>
  <si>
    <t xml:space="preserve">Students in the city</t>
  </si>
  <si>
    <t xml:space="preserve">Share living away from home</t>
  </si>
  <si>
    <t xml:space="preserve">Purpose-built beds in the city</t>
  </si>
  <si>
    <t xml:space="preserve">Beds under construction</t>
  </si>
  <si>
    <t xml:space="preserve">Supply pass-through to rate</t>
  </si>
  <si>
    <t xml:space="preserve">⚠ Judgement — uncalibrated</t>
  </si>
  <si>
    <t xml:space="preserve">Share of city stock within the walk radius</t>
  </si>
  <si>
    <t xml:space="preserve">⚠ Judgement — establish it on a map</t>
  </si>
  <si>
    <t xml:space="preserve">Competing scheme used to price a local opening, beds</t>
  </si>
  <si>
    <t xml:space="preserve">Bank loan to value</t>
  </si>
  <si>
    <t xml:space="preserve">Bank sizing cover</t>
  </si>
  <si>
    <t xml:space="preserve">Facility covenant</t>
  </si>
  <si>
    <t xml:space="preserve">⚠ The agreement, not the sizing</t>
  </si>
  <si>
    <t xml:space="preserve">Borrowing rate, all-in</t>
  </si>
  <si>
    <t xml:space="preserve">Refurbishment cost, studio against cluster</t>
  </si>
  <si>
    <t xml:space="preserve">Deferral wear accrual, cycle years</t>
  </si>
  <si>
    <t xml:space="preserve">Sensitivity shock, relative</t>
  </si>
  <si>
    <t xml:space="preserve">Chapter 19</t>
  </si>
  <si>
    <t xml:space="preserve">Occupancy in August, the incentive example</t>
  </si>
  <si>
    <t xml:space="preserve">Chapter 22</t>
  </si>
  <si>
    <t xml:space="preserve">Occupancy the operator bonus is set on</t>
  </si>
  <si>
    <t xml:space="preserve">Share of the rack rent moved from the late window to the early one</t>
  </si>
  <si>
    <t xml:space="preserve">Chapter 21</t>
  </si>
  <si>
    <t xml:space="preserve">What separates the advertised rate from the collected rate</t>
  </si>
  <si>
    <t xml:space="preserve">Each concession is its rate multiplied by the share of beds that receive it. The three add to the total discount.</t>
  </si>
  <si>
    <t xml:space="preserve">Concession</t>
  </si>
  <si>
    <t xml:space="preserve">Rate given up</t>
  </si>
  <si>
    <t xml:space="preserve">Share of beds</t>
  </si>
  <si>
    <t xml:space="preserve">Cost of the campaign</t>
  </si>
  <si>
    <t xml:space="preserve">Early booking, before end of March</t>
  </si>
  <si>
    <t xml:space="preserve">Late discounting, August and September</t>
  </si>
  <si>
    <t xml:space="preserve">Agent commission, international beds</t>
  </si>
  <si>
    <t xml:space="preserve">Total discount</t>
  </si>
  <si>
    <t xml:space="preserve">Advertised rate, weighted average £/week</t>
  </si>
  <si>
    <t xml:space="preserve">Collected rate, weighted average £/week</t>
  </si>
  <si>
    <t xml:space="preserve">Gap, advertised to collected, below the rate card</t>
  </si>
  <si>
    <t xml:space="preserve">Revenue per available bed — the number that cannot be traded</t>
  </si>
  <si>
    <t xml:space="preserve">Say which revenue and which weeks. Academic RevPAB divides academic revenue by the contract weeks; RevPAB over the whole year divides total revenue by 52.</t>
  </si>
  <si>
    <t xml:space="preserve">Measure</t>
  </si>
  <si>
    <t xml:space="preserve">Per bed-week</t>
  </si>
  <si>
    <t xml:space="preserve">Annual, per bed</t>
  </si>
  <si>
    <t xml:space="preserve">Annual, whole scheme</t>
  </si>
  <si>
    <t xml:space="preserve">Advertised rate</t>
  </si>
  <si>
    <t xml:space="preserve">Collected rate</t>
  </si>
  <si>
    <t xml:space="preserve">RevPAB, academic</t>
  </si>
  <si>
    <t xml:space="preserve">Gap, advertised rate to RevPAB, below the rate card</t>
  </si>
  <si>
    <t xml:space="preserve">A different business, with its own customers, costs and taxes</t>
  </si>
  <si>
    <t xml:space="preserve">Amount</t>
  </si>
  <si>
    <t xml:space="preserve">Weeks available</t>
  </si>
  <si>
    <t xml:space="preserve">Outside the academic contract</t>
  </si>
  <si>
    <t xml:space="preserve">Occupancy achieved</t>
  </si>
  <si>
    <t xml:space="preserve">Rate, share of the collected rate</t>
  </si>
  <si>
    <t xml:space="preserve">⚠ The base is a judgement</t>
  </si>
  <si>
    <t xml:space="preserve">Summer rate £/week</t>
  </si>
  <si>
    <t xml:space="preserve">Gross summer revenue</t>
  </si>
  <si>
    <t xml:space="preserve">Beds x weeks x occupancy x rate</t>
  </si>
  <si>
    <t xml:space="preserve">Direct cost of the activity</t>
  </si>
  <si>
    <t xml:space="preserve">Net contribution</t>
  </si>
  <si>
    <t xml:space="preserve">Before the management fee and before tax</t>
  </si>
  <si>
    <t xml:space="preserve">The two taxes the summer attracts (Chapter 9)</t>
  </si>
  <si>
    <t xml:space="preserve">Output VAT inside the gross: short-stay accommodation is standard-rated</t>
  </si>
  <si>
    <t xml:space="preserve">The upper bound: the price is VAT-inclusive</t>
  </si>
  <si>
    <t xml:space="preserve">Council tax on the whole block for the summer weeks</t>
  </si>
  <si>
    <t xml:space="preserve">If every bedroom lost the exemption</t>
  </si>
  <si>
    <t xml:space="preserve">Council tax, the model: the share of bedrooms that lose it</t>
  </si>
  <si>
    <t xml:space="preserve">⚠ One delegate in a cluster makes the whole flat chargeable</t>
  </si>
  <si>
    <t xml:space="preserve">Council tax, low end: only the beds actually sold</t>
  </si>
  <si>
    <t xml:space="preserve">The two taxes together, the model</t>
  </si>
  <si>
    <t xml:space="preserve">  low end</t>
  </si>
  <si>
    <t xml:space="preserve">  high end</t>
  </si>
  <si>
    <t xml:space="preserve">Net contribution after the two taxes, before the management fee</t>
  </si>
  <si>
    <t xml:space="preserve">Chapter 1 prints it</t>
  </si>
  <si>
    <t xml:space="preserve">Contribution to net operating income, after the management fee</t>
  </si>
  <si>
    <t xml:space="preserve">Contribution after the fee and both taxes: the figure to underwrite</t>
  </si>
  <si>
    <t xml:space="preserve">The fee falls with the VAT</t>
  </si>
  <si>
    <t xml:space="preserve">  of which the fee the VAT takes with it</t>
  </si>
  <si>
    <t xml:space="preserve">  the fall in contribution the taxes cause</t>
  </si>
  <si>
    <t xml:space="preserve">Share of net operating income, after the fee</t>
  </si>
  <si>
    <t xml:space="preserve">Share of net operating income, after the taxes</t>
  </si>
  <si>
    <t xml:space="preserve">Halving the after-tax contribution, in value at the deal yield</t>
  </si>
  <si>
    <t xml:space="preserve">Summer revenue if 62 per cent is struck on the advertised rate instead</t>
  </si>
  <si>
    <t xml:space="preserve">The judgement in one word</t>
  </si>
  <si>
    <t xml:space="preserve">  extra net income before the taxes</t>
  </si>
  <si>
    <t xml:space="preserve">  in value at the deal yield</t>
  </si>
  <si>
    <t xml:space="preserve">The council tax exemption on the bedrooms, a full calendar year</t>
  </si>
  <si>
    <t xml:space="preserve">  as a multiple of the summer net contribution</t>
  </si>
  <si>
    <t xml:space="preserve">What a vacant bed does not save</t>
  </si>
  <si>
    <t xml:space="preserve">Cost line</t>
  </si>
  <si>
    <t xml:space="preserve">Per bed</t>
  </si>
  <si>
    <t xml:space="preserve">Whole scheme</t>
  </si>
  <si>
    <t xml:space="preserve">Share of costs</t>
  </si>
  <si>
    <t xml:space="preserve">Energy — all-inclusive rent</t>
  </si>
  <si>
    <t xml:space="preserve">Water</t>
  </si>
  <si>
    <t xml:space="preserve">On-site staff</t>
  </si>
  <si>
    <t xml:space="preserve">Repairs and maintenance</t>
  </si>
  <si>
    <t xml:space="preserve">Marketing and lettings</t>
  </si>
  <si>
    <t xml:space="preserve">Insurance</t>
  </si>
  <si>
    <t xml:space="preserve">Business rates on the common parts</t>
  </si>
  <si>
    <t xml:space="preserve">Other</t>
  </si>
  <si>
    <t xml:space="preserve">Summer programme, direct cost</t>
  </si>
  <si>
    <t xml:space="preserve">Direct total</t>
  </si>
  <si>
    <t xml:space="preserve">Total revenue</t>
  </si>
  <si>
    <t xml:space="preserve">Total costs</t>
  </si>
  <si>
    <t xml:space="preserve">Net operating income</t>
  </si>
  <si>
    <t xml:space="preserve">Margin</t>
  </si>
  <si>
    <t xml:space="preserve">Irrecoverable VAT (Chapter 11): bases VAT-inclusive, the tax extracted</t>
  </si>
  <si>
    <t xml:space="preserve">Base</t>
  </si>
  <si>
    <t xml:space="preserve">Fraction</t>
  </si>
  <si>
    <t xml:space="preserve">VAT</t>
  </si>
  <si>
    <t xml:space="preserve">Summer direct cost, standard-rated part</t>
  </si>
  <si>
    <t xml:space="preserve">Management fee</t>
  </si>
  <si>
    <t xml:space="preserve">Standard-rated base, all five lines</t>
  </si>
  <si>
    <t xml:space="preserve">Energy, reduced-rated in qualifying residential use</t>
  </si>
  <si>
    <t xml:space="preserve">Total</t>
  </si>
  <si>
    <t xml:space="preserve">Irrecoverable VAT per bed</t>
  </si>
  <si>
    <t xml:space="preserve">  share of the cost base</t>
  </si>
  <si>
    <t xml:space="preserve">If the tax were added at the rates instead of extracted: overstatement</t>
  </si>
  <si>
    <t xml:space="preserve">If energy were taxed at the standard rate: the bill</t>
  </si>
  <si>
    <t xml:space="preserve">  overstatement</t>
  </si>
  <si>
    <t xml:space="preserve">Input tax recoverable against the standard-rated summer supply</t>
  </si>
  <si>
    <t xml:space="preserve">  share of the total</t>
  </si>
  <si>
    <t xml:space="preserve">Irrecoverable VAT net of that recovery</t>
  </si>
  <si>
    <t xml:space="preserve">Energy and insurance at the top of their ranges: extra cost</t>
  </si>
  <si>
    <t xml:space="preserve">  margin after</t>
  </si>
  <si>
    <t xml:space="preserve">  value lost at the deal yield</t>
  </si>
  <si>
    <t xml:space="preserve">Five points of vacancy: what water and energy would save</t>
  </si>
  <si>
    <t xml:space="preserve">  per point: how much the model overstates a point of occupancy</t>
  </si>
  <si>
    <t xml:space="preserve">The energy short position (Chapter 10)</t>
  </si>
  <si>
    <t xml:space="preserve">Energy cost moves by</t>
  </si>
  <si>
    <t xml:space="preserve">Effect on net income</t>
  </si>
  <si>
    <t xml:space="preserve">Share of net income</t>
  </si>
  <si>
    <t xml:space="preserve">Value of the lag</t>
  </si>
  <si>
    <t xml:space="preserve">If never passed through</t>
  </si>
  <si>
    <t xml:space="preserve">The rise in energy that erases the whole management fee</t>
  </si>
  <si>
    <t xml:space="preserve">Annualised in three parts, and the yield after all three</t>
  </si>
  <si>
    <t xml:space="preserve">A cycle year has no summer programme: the rooms cannot be refurbished and let to a language school in the same six weeks. That forgone summer is the third line.</t>
  </si>
  <si>
    <t xml:space="preserve">Per bed, per year</t>
  </si>
  <si>
    <t xml:space="preserve">Refurbishment cycle</t>
  </si>
  <si>
    <t xml:space="preserve">Ongoing capital items</t>
  </si>
  <si>
    <t xml:space="preserve">The summer the cycle consumes, one year in the cycle</t>
  </si>
  <si>
    <t xml:space="preserve">Total capital expenditure</t>
  </si>
  <si>
    <t xml:space="preserve">Quoted net initial yield</t>
  </si>
  <si>
    <t xml:space="preserve">Net initial yield after capex</t>
  </si>
  <si>
    <t xml:space="preserve">The gap, in basis points</t>
  </si>
  <si>
    <t xml:space="preserve">The yield gap, line by line, in basis points</t>
  </si>
  <si>
    <t xml:space="preserve">  the refurbishment cycle</t>
  </si>
  <si>
    <t xml:space="preserve">  the ongoing capital items</t>
  </si>
  <si>
    <t xml:space="preserve">  the summer the cycle consumes</t>
  </si>
  <si>
    <t xml:space="preserve">Yield on price alone</t>
  </si>
  <si>
    <t xml:space="preserve">Yield on price alone, after capex</t>
  </si>
  <si>
    <t xml:space="preserve">The four yields, end to end, in basis points</t>
  </si>
  <si>
    <t xml:space="preserve">Refurbishment per bed, cluster and premium ensuite</t>
  </si>
  <si>
    <t xml:space="preserve">Refurbishment per bed, studios including accessible</t>
  </si>
  <si>
    <t xml:space="preserve">The cycle already run at acquisition, inherited by the buyer</t>
  </si>
  <si>
    <t xml:space="preserve">The refurbishment year's spend, as a share of that year's net income</t>
  </si>
  <si>
    <t xml:space="preserve">The cycle at its real place, not smoothed</t>
  </si>
  <si>
    <t xml:space="preserve">The refurbishment lands where the building actually is in its cycle, and that year loses the summer. Both are formulas, not switches.</t>
  </si>
  <si>
    <t xml:space="preserve">Year</t>
  </si>
  <si>
    <t xml:space="preserve">Revenue</t>
  </si>
  <si>
    <t xml:space="preserve">Costs</t>
  </si>
  <si>
    <t xml:space="preserve">Net income</t>
  </si>
  <si>
    <t xml:space="preserve">Capex</t>
  </si>
  <si>
    <t xml:space="preserve">Refurbishment</t>
  </si>
  <si>
    <t xml:space="preserve">Cash flow</t>
  </si>
  <si>
    <t xml:space="preserve">Three steps, and the price that leaves</t>
  </si>
  <si>
    <t xml:space="preserve">Step</t>
  </si>
  <si>
    <t xml:space="preserve">Year-eleven net income</t>
  </si>
  <si>
    <t xml:space="preserve">No cycle in year eleven: the buyer inherits it</t>
  </si>
  <si>
    <t xml:space="preserve">Capitalised at the exit yield, on price plus purchaser's costs</t>
  </si>
  <si>
    <t xml:space="preserve">The convention the next buyer will use</t>
  </si>
  <si>
    <t xml:space="preserve">Memo — the refurbishment cycle run but not funded at exit</t>
  </si>
  <si>
    <t xml:space="preserve">Shown so the line below reconciles; not itself added</t>
  </si>
  <si>
    <t xml:space="preserve">Less that debt at the next buyer's convention</t>
  </si>
  <si>
    <t xml:space="preserve">A cost carried outside the price reduces a price by itself divided by one plus the costs</t>
  </si>
  <si>
    <t xml:space="preserve">Less sale costs, on the capitalised price</t>
  </si>
  <si>
    <t xml:space="preserve">Net proceeds</t>
  </si>
  <si>
    <t xml:space="preserve">Present value of ten years of cash flow</t>
  </si>
  <si>
    <t xml:space="preserve">Present value of the exit</t>
  </si>
  <si>
    <t xml:space="preserve">Total present value, all-in</t>
  </si>
  <si>
    <t xml:space="preserve">Share of value that is the exit</t>
  </si>
  <si>
    <t xml:space="preserve">Share of value that is ten years of operating</t>
  </si>
  <si>
    <t xml:space="preserve">The price that leaves</t>
  </si>
  <si>
    <t xml:space="preserve">Below the asking price</t>
  </si>
  <si>
    <t xml:space="preserve">The return on the asking price, and the bid on both conventions</t>
  </si>
  <si>
    <t xml:space="preserve">Year 0: the asking price plus purchaser's costs</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</si>
  <si>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</si>
  <si>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</si>
  <si>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</si>
  <si>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</si>
  <si>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</si>
  <si>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</si>
  <si>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</si>
  <si>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</si>
  <si>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</si>
  <si>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 with the net proceeds</t>
  </si>
  <si>
    <t xml:space="preserve">Internal rate of return at the asking price</t>
  </si>
  <si>
    <t xml:space="preserve">Capitalising year-eleven income and stopping: how high it lands</t>
  </si>
  <si>
    <t xml:space="preserve">Asking price less the inherited cycle, at the same convention</t>
  </si>
  <si>
    <t xml:space="preserve">The bid below that</t>
  </si>
  <si>
    <t xml:space="preserve">  the part of the discount that is convention</t>
  </si>
  <si>
    <t xml:space="preserve">Yield at the bid, on current net income</t>
  </si>
  <si>
    <t xml:space="preserve">Yield at the bid, after capex</t>
  </si>
  <si>
    <t xml:space="preserve">Yield at the bid on price alone</t>
  </si>
  <si>
    <t xml:space="preserve">Extra yield the bid buys, basis points</t>
  </si>
  <si>
    <t xml:space="preserve">The false pick-up: bid on price, asking on price plus costs, basis points</t>
  </si>
  <si>
    <t xml:space="preserve">Price a bed at the asking price</t>
  </si>
  <si>
    <t xml:space="preserve">Price a bed at the bid</t>
  </si>
  <si>
    <t xml:space="preserve">The price as a multiple of net operating income</t>
  </si>
  <si>
    <t xml:space="preserve">The all-in outlay as a multiple of net operating income</t>
  </si>
  <si>
    <t xml:space="preserve">The all-in multiple at a 7.75 per cent yield</t>
  </si>
  <si>
    <t xml:space="preserve">Occupancy is a decision: the trade, at the elasticity on sheet 3</t>
  </si>
  <si>
    <t xml:space="preserve">Chapters 4, 7 and 22. The rate range runs from the discount that fills the building to the commercial floor; both ends come from sheet 3.</t>
  </si>
  <si>
    <t xml:space="preserve">Left end: the rate change that fills every lettable bed</t>
  </si>
  <si>
    <t xml:space="preserve">Right end: the rate change that reaches the commercial floor</t>
  </si>
  <si>
    <t xml:space="preserve">Row</t>
  </si>
  <si>
    <t xml:space="preserve">Change in rate</t>
  </si>
  <si>
    <t xml:space="preserve">Revenue, academic</t>
  </si>
  <si>
    <t xml:space="preserve">RevPAB</t>
  </si>
  <si>
    <t xml:space="preserve">vs base</t>
  </si>
  <si>
    <t xml:space="preserve">Occupancy spanned, points</t>
  </si>
  <si>
    <t xml:space="preserve">Revenue across the range, on the larger of the two ends</t>
  </si>
  <si>
    <t xml:space="preserve">Beds empty at the commercial floor</t>
  </si>
  <si>
    <t xml:space="preserve">Elasticity (a step, not an input)</t>
  </si>
  <si>
    <t xml:space="preserve">Left end</t>
  </si>
  <si>
    <t xml:space="preserve">Right end</t>
  </si>
  <si>
    <t xml:space="preserve">Width, in rate</t>
  </si>
  <si>
    <t xml:space="preserve">Walk to fill: + earned, − given up</t>
  </si>
  <si>
    <t xml:space="preserve">Full swing, on the larger</t>
  </si>
  <si>
    <t xml:space="preserve">Per point of occupancy</t>
  </si>
  <si>
    <t xml:space="preserve">The elasticity at which the whole walk is neutral</t>
  </si>
  <si>
    <t xml:space="preserve">The marginal break-even elasticity, in this book's units: the occupancy rate</t>
  </si>
  <si>
    <t xml:space="preserve">Chapter 7</t>
  </si>
  <si>
    <t xml:space="preserve">Chapter 4's elasticity in textbook units</t>
  </si>
  <si>
    <t xml:space="preserve">The marginal break-even is 1.00 in these units</t>
  </si>
  <si>
    <t xml:space="preserve">General discount that just breaks even, per point gained</t>
  </si>
  <si>
    <t xml:space="preserve">Discount the assumed elasticity requires, per point gained</t>
  </si>
  <si>
    <t xml:space="preserve">How far the elasticity clears the marginal break-even</t>
  </si>
  <si>
    <t xml:space="preserve">The cut in the elasticity that removes the case for any general discount</t>
  </si>
  <si>
    <t xml:space="preserve">The unit ratio: a point of occupancy against a per cent of rate</t>
  </si>
  <si>
    <t xml:space="preserve">Units, not economics</t>
  </si>
  <si>
    <t xml:space="preserve">The August incentive (Chapter 22)</t>
  </si>
  <si>
    <t xml:space="preserve">Points to close to the bonus target</t>
  </si>
  <si>
    <t xml:space="preserve">General discount that closes them at the assumed elasticity</t>
  </si>
  <si>
    <t xml:space="preserve">Net operating income the points add</t>
  </si>
  <si>
    <t xml:space="preserve">What the report shows</t>
  </si>
  <si>
    <t xml:space="preserve">Net operating income the discount costs</t>
  </si>
  <si>
    <t xml:space="preserve">Net to the owner</t>
  </si>
  <si>
    <t xml:space="preserve">Discount the same points need at the break-even elasticity</t>
  </si>
  <si>
    <t xml:space="preserve">  net to the owner at that elasticity</t>
  </si>
  <si>
    <t xml:space="preserve">Nil by construction</t>
  </si>
  <si>
    <t xml:space="preserve">The management fee, in points of occupancy</t>
  </si>
  <si>
    <t xml:space="preserve">The gap between what the bonus pays for and what the owner gets, as a share of the fee</t>
  </si>
  <si>
    <t xml:space="preserve">One point of occupancy, the campaign and the discount decision</t>
  </si>
  <si>
    <t xml:space="preserve">Chapters 1, 3, 5, 6, 7 and 21. Every figure is net operating income unless the line says revenue.</t>
  </si>
  <si>
    <t xml:space="preserve">One point of occupancy, in beds</t>
  </si>
  <si>
    <t xml:space="preserve">One point, on the rent roll (revenue)</t>
  </si>
  <si>
    <t xml:space="preserve">One point, in net operating income</t>
  </si>
  <si>
    <t xml:space="preserve">One point, capitalised at the deal yield</t>
  </si>
  <si>
    <t xml:space="preserve">A general discount of 1 per cent across the rent roll, in net operating income</t>
  </si>
  <si>
    <t xml:space="preserve">The general discount that breaks even, per point gained</t>
  </si>
  <si>
    <t xml:space="preserve">The same test set against revenue instead: the wrong threshold</t>
  </si>
  <si>
    <t xml:space="preserve">Wrong by the management fee</t>
  </si>
  <si>
    <t xml:space="preserve">  the error</t>
  </si>
  <si>
    <t xml:space="preserve">The discount decision</t>
  </si>
  <si>
    <t xml:space="preserve">The operator proposes</t>
  </si>
  <si>
    <t xml:space="preserve">Cost of the discount</t>
  </si>
  <si>
    <t xml:space="preserve">Value of the occupancy gained</t>
  </si>
  <si>
    <t xml:space="preserve">Net</t>
  </si>
  <si>
    <t xml:space="preserve">5 per cent off the remaining beds to gain one point</t>
  </si>
  <si>
    <t xml:space="preserve">1 per cent off the whole rent roll to gain one point</t>
  </si>
  <si>
    <t xml:space="preserve">The break-even discount off the whole rent roll, one point</t>
  </si>
  <si>
    <t xml:space="preserve">3 per cent off the whole rent roll to gain two points</t>
  </si>
  <si>
    <t xml:space="preserve">The campaign, window by window (Chapter 6): net operating income per bed sold</t>
  </si>
  <si>
    <t xml:space="preserve">Annual collected rate per bed</t>
  </si>
  <si>
    <t xml:space="preserve">Net income per bed, after the fee and the arrears that fall with it</t>
  </si>
  <si>
    <t xml:space="preserve">November to March: the early-booking discount</t>
  </si>
  <si>
    <t xml:space="preserve">August: the targeted late discount</t>
  </si>
  <si>
    <t xml:space="preserve">September: a general discount, or the whole bed</t>
  </si>
  <si>
    <t xml:space="preserve">September against November</t>
  </si>
  <si>
    <t xml:space="preserve">Points missed at the census</t>
  </si>
  <si>
    <t xml:space="preserve">Occupancy</t>
  </si>
  <si>
    <t xml:space="preserve">Beds empty</t>
  </si>
  <si>
    <t xml:space="preserve">vs asking</t>
  </si>
  <si>
    <t xml:space="preserve">The re-booking rate (Chapter 6)</t>
  </si>
  <si>
    <t xml:space="preserve">Returning beds</t>
  </si>
  <si>
    <t xml:space="preserve">What a returner saves the campaign, per bed</t>
  </si>
  <si>
    <t xml:space="preserve">  across the returners, revenue</t>
  </si>
  <si>
    <t xml:space="preserve">  net operating income</t>
  </si>
  <si>
    <t xml:space="preserve">  capitalised</t>
  </si>
  <si>
    <t xml:space="preserve">Moving the campaign forward (Chapter 21)</t>
  </si>
  <si>
    <t xml:space="preserve">Rack rent moved from the late window to the early one, net income a year</t>
  </si>
  <si>
    <t xml:space="preserve">One unlet bed, by product (Chapter 7)</t>
  </si>
  <si>
    <t xml:space="preserve">Revenue per bed</t>
  </si>
  <si>
    <t xml:space="preserve">Marginal net income</t>
  </si>
  <si>
    <t xml:space="preserve">One empty bed, capitalised</t>
  </si>
  <si>
    <t xml:space="preserve">Weighted by beds: the capitalised value of one empty bed</t>
  </si>
  <si>
    <t xml:space="preserve">Reconciles to a point divided by its beds</t>
  </si>
  <si>
    <t xml:space="preserve">  the value of a point divided by the beds in it</t>
  </si>
  <si>
    <t xml:space="preserve">Studios against shared-flat rooms, weighted by beds</t>
  </si>
  <si>
    <t xml:space="preserve">The extremes: the dearest room against the cheapest</t>
  </si>
  <si>
    <t xml:space="preserve">The unit trap (Chapter 1): studio income annualised by 52 on the quoted occupancy</t>
  </si>
  <si>
    <t xml:space="preserve">Studios, beds</t>
  </si>
  <si>
    <t xml:space="preserve">Average advertised rate</t>
  </si>
  <si>
    <t xml:space="preserve">What the analyst reports</t>
  </si>
  <si>
    <t xml:space="preserve">The correct figure</t>
  </si>
  <si>
    <t xml:space="preserve">The error</t>
  </si>
  <si>
    <t xml:space="preserve">  the weeks</t>
  </si>
  <si>
    <t xml:space="preserve">  the rate card instead of the rate collected</t>
  </si>
  <si>
    <t xml:space="preserve">  the occupancy quoted</t>
  </si>
  <si>
    <t xml:space="preserve">  the arrears</t>
  </si>
  <si>
    <t xml:space="preserve">Annualising the whole building by 52 instead of the contract weeks</t>
  </si>
  <si>
    <t xml:space="preserve">The campaign in cash (Chapter 3)</t>
  </si>
  <si>
    <t xml:space="preserve">Income the rate card promises and the bank never sees</t>
  </si>
  <si>
    <t xml:space="preserve">Agent commission, a year</t>
  </si>
  <si>
    <t xml:space="preserve">Arrears, a year</t>
  </si>
  <si>
    <t xml:space="preserve">Vacancy and arrears together, below the collected rate</t>
  </si>
  <si>
    <t xml:space="preserve">RevPAB over all 52 weeks of opening</t>
  </si>
  <si>
    <t xml:space="preserve">Two schemes, one number (Chapters 3 and 5): an illustration, on the same three concessions and the same arrears</t>
  </si>
  <si>
    <t xml:space="preserve">Scheme A</t>
  </si>
  <si>
    <t xml:space="preserve">Scheme B</t>
  </si>
  <si>
    <t xml:space="preserve">Occupancy at census</t>
  </si>
  <si>
    <t xml:space="preserve">Share booked early</t>
  </si>
  <si>
    <t xml:space="preserve">Share booked late</t>
  </si>
  <si>
    <t xml:space="preserve">Campaign discount, computed</t>
  </si>
  <si>
    <t xml:space="preserve">RevPAB, after arrears</t>
  </si>
  <si>
    <t xml:space="preserve">Scheme A earns more per available bed by</t>
  </si>
  <si>
    <t xml:space="preserve">The university offer, priced: an insurance contract with a premium</t>
  </si>
  <si>
    <t xml:space="preserve">Chapters 8, 15 and 23. The tape is direct-let: this sheet prices an offer, it changes nothing upstream.</t>
  </si>
  <si>
    <t xml:space="preserve">Beds in the two cluster products</t>
  </si>
  <si>
    <t xml:space="preserve">Their advertised rate</t>
  </si>
  <si>
    <t xml:space="preserve">Their collected rate: the direct-let comparison</t>
  </si>
  <si>
    <t xml:space="preserve">The nomination rate</t>
  </si>
  <si>
    <t xml:space="preserve">Direct let, annual per bed if fully let</t>
  </si>
  <si>
    <t xml:space="preserve">Nomination, annual per bed</t>
  </si>
  <si>
    <t xml:space="preserve">Direct let, annual per bed expected</t>
  </si>
  <si>
    <t xml:space="preserve">Discount, actually, on the gross direct rent</t>
  </si>
  <si>
    <t xml:space="preserve">Discount, on the expected direct rent</t>
  </si>
  <si>
    <t xml:space="preserve">  the gap between the two, in points</t>
  </si>
  <si>
    <t xml:space="preserve">The premium per bed a year: expected direct income given up</t>
  </si>
  <si>
    <t xml:space="preserve">  across the nominated block</t>
  </si>
  <si>
    <t xml:space="preserve">What the six weeks alone are worth across the block</t>
  </si>
  <si>
    <t xml:space="preserve">Break-even: direct occupancy below which the nomination pays</t>
  </si>
  <si>
    <t xml:space="preserve">Share of the building nominated</t>
  </si>
  <si>
    <t xml:space="preserve">The common error: premium benchmarked on the building average</t>
  </si>
  <si>
    <t xml:space="preserve">  overstated by</t>
  </si>
  <si>
    <t xml:space="preserve">  the building average against the cluster rate</t>
  </si>
  <si>
    <t xml:space="preserve">What the offer is worth, in the currency of the bid</t>
  </si>
  <si>
    <t xml:space="preserve">Total revenue with the nomination signed</t>
  </si>
  <si>
    <t xml:space="preserve">Net operating income with the nomination signed</t>
  </si>
  <si>
    <t xml:space="preserve">Value at the deal yield</t>
  </si>
  <si>
    <t xml:space="preserve">Effect on value</t>
  </si>
  <si>
    <t xml:space="preserve">Share of revenue that is contractual</t>
  </si>
  <si>
    <t xml:space="preserve">The yield at which the nomination pays for itself</t>
  </si>
  <si>
    <t xml:space="preserve">  a tightening of, in basis points</t>
  </si>
  <si>
    <t xml:space="preserve">The credit the university brings (Chapter 15)</t>
  </si>
  <si>
    <t xml:space="preserve">Arrears avoided on the nominated beds, on expected income</t>
  </si>
  <si>
    <t xml:space="preserve">  as a share of the premium</t>
  </si>
  <si>
    <t xml:space="preserve">The share of income re-let each year (Chapter 23)</t>
  </si>
  <si>
    <t xml:space="preserve">Academic revenue with the nomination signed</t>
  </si>
  <si>
    <t xml:space="preserve">  the university's share</t>
  </si>
  <si>
    <t xml:space="preserve">Income re-let each year with the nomination</t>
  </si>
  <si>
    <t xml:space="preserve">Share of the year sold, all beds direct let</t>
  </si>
  <si>
    <t xml:space="preserve">Share of the year sold, with the nomination</t>
  </si>
  <si>
    <t xml:space="preserve">The market in the only geography that matters, and what an opening costs</t>
  </si>
  <si>
    <t xml:space="preserve">Chapters 13, 14 and 21. The pass-through is a judgement; the denominator is the point.</t>
  </si>
  <si>
    <t xml:space="preserve">Addressable demand: students living away from home</t>
  </si>
  <si>
    <t xml:space="preserve">Beds per 100 addressable students</t>
  </si>
  <si>
    <t xml:space="preserve">After the pipeline</t>
  </si>
  <si>
    <t xml:space="preserve">The pipeline as an increase in supply</t>
  </si>
  <si>
    <t xml:space="preserve">This scheme as a share of city stock</t>
  </si>
  <si>
    <t xml:space="preserve">Beds per 100 students, the headline ratio</t>
  </si>
  <si>
    <t xml:space="preserve">Beds inside the walk radius</t>
  </si>
  <si>
    <t xml:space="preserve">  schemes the size of this one</t>
  </si>
  <si>
    <t xml:space="preserve">Net income that moves with the rate: academic after the fee, summer after its costs</t>
  </si>
  <si>
    <t xml:space="preserve">New beds in the market</t>
  </si>
  <si>
    <t xml:space="preserve">Increase in supply</t>
  </si>
  <si>
    <t xml:space="preserve">Effect on rate</t>
  </si>
  <si>
    <t xml:space="preserve">The competing scheme, on the walk-radius denominator</t>
  </si>
  <si>
    <t xml:space="preserve">The whole committed pipeline as a share of the asking price</t>
  </si>
  <si>
    <t xml:space="preserve">Value after the committed pipeline</t>
  </si>
  <si>
    <t xml:space="preserve">A local opening against a city-wide reading of the same beds</t>
  </si>
  <si>
    <t xml:space="preserve">What a lender will lend, on both prices, and where it breaks</t>
  </si>
  <si>
    <t xml:space="preserve">Chapter 18. Cover is tested on net income after capex, the honest basis; a point of occupancy is sheet 13.</t>
  </si>
  <si>
    <t xml:space="preserve">Loan to value, on the asking price</t>
  </si>
  <si>
    <t xml:space="preserve">Interest cover before capex</t>
  </si>
  <si>
    <t xml:space="preserve">Interest cover after capex</t>
  </si>
  <si>
    <t xml:space="preserve">He lends the lowest</t>
  </si>
  <si>
    <t xml:space="preserve">  as a share of the price</t>
  </si>
  <si>
    <t xml:space="preserve">What a lender sizing before capex advances</t>
  </si>
  <si>
    <t xml:space="preserve">  the difference</t>
  </si>
  <si>
    <t xml:space="preserve">Loan to value on the bid</t>
  </si>
  <si>
    <t xml:space="preserve">The loan on the bid: the lowest of the two tests</t>
  </si>
  <si>
    <t xml:space="preserve">The asking-price loan as a share of the bid</t>
  </si>
  <si>
    <t xml:space="preserve">Yield after capex at the asking price</t>
  </si>
  <si>
    <t xml:space="preserve">Yield after capex at the bid</t>
  </si>
  <si>
    <t xml:space="preserve">Spread of the debt at the asking price, basis points</t>
  </si>
  <si>
    <t xml:space="preserve">Spread of the debt at the bid, basis points</t>
  </si>
  <si>
    <t xml:space="preserve">Cash return on equity at the bid</t>
  </si>
  <si>
    <t xml:space="preserve">All-in outlay</t>
  </si>
  <si>
    <t xml:space="preserve">Debt</t>
  </si>
  <si>
    <t xml:space="preserve">Equity</t>
  </si>
  <si>
    <t xml:space="preserve">Interest</t>
  </si>
  <si>
    <t xml:space="preserve">Cash after interest</t>
  </si>
  <si>
    <t xml:space="preserve">Cash return on equity</t>
  </si>
  <si>
    <t xml:space="preserve">Ungeared</t>
  </si>
  <si>
    <t xml:space="preserve">What the gearing costs, basis points</t>
  </si>
  <si>
    <t xml:space="preserve">The covenant</t>
  </si>
  <si>
    <t xml:space="preserve">Cover at the tape, retained loan</t>
  </si>
  <si>
    <t xml:space="preserve">Occupancy at which the retained loan breaches</t>
  </si>
  <si>
    <t xml:space="preserve">  headroom, points</t>
  </si>
  <si>
    <t xml:space="preserve">Cover at the tape, loan on the bid</t>
  </si>
  <si>
    <t xml:space="preserve">Occupancy at which the loan on the bid breaches</t>
  </si>
  <si>
    <t xml:space="preserve">Interest cover</t>
  </si>
  <si>
    <t xml:space="preserve">Position</t>
  </si>
  <si>
    <t xml:space="preserve">The ten-year value re-run under other assumptions: sensitivities, scenarios, inversions</t>
  </si>
  <si>
    <t xml:space="preserve">Chapters 12, 17, 19, 20 and 21. Each row is the whole cash flow of sheet 9 and the exit of sheet 10 under its own six parameters. The base row reproduces sheet 10.</t>
  </si>
  <si>
    <t xml:space="preserve">Shocks (steps, not inputs of the building)</t>
  </si>
  <si>
    <t xml:space="preserve">Collected academic rent at full occupancy, net of arrears</t>
  </si>
  <si>
    <t xml:space="preserve">Practitioner: occupancy, points</t>
  </si>
  <si>
    <t xml:space="preserve">Summer revenue</t>
  </si>
  <si>
    <t xml:space="preserve">Practitioner: each growth rate</t>
  </si>
  <si>
    <t xml:space="preserve">Summer direct cost</t>
  </si>
  <si>
    <t xml:space="preserve">Practitioner: exit yield</t>
  </si>
  <si>
    <t xml:space="preserve">Direct costs, summer included</t>
  </si>
  <si>
    <t xml:space="preserve">Business: occupancy missed</t>
  </si>
  <si>
    <t xml:space="preserve">Ongoing capex, whole scheme</t>
  </si>
  <si>
    <t xml:space="preserve">Business: rate growth falls to</t>
  </si>
  <si>
    <t xml:space="preserve">The refurbishment, whole scheme</t>
  </si>
  <si>
    <t xml:space="preserve">Business: cost growth rises to</t>
  </si>
  <si>
    <t xml:space="preserve">Business: exit yield out by</t>
  </si>
  <si>
    <t xml:space="preserve">Structural: exit yield held tighter by</t>
  </si>
  <si>
    <t xml:space="preserve">Structural: growth gap widened by</t>
  </si>
  <si>
    <t xml:space="preserve">Hold, years (the grid carries ten)</t>
  </si>
  <si>
    <t xml:space="preserve">Scenario</t>
  </si>
  <si>
    <t xml:space="preserve">Years since refurb.</t>
  </si>
  <si>
    <t xml:space="preserve">Refurbish before sale</t>
  </si>
  <si>
    <t xml:space="preserve">Year 10</t>
  </si>
  <si>
    <t xml:space="preserve">Year-11 net income</t>
  </si>
  <si>
    <t xml:space="preserve">Year number (the formulas read this row)</t>
  </si>
  <si>
    <t xml:space="preserve">Base case: reproduces sheet 10</t>
  </si>
  <si>
    <t xml:space="preserve">Relative: occupancy down</t>
  </si>
  <si>
    <t xml:space="preserve">Relative: occupancy up</t>
  </si>
  <si>
    <t xml:space="preserve">Relative: exit yield down</t>
  </si>
  <si>
    <t xml:space="preserve">Relative: exit yield up</t>
  </si>
  <si>
    <t xml:space="preserve">Relative: rate growth down</t>
  </si>
  <si>
    <t xml:space="preserve">Relative: rate growth up</t>
  </si>
  <si>
    <t xml:space="preserve">Relative: cost growth down</t>
  </si>
  <si>
    <t xml:space="preserve">Relative: cost growth up</t>
  </si>
  <si>
    <t xml:space="preserve">Practitioner: rate growth down</t>
  </si>
  <si>
    <t xml:space="preserve">Practitioner: rate growth up</t>
  </si>
  <si>
    <t xml:space="preserve">Practitioner: exit yield down</t>
  </si>
  <si>
    <t xml:space="preserve">Practitioner: exit yield up</t>
  </si>
  <si>
    <t xml:space="preserve">Practitioner: cost growth down</t>
  </si>
  <si>
    <t xml:space="preserve">Practitioner: cost growth up</t>
  </si>
  <si>
    <t xml:space="preserve">Practitioner: occupancy down</t>
  </si>
  <si>
    <t xml:space="preserve">Practitioner: occupancy up</t>
  </si>
  <si>
    <t xml:space="preserve">Business: five points of occupancy missed, permanently</t>
  </si>
  <si>
    <t xml:space="preserve">Business: rate growth falls</t>
  </si>
  <si>
    <t xml:space="preserve">Business: cost growth rises</t>
  </si>
  <si>
    <t xml:space="preserve">Business: exit yield moves out</t>
  </si>
  <si>
    <t xml:space="preserve">Business: rate growth equals cost growth</t>
  </si>
  <si>
    <t xml:space="preserve">Exit yield equal to the entry yield</t>
  </si>
  <si>
    <t xml:space="preserve">Refurbishment deferred one year</t>
  </si>
  <si>
    <t xml:space="preserve">Refurbish before sale, exit yield held tighter</t>
  </si>
  <si>
    <t xml:space="preserve">Refurbish before sale, exit yield unchanged</t>
  </si>
  <si>
    <t xml:space="preserve">Growth gap widened: rate growth up</t>
  </si>
  <si>
    <t xml:space="preserve">Occupancy one point higher (for the inversion)</t>
  </si>
  <si>
    <t xml:space="preserve">Half-amplitudes</t>
  </si>
  <si>
    <t xml:space="preserve">Down</t>
  </si>
  <si>
    <t xml:space="preserve">Up</t>
  </si>
  <si>
    <t xml:space="preserve">Half-amplitude</t>
  </si>
  <si>
    <t xml:space="preserve">Of base</t>
  </si>
  <si>
    <t xml:space="preserve">Relative: occupancy</t>
  </si>
  <si>
    <t xml:space="preserve">Relative: exit yield</t>
  </si>
  <si>
    <t xml:space="preserve">Relative: rate growth</t>
  </si>
  <si>
    <t xml:space="preserve">Relative: cost growth</t>
  </si>
  <si>
    <t xml:space="preserve">Practitioner: rate growth</t>
  </si>
  <si>
    <t xml:space="preserve">Practitioner: cost growth</t>
  </si>
  <si>
    <t xml:space="preserve">Practitioner: occupancy</t>
  </si>
  <si>
    <t xml:space="preserve">What would have to be true: each assumption alone, solved for the asking price</t>
  </si>
  <si>
    <t xml:space="preserve">Occupancy (value is linear in occupancy: solved exactly)</t>
  </si>
  <si>
    <t xml:space="preserve">  beds it would have to let that the building does not have</t>
  </si>
  <si>
    <t xml:space="preserve">Exit yield (solved exactly)</t>
  </si>
  <si>
    <t xml:space="preserve">Rate growth (secant iterations below)</t>
  </si>
  <si>
    <t xml:space="preserve">Cost growth (secant iterations below)</t>
  </si>
  <si>
    <t xml:space="preserve">Secant iterations: each row is a full re-run of the cash flow</t>
  </si>
  <si>
    <t xml:space="preserve">Gap to the asking price</t>
  </si>
  <si>
    <t xml:space="preserve">Rate growth, iteration 0</t>
  </si>
  <si>
    <t xml:space="preserve">Rate growth, iteration 1</t>
  </si>
  <si>
    <t xml:space="preserve">Rate growth, iteration 2</t>
  </si>
  <si>
    <t xml:space="preserve">Rate growth, iteration 3</t>
  </si>
  <si>
    <t xml:space="preserve">Rate growth, iteration 4</t>
  </si>
  <si>
    <t xml:space="preserve">Rate growth, iteration 5</t>
  </si>
  <si>
    <t xml:space="preserve">Rate growth, iteration 6</t>
  </si>
  <si>
    <t xml:space="preserve">Rate growth, iteration 7</t>
  </si>
  <si>
    <t xml:space="preserve">Rate growth, iteration 8</t>
  </si>
  <si>
    <t xml:space="preserve">Rate growth, iteration 9</t>
  </si>
  <si>
    <t xml:space="preserve">Cost growth, iteration 0</t>
  </si>
  <si>
    <t xml:space="preserve">Cost growth, iteration 1</t>
  </si>
  <si>
    <t xml:space="preserve">Cost growth, iteration 2</t>
  </si>
  <si>
    <t xml:space="preserve">Cost growth, iteration 3</t>
  </si>
  <si>
    <t xml:space="preserve">Cost growth, iteration 4</t>
  </si>
  <si>
    <t xml:space="preserve">Cost growth, iteration 5</t>
  </si>
  <si>
    <t xml:space="preserve">Cost growth, iteration 6</t>
  </si>
  <si>
    <t xml:space="preserve">Cost growth, iteration 7</t>
  </si>
  <si>
    <t xml:space="preserve">Cost growth, iteration 8</t>
  </si>
  <si>
    <t xml:space="preserve">Cost growth, iteration 9</t>
  </si>
  <si>
    <t xml:space="preserve">Deferring the refurbishment by one year (Chapter 12)</t>
  </si>
  <si>
    <t xml:space="preserve">The whole effect, on the price</t>
  </si>
  <si>
    <t xml:space="preserve">  the carry on the money not yet spent</t>
  </si>
  <si>
    <t xml:space="preserve">  the summer: kept in the first cycle year, lost in the next</t>
  </si>
  <si>
    <t xml:space="preserve">The book prints £47,512, the summer as though it were kept outright</t>
  </si>
  <si>
    <t xml:space="preserve">  the fraction of the cycle run at exit</t>
  </si>
  <si>
    <t xml:space="preserve">  the three add to the whole</t>
  </si>
  <si>
    <t xml:space="preserve">Zero</t>
  </si>
  <si>
    <t xml:space="preserve">One cycle-year of wear, today's money, at the first cycle year</t>
  </si>
  <si>
    <t xml:space="preserve">⚠ In today's money, as the book takes it</t>
  </si>
  <si>
    <t xml:space="preserve">  at the accrual on sheet 3</t>
  </si>
  <si>
    <t xml:space="preserve">Net gain from deferring</t>
  </si>
  <si>
    <t xml:space="preserve">  with a full cycle-year of wear</t>
  </si>
  <si>
    <t xml:space="preserve">  cycle-years of wear that turn the sign</t>
  </si>
  <si>
    <t xml:space="preserve">Exit-yield widening that cancels the net gain, basis points</t>
  </si>
  <si>
    <t xml:space="preserve">The exit, and the structural levers (Chapters 16, 17 and 21)</t>
  </si>
  <si>
    <t xml:space="preserve">The discount at exit for the cycle run but not funded</t>
  </si>
  <si>
    <t xml:space="preserve">Doing the whole cycle in the money of the exit year</t>
  </si>
  <si>
    <t xml:space="preserve">Refurbish before sale and hold the exit yield tighter, value</t>
  </si>
  <si>
    <t xml:space="preserve">Widen the growth gap, value</t>
  </si>
  <si>
    <t xml:space="preserve">Exit yield equal to the entry yield, value</t>
  </si>
  <si>
    <t xml:space="preserve">  what the base case's widening costs</t>
  </si>
  <si>
    <t xml:space="preserve">The customer, the bad year and the length of the hold</t>
  </si>
  <si>
    <t xml:space="preserve">Chapters 2, 17 and 20. The rent the student pays is the rack rate less the two discounts he is offered, not less the agent commission.</t>
  </si>
  <si>
    <t xml:space="preserve">Rate growth the asking price requires (sheet 17)</t>
  </si>
  <si>
    <t xml:space="preserve">Rent the student pays</t>
  </si>
  <si>
    <t xml:space="preserve">Share of the maximum loan</t>
  </si>
  <si>
    <t xml:space="preserve">Passes the whole loan in year</t>
  </si>
  <si>
    <t xml:space="preserve">Blend</t>
  </si>
  <si>
    <t xml:space="preserve">Blend: what is left of the maximum loan each week, today</t>
  </si>
  <si>
    <t xml:space="preserve">Blend: share of the means-tested floor</t>
  </si>
  <si>
    <t xml:space="preserve">Blend: share of the maximum loan in year ten, at the required growth</t>
  </si>
  <si>
    <t xml:space="preserve">  what is left each week in year ten</t>
  </si>
  <si>
    <t xml:space="preserve">Room types already above the loan</t>
  </si>
  <si>
    <t xml:space="preserve">Room types that cross it inside a ten-year hold</t>
  </si>
  <si>
    <t xml:space="preserve">One bad September in ten (Chapter 20)</t>
  </si>
  <si>
    <t xml:space="preserve">Five points of net income, today</t>
  </si>
  <si>
    <t xml:space="preserve">  in the money of year five</t>
  </si>
  <si>
    <t xml:space="preserve">  suffered once in year five, on the price basis</t>
  </si>
  <si>
    <t xml:space="preserve">The book prints £135,380 and 4.2 per cent: the loss in today's money, against a permanent miss on the price basis</t>
  </si>
  <si>
    <t xml:space="preserve">The permanent miss, on the same basis (sheet 17)</t>
  </si>
  <si>
    <t xml:space="preserve">  the single year as a share of it</t>
  </si>
  <si>
    <t xml:space="preserve">Where the value comes from, by length of hold (Chapter 17): the base case run to sixteen years</t>
  </si>
  <si>
    <t xml:space="preserve">Refurbishment year</t>
  </si>
  <si>
    <t xml:space="preserve">Present value</t>
  </si>
  <si>
    <t xml:space="preserve">Cumulative present value</t>
  </si>
  <si>
    <t xml:space="preserve">Net income the year after</t>
  </si>
  <si>
    <t xml:space="preserve">Cycle run at exit</t>
  </si>
  <si>
    <t xml:space="preserve">Net proceeds if sold</t>
  </si>
  <si>
    <t xml:space="preserve">Exit share of value</t>
  </si>
  <si>
    <t xml:space="preserve">Exit share, five-year hold</t>
  </si>
  <si>
    <t xml:space="preserve">Exit share, ten-year hold</t>
  </si>
  <si>
    <t xml:space="preserve">Exit share, fifteen-year hold</t>
  </si>
  <si>
    <t xml:space="preserve">The first hold at which the exit is less than half</t>
  </si>
  <si>
    <t xml:space="preserve">Ten-year check: the same as sheet 10</t>
  </si>
  <si>
    <t xml:space="preserve">Checks — every figure the book prints, against what this workbook computes</t>
  </si>
  <si>
    <t xml:space="preserve">Student Housing Real Estate. Revised 24 September 2026: the first 21 lines are the original sheet; the rest reach the chapters it did not.</t>
  </si>
  <si>
    <t xml:space="preserve">Column D is a live formula pointing into the model, not a re-typed number. Change an input and the lines that compare with the book stop matching, which is the point.</t>
  </si>
  <si>
    <t xml:space="preserve">Source</t>
  </si>
  <si>
    <t xml:space="preserve">Figure as the book prints it</t>
  </si>
  <si>
    <t xml:space="preserve">Printed</t>
  </si>
  <si>
    <t xml:space="preserve">Computed</t>
  </si>
  <si>
    <t xml:space="preserve">Variance</t>
  </si>
  <si>
    <t xml:space="preserve">Status</t>
  </si>
  <si>
    <t xml:space="preserve">Ch. 2</t>
  </si>
  <si>
    <t xml:space="preserve">Advertised rate, weighted average, £ a week</t>
  </si>
  <si>
    <t xml:space="preserve">A tolerance is the precision the book prints, not a margin of error. A figure printed to the pound is checked to the pound; a yield printed to two decimals of a per cent is checked to half a basis point. Where the workbook discounts a ten-year series and the book solves it in closed form, the tolerance is £20 on £44 million — six decimal places of agreement. Anything reading 'to check' is a real difference, not a rounding.</t>
  </si>
  <si>
    <t xml:space="preserve">Ch. 3</t>
  </si>
  <si>
    <t xml:space="preserve">Total campaign discount</t>
  </si>
  <si>
    <t xml:space="preserve">Collected rate, £ a week</t>
  </si>
  <si>
    <t xml:space="preserve">Ch. 5</t>
  </si>
  <si>
    <t xml:space="preserve">RevPAB, academic, £ a bed-week</t>
  </si>
  <si>
    <t xml:space="preserve">Gap, advertised rate to RevPAB</t>
  </si>
  <si>
    <t xml:space="preserve">Ch. 9</t>
  </si>
  <si>
    <t xml:space="preserve">Gross summer revenue, £</t>
  </si>
  <si>
    <t xml:space="preserve">Summer net contribution, £</t>
  </si>
  <si>
    <t xml:space="preserve">Ch. 11</t>
  </si>
  <si>
    <t xml:space="preserve">Direct costs, whole scheme, £</t>
  </si>
  <si>
    <t xml:space="preserve">Management fee, £</t>
  </si>
  <si>
    <t xml:space="preserve">Net operating income, £</t>
  </si>
  <si>
    <t xml:space="preserve">Ch. 12</t>
  </si>
  <si>
    <t xml:space="preserve">Capital expenditure, annualised, £</t>
  </si>
  <si>
    <t xml:space="preserve">Ch. 16</t>
  </si>
  <si>
    <t xml:space="preserve">Year-one cash flow, £</t>
  </si>
  <si>
    <t xml:space="preserve">Cash flow in the refurbishment year, £</t>
  </si>
  <si>
    <t xml:space="preserve">Year-eleven net income, £</t>
  </si>
  <si>
    <t xml:space="preserve">Net proceeds at exit, £</t>
  </si>
  <si>
    <t xml:space="preserve">Ch. 17</t>
  </si>
  <si>
    <t xml:space="preserve">Ch. 19</t>
  </si>
  <si>
    <t xml:space="preserve">Total present value, all-in, £</t>
  </si>
  <si>
    <t xml:space="preserve">The price that leaves, £</t>
  </si>
  <si>
    <t xml:space="preserve">Discount to the asking price</t>
  </si>
  <si>
    <t xml:space="preserve">Ch. 1</t>
  </si>
  <si>
    <t xml:space="preserve">Annualising by 52 instead of 44: the difference on the building</t>
  </si>
  <si>
    <t xml:space="preserve">The studio unit trap: the error</t>
  </si>
  <si>
    <t xml:space="preserve">  of which the weeks</t>
  </si>
  <si>
    <t xml:space="preserve">  the rate card</t>
  </si>
  <si>
    <t xml:space="preserve">Summer net contribution after the two taxes, before the fee</t>
  </si>
  <si>
    <t xml:space="preserve">Rent the student pays, a bed a year</t>
  </si>
  <si>
    <t xml:space="preserve">  share of the maximum maintenance loan</t>
  </si>
  <si>
    <t xml:space="preserve">  what is left a week</t>
  </si>
  <si>
    <t xml:space="preserve">  share of the means-tested floor</t>
  </si>
  <si>
    <t xml:space="preserve">Scheme A, campaign discount</t>
  </si>
  <si>
    <t xml:space="preserve">Scheme B, campaign discount</t>
  </si>
  <si>
    <t xml:space="preserve">Ch. 4</t>
  </si>
  <si>
    <t xml:space="preserve">Rate range, left end</t>
  </si>
  <si>
    <t xml:space="preserve">Rate range, right end</t>
  </si>
  <si>
    <t xml:space="preserve">RevPAB at the left end</t>
  </si>
  <si>
    <t xml:space="preserve">RevPAB at the right end</t>
  </si>
  <si>
    <t xml:space="preserve">Left end against base</t>
  </si>
  <si>
    <t xml:space="preserve">Right end against base</t>
  </si>
  <si>
    <t xml:space="preserve">Revenue across the whole usable range</t>
  </si>
  <si>
    <t xml:space="preserve">Empty beds at the commercial floor</t>
  </si>
  <si>
    <t xml:space="preserve">Walk to fill at an elasticity of 0.75</t>
  </si>
  <si>
    <t xml:space="preserve">Walk to fill at 1.00</t>
  </si>
  <si>
    <t xml:space="preserve">Walk to fill at 2.00</t>
  </si>
  <si>
    <t xml:space="preserve">Walk to fill at 3.00</t>
  </si>
  <si>
    <t xml:space="preserve">Full swing at 1.00 (the book prints 1.11)</t>
  </si>
  <si>
    <t xml:space="preserve">1.117 per cent on the larger end. Corrected.</t>
  </si>
  <si>
    <t xml:space="preserve">Break-even elasticity of the whole walk</t>
  </si>
  <si>
    <t xml:space="preserve">Revenue per point at the flattest row, per cent</t>
  </si>
  <si>
    <t xml:space="preserve">Revenue per point at the steepest row</t>
  </si>
  <si>
    <t xml:space="preserve">RevPAB over all 52 weeks</t>
  </si>
  <si>
    <t xml:space="preserve">Vacancy and arrears below the collected rate</t>
  </si>
  <si>
    <t xml:space="preserve">Scheme A, RevPAB</t>
  </si>
  <si>
    <t xml:space="preserve">Scheme B, RevPAB</t>
  </si>
  <si>
    <t xml:space="preserve">Scheme A earns more per bed by</t>
  </si>
  <si>
    <t xml:space="preserve">Ch. 6</t>
  </si>
  <si>
    <t xml:space="preserve">November window, per bed sold</t>
  </si>
  <si>
    <t xml:space="preserve">August window, per bed sold</t>
  </si>
  <si>
    <t xml:space="preserve">September, per bed</t>
  </si>
  <si>
    <t xml:space="preserve">Five points missed: value</t>
  </si>
  <si>
    <t xml:space="preserve">Five points missed: against asking</t>
  </si>
  <si>
    <t xml:space="preserve">Twelve points missed: against asking</t>
  </si>
  <si>
    <t xml:space="preserve">Beds empty at five points missed</t>
  </si>
  <si>
    <t xml:space="preserve">A returner saves, per bed</t>
  </si>
  <si>
    <t xml:space="preserve">  across the returners</t>
  </si>
  <si>
    <t xml:space="preserve">  in net income</t>
  </si>
  <si>
    <t xml:space="preserve">Ch. 7</t>
  </si>
  <si>
    <t xml:space="preserve">One point of occupancy, net income</t>
  </si>
  <si>
    <t xml:space="preserve">One point, capitalised</t>
  </si>
  <si>
    <t xml:space="preserve">One point on the rent roll</t>
  </si>
  <si>
    <t xml:space="preserve">A 1 per cent general discount, net income</t>
  </si>
  <si>
    <t xml:space="preserve">Break-even general discount per point</t>
  </si>
  <si>
    <t xml:space="preserve">The same test on revenue</t>
  </si>
  <si>
    <t xml:space="preserve">5 per cent off the remaining beds</t>
  </si>
  <si>
    <t xml:space="preserve">3 per cent off the whole roll</t>
  </si>
  <si>
    <t xml:space="preserve">  two points gained</t>
  </si>
  <si>
    <t xml:space="preserve">Cluster 5-bed: revenue per bed</t>
  </si>
  <si>
    <t xml:space="preserve">  one empty bed capitalised</t>
  </si>
  <si>
    <t xml:space="preserve">Large studio, one empty bed capitalised</t>
  </si>
  <si>
    <t xml:space="preserve">Weighted by beds</t>
  </si>
  <si>
    <t xml:space="preserve">Studios against shared rooms</t>
  </si>
  <si>
    <t xml:space="preserve">The extremes</t>
  </si>
  <si>
    <t xml:space="preserve">Discount per point at the assumed elasticity</t>
  </si>
  <si>
    <t xml:space="preserve">Margin over the break-even</t>
  </si>
  <si>
    <t xml:space="preserve">The cut that removes the case</t>
  </si>
  <si>
    <t xml:space="preserve">The unit ratio</t>
  </si>
  <si>
    <t xml:space="preserve">Ch. 8</t>
  </si>
  <si>
    <t xml:space="preserve">Cluster collected rate</t>
  </si>
  <si>
    <t xml:space="preserve">Nomination rate</t>
  </si>
  <si>
    <t xml:space="preserve">Direct let, annual</t>
  </si>
  <si>
    <t xml:space="preserve">Nomination, annual</t>
  </si>
  <si>
    <t xml:space="preserve">Direct let, expected</t>
  </si>
  <si>
    <t xml:space="preserve">Discount, actually</t>
  </si>
  <si>
    <t xml:space="preserve">Discount on expected income</t>
  </si>
  <si>
    <t xml:space="preserve">Premium across the block</t>
  </si>
  <si>
    <t xml:space="preserve">The six weeks</t>
  </si>
  <si>
    <t xml:space="preserve">Break-even occupancy</t>
  </si>
  <si>
    <t xml:space="preserve">Premium on the building average</t>
  </si>
  <si>
    <t xml:space="preserve">Building average above the cluster rate</t>
  </si>
  <si>
    <t xml:space="preserve">Value with the nomination signed</t>
  </si>
  <si>
    <t xml:space="preserve">Contractual share of revenue</t>
  </si>
  <si>
    <t xml:space="preserve">Yield at which it pays</t>
  </si>
  <si>
    <t xml:space="preserve">  tightening, basis points</t>
  </si>
  <si>
    <t xml:space="preserve">Output VAT</t>
  </si>
  <si>
    <t xml:space="preserve">Council tax, model</t>
  </si>
  <si>
    <t xml:space="preserve">Council tax, low end</t>
  </si>
  <si>
    <t xml:space="preserve">Council tax, high end</t>
  </si>
  <si>
    <t xml:space="preserve">The two taxes</t>
  </si>
  <si>
    <t xml:space="preserve">Contribution after the fee</t>
  </si>
  <si>
    <t xml:space="preserve">Contribution after the fee and the taxes</t>
  </si>
  <si>
    <t xml:space="preserve">  fee that falls with the VAT</t>
  </si>
  <si>
    <t xml:space="preserve">  the fall</t>
  </si>
  <si>
    <t xml:space="preserve">Halving it, in value</t>
  </si>
  <si>
    <t xml:space="preserve">Summer on the advertised base</t>
  </si>
  <si>
    <t xml:space="preserve">  extra net income</t>
  </si>
  <si>
    <t xml:space="preserve">  in value</t>
  </si>
  <si>
    <t xml:space="preserve">The exemption, a year</t>
  </si>
  <si>
    <t xml:space="preserve">  as a multiple of the summer</t>
  </si>
  <si>
    <t xml:space="preserve">Ch. 10</t>
  </si>
  <si>
    <t xml:space="preserve">Energy down 20 per cent: net income</t>
  </si>
  <si>
    <t xml:space="preserve">  value of the lag</t>
  </si>
  <si>
    <t xml:space="preserve">Energy up 40 per cent: net income</t>
  </si>
  <si>
    <t xml:space="preserve">  if never passed through</t>
  </si>
  <si>
    <t xml:space="preserve">The rise that erases the fee</t>
  </si>
  <si>
    <t xml:space="preserve">Energy, share of costs</t>
  </si>
  <si>
    <t xml:space="preserve">Standard-rated VAT</t>
  </si>
  <si>
    <t xml:space="preserve">Energy VAT</t>
  </si>
  <si>
    <t xml:space="preserve">Irrecoverable VAT</t>
  </si>
  <si>
    <t xml:space="preserve">  per bed</t>
  </si>
  <si>
    <t xml:space="preserve">Added instead of extracted: overstatement</t>
  </si>
  <si>
    <t xml:space="preserve">Energy at the standard rate</t>
  </si>
  <si>
    <t xml:space="preserve">Recoverable against the summer</t>
  </si>
  <si>
    <t xml:space="preserve">  share</t>
  </si>
  <si>
    <t xml:space="preserve">Net irrecoverable</t>
  </si>
  <si>
    <t xml:space="preserve">Top of the ranges: extra cost</t>
  </si>
  <si>
    <t xml:space="preserve">  value lost</t>
  </si>
  <si>
    <t xml:space="preserve">Vacancy saving at five points</t>
  </si>
  <si>
    <t xml:space="preserve">  per point</t>
  </si>
  <si>
    <t xml:space="preserve">The refurbishment cycle, basis points</t>
  </si>
  <si>
    <t xml:space="preserve">Ongoing capex, basis points</t>
  </si>
  <si>
    <t xml:space="preserve">The summer consumed, basis points</t>
  </si>
  <si>
    <t xml:space="preserve">The whole gap, basis points</t>
  </si>
  <si>
    <t xml:space="preserve">  after capex</t>
  </si>
  <si>
    <t xml:space="preserve">App. D</t>
  </si>
  <si>
    <t xml:space="preserve">The four yields end to end, basis points</t>
  </si>
  <si>
    <t xml:space="preserve">Refurbishment per bed, clusters</t>
  </si>
  <si>
    <t xml:space="preserve">  studios</t>
  </si>
  <si>
    <t xml:space="preserve">The cycle inherited at entry</t>
  </si>
  <si>
    <t xml:space="preserve">Refurbishment year: share of net income</t>
  </si>
  <si>
    <t xml:space="preserve">Deferring one year: the whole effect</t>
  </si>
  <si>
    <t xml:space="preserve">  the summer (the book prints £47,512)</t>
  </si>
  <si>
    <t xml:space="preserve">Half a cycle-year of wear</t>
  </si>
  <si>
    <t xml:space="preserve">  with a full year of wear</t>
  </si>
  <si>
    <t xml:space="preserve">  cycle-years that turn the sign</t>
  </si>
  <si>
    <t xml:space="preserve">Exit-yield widening that cancels it, basis points</t>
  </si>
  <si>
    <t xml:space="preserve">Ch. 13</t>
  </si>
  <si>
    <t xml:space="preserve">Provision ratio</t>
  </si>
  <si>
    <t xml:space="preserve">Supply increase</t>
  </si>
  <si>
    <t xml:space="preserve">Share of city stock</t>
  </si>
  <si>
    <t xml:space="preserve">Beds per 100 students</t>
  </si>
  <si>
    <t xml:space="preserve">Beds in the walk radius</t>
  </si>
  <si>
    <t xml:space="preserve">Ch. 14</t>
  </si>
  <si>
    <t xml:space="preserve">200 beds: effect on value</t>
  </si>
  <si>
    <t xml:space="preserve">400 beds</t>
  </si>
  <si>
    <t xml:space="preserve">800 beds</t>
  </si>
  <si>
    <t xml:space="preserve">The committed pipeline: effect on rate</t>
  </si>
  <si>
    <t xml:space="preserve">  on value</t>
  </si>
  <si>
    <t xml:space="preserve">  share of the asking price</t>
  </si>
  <si>
    <t xml:space="preserve">Ch. 21</t>
  </si>
  <si>
    <t xml:space="preserve">400 beds inside the walk radius: effect on rate</t>
  </si>
  <si>
    <t xml:space="preserve">  against the city reading</t>
  </si>
  <si>
    <t xml:space="preserve">Ch. 15</t>
  </si>
  <si>
    <t xml:space="preserve">Arrears avoided on the nominated beds</t>
  </si>
  <si>
    <t xml:space="preserve">  share of the premium</t>
  </si>
  <si>
    <t xml:space="preserve">Capitalise and stop: how high</t>
  </si>
  <si>
    <t xml:space="preserve">Discount on the same convention</t>
  </si>
  <si>
    <t xml:space="preserve">Price over net income</t>
  </si>
  <si>
    <t xml:space="preserve">All-in over net income</t>
  </si>
  <si>
    <t xml:space="preserve">At 7.75 per cent</t>
  </si>
  <si>
    <t xml:space="preserve">Exit share, five years</t>
  </si>
  <si>
    <t xml:space="preserve">Exit share, fifteen years</t>
  </si>
  <si>
    <t xml:space="preserve">Half crossed at</t>
  </si>
  <si>
    <t xml:space="preserve">Exit yield equal to entry</t>
  </si>
  <si>
    <t xml:space="preserve">Discount at exit for the cycle run</t>
  </si>
  <si>
    <t xml:space="preserve">The cycle in exit-year money</t>
  </si>
  <si>
    <t xml:space="preserve">Refurbish before sale, exit held tighter</t>
  </si>
  <si>
    <t xml:space="preserve">£3.45 million when the year-ten refurbishment takes that summer, as a cycle year does; £3.49 million if it does not. Both print as the book's £3.5 million within a tenth.</t>
  </si>
  <si>
    <t xml:space="preserve">Growth gap widened by 50 basis points</t>
  </si>
  <si>
    <t xml:space="preserve">Ch. 18</t>
  </si>
  <si>
    <t xml:space="preserve">Loan to value on the asking price</t>
  </si>
  <si>
    <t xml:space="preserve">Cover before capex</t>
  </si>
  <si>
    <t xml:space="preserve">Cover after capex</t>
  </si>
  <si>
    <t xml:space="preserve">Sized before capex: the difference</t>
  </si>
  <si>
    <t xml:space="preserve">Loan on the bid</t>
  </si>
  <si>
    <t xml:space="preserve">The asking-price loan against the bid</t>
  </si>
  <si>
    <t xml:space="preserve">Spread at the asking price</t>
  </si>
  <si>
    <t xml:space="preserve">Spread at the bid</t>
  </si>
  <si>
    <t xml:space="preserve">Equity at the bid</t>
  </si>
  <si>
    <t xml:space="preserve">Gearing costs, basis points</t>
  </si>
  <si>
    <t xml:space="preserve">Cover at the tape</t>
  </si>
  <si>
    <t xml:space="preserve">Breach occupancy</t>
  </si>
  <si>
    <t xml:space="preserve">  headroom</t>
  </si>
  <si>
    <t xml:space="preserve">Cover at the tape, bid loan</t>
  </si>
  <si>
    <t xml:space="preserve">Breach occupancy, bid loan</t>
  </si>
  <si>
    <t xml:space="preserve">Cover at 78 per cent</t>
  </si>
  <si>
    <t xml:space="preserve">Yield at the bid</t>
  </si>
  <si>
    <t xml:space="preserve">On price alone</t>
  </si>
  <si>
    <t xml:space="preserve">Extra yield, basis points</t>
  </si>
  <si>
    <t xml:space="preserve">The false pick-up</t>
  </si>
  <si>
    <t xml:space="preserve">Relative: occupancy, of base</t>
  </si>
  <si>
    <t xml:space="preserve">  of base</t>
  </si>
  <si>
    <t xml:space="preserve">Practitioner: rate growth, of base</t>
  </si>
  <si>
    <t xml:space="preserve">Five points missed permanently</t>
  </si>
  <si>
    <t xml:space="preserve">Rate growth at 1.5 per cent</t>
  </si>
  <si>
    <t xml:space="preserve">Cost growth at 4.5 per cent</t>
  </si>
  <si>
    <t xml:space="preserve">Exit yield out 75 basis points</t>
  </si>
  <si>
    <t xml:space="preserve">Rate growth equal to cost growth</t>
  </si>
  <si>
    <t xml:space="preserve">Ch. 20</t>
  </si>
  <si>
    <t xml:space="preserve">Occupancy the asking price requires</t>
  </si>
  <si>
    <t xml:space="preserve">  beds it does not have</t>
  </si>
  <si>
    <t xml:space="preserve">Exit yield required</t>
  </si>
  <si>
    <t xml:space="preserve">Rate growth required</t>
  </si>
  <si>
    <t xml:space="preserve">Cost growth required</t>
  </si>
  <si>
    <t xml:space="preserve">Share of the loan in year ten</t>
  </si>
  <si>
    <t xml:space="preserve">Large studio, share of the loan</t>
  </si>
  <si>
    <t xml:space="preserve">Standard studio passes the loan in year</t>
  </si>
  <si>
    <t xml:space="preserve">Cluster 5-bed</t>
  </si>
  <si>
    <t xml:space="preserve">Cluster 7-bed</t>
  </si>
  <si>
    <t xml:space="preserve">The blend</t>
  </si>
  <si>
    <t xml:space="preserve">One bad September, on the price basis (the book prints £135,380)</t>
  </si>
  <si>
    <t xml:space="preserve">Year-five loss in year-five money, on the same price basis as the £3.3 million. Corrected.</t>
  </si>
  <si>
    <t xml:space="preserve">  as a share of the permanent miss (the book prints 4.2 per cent)</t>
  </si>
  <si>
    <t xml:space="preserve">Corrected with the line above.</t>
  </si>
  <si>
    <t xml:space="preserve">Moving the campaign forward, net income</t>
  </si>
  <si>
    <t xml:space="preserve">Ch. 22</t>
  </si>
  <si>
    <t xml:space="preserve">General discount to close 2.5 points</t>
  </si>
  <si>
    <t xml:space="preserve">Points gained, net income</t>
  </si>
  <si>
    <t xml:space="preserve">Discount at the break-even elasticity</t>
  </si>
  <si>
    <t xml:space="preserve">The fee in points of occupancy</t>
  </si>
  <si>
    <t xml:space="preserve">Ch. 23</t>
  </si>
  <si>
    <t xml:space="preserve">The university's share of academic revenue</t>
  </si>
  <si>
    <t xml:space="preserve">Income re-let with the nomination</t>
  </si>
  <si>
    <t xml:space="preserve">Share of the year sold, direct</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</si>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</sst>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14">
    <numFmt numFmtId="164" formatCode="General"/>
    <numFmt numFmtId="165" formatCode="#,##0"/>
    <numFmt numFmtId="166" formatCode="\£#,##0.00"/>
    <numFmt numFmtId="167" formatCode="0"/>
    <numFmt numFmtId="168" formatCode="0.0"/>
    <numFmt numFmtId="169" formatCode="\£#,##0"/>
    <numFmt numFmtId="170" formatCode="0.0%"/>
    <numFmt numFmtId="171" formatCode="0.00"/>
    <numFmt numFmtId="172" formatCode="0.00%"/>
    <numFmt numFmtId="173" formatCode="0.00\x"/>
    <numFmt numFmtId="174" formatCode="0.000%"/>
    <numFmt numFmtId="175" formatCode="0.000"/>
    <numFmt numFmtId="176" formatCode="\+0%;\-0%"/>
    <numFmt numFmtId="177" formatCode="0.0000"/>
  </numFmts>
  <fonts count="15">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b val="true"/>
      <sz val="11"/>
      <name val="Cambria"/>
      <family val="0"/>
      <charset val="1"/>
    </font>
    <font>
      <sz val="11"/>
      <color rgb="FF1F4E79"/>
      <name val="Cambria"/>
      <family val="0"/>
      <charset val="1"/>
    </font>
    <font>
      <b val="true"/>
      <sz val="11"/>
      <color rgb="FF1F4E79"/>
      <name val="Cambria"/>
      <family val="0"/>
      <charset val="1"/>
    </font>
    <font>
      <sz val="11"/>
      <color rgb="FF1F4E79"/>
      <name val="Calibri"/>
      <family val="0"/>
      <charset val="1"/>
    </font>
    <font>
      <sz val="10"/>
      <color rgb="FF555555"/>
      <name val="Calibri"/>
      <family val="0"/>
      <charset val="1"/>
    </font>
    <font>
      <b val="true"/>
      <sz val="11"/>
      <name val="Calibri"/>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6" fontId="11" fillId="3" borderId="0" xfId="0" applyFont="tru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8" fontId="10" fillId="2"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0" fontId="11" fillId="3" borderId="0" xfId="0" applyFont="true" applyBorder="false" applyAlignment="false" applyProtection="false">
      <alignment horizontal="general" vertical="bottom" textRotation="0" wrapText="false" indent="0" shrinkToFit="false"/>
      <protection locked="true" hidden="false"/>
    </xf>
    <xf numFmtId="170" fontId="10" fillId="2" borderId="0" xfId="0" applyFont="true" applyBorder="false" applyAlignment="false" applyProtection="false">
      <alignment horizontal="general" vertical="bottom" textRotation="0" wrapText="false" indent="0" shrinkToFit="false"/>
      <protection locked="true" hidden="false"/>
    </xf>
    <xf numFmtId="171" fontId="11" fillId="3" borderId="0" xfId="0" applyFont="tru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72" fontId="10" fillId="2" borderId="0" xfId="0" applyFont="true" applyBorder="false" applyAlignment="false" applyProtection="false">
      <alignment horizontal="general" vertical="bottom" textRotation="0" wrapText="false" indent="0" shrinkToFit="false"/>
      <protection locked="true" hidden="false"/>
    </xf>
    <xf numFmtId="172" fontId="11" fillId="3" borderId="0" xfId="0" applyFont="true" applyBorder="false" applyAlignment="false" applyProtection="false">
      <alignment horizontal="general" vertical="bottom" textRotation="0" wrapText="false" indent="0" shrinkToFit="false"/>
      <protection locked="true" hidden="false"/>
    </xf>
    <xf numFmtId="170" fontId="12"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12" fillId="2" borderId="0" xfId="0" applyFont="true" applyBorder="false" applyAlignment="false" applyProtection="false">
      <alignment horizontal="general" vertical="bottom" textRotation="0" wrapText="false" indent="0" shrinkToFit="false"/>
      <protection locked="true" hidden="false"/>
    </xf>
    <xf numFmtId="169" fontId="12" fillId="2" borderId="0" xfId="0" applyFont="true" applyBorder="false" applyAlignment="false" applyProtection="false">
      <alignment horizontal="general" vertical="bottom" textRotation="0" wrapText="false" indent="0" shrinkToFit="false"/>
      <protection locked="true" hidden="false"/>
    </xf>
    <xf numFmtId="166" fontId="12" fillId="2" borderId="0" xfId="0" applyFont="true" applyBorder="false" applyAlignment="false" applyProtection="false">
      <alignment horizontal="general" vertical="bottom" textRotation="0" wrapText="false" indent="0" shrinkToFit="false"/>
      <protection locked="true" hidden="false"/>
    </xf>
    <xf numFmtId="165" fontId="12" fillId="2" borderId="0" xfId="0" applyFont="true" applyBorder="false" applyAlignment="false" applyProtection="false">
      <alignment horizontal="general" vertical="bottom" textRotation="0" wrapText="false" indent="0" shrinkToFit="false"/>
      <protection locked="true" hidden="false"/>
    </xf>
    <xf numFmtId="173" fontId="12" fillId="2" borderId="0" xfId="0" applyFont="true" applyBorder="false" applyAlignment="false" applyProtection="false">
      <alignment horizontal="general" vertical="bottom" textRotation="0" wrapText="false" indent="0" shrinkToFit="false"/>
      <protection locked="true" hidden="false"/>
    </xf>
    <xf numFmtId="172" fontId="12" fillId="2" borderId="0" xfId="0" applyFont="true" applyBorder="false" applyAlignment="false" applyProtection="false">
      <alignment horizontal="general" vertical="bottom" textRotation="0" wrapText="false" indent="0" shrinkToFit="false"/>
      <protection locked="true" hidden="false"/>
    </xf>
    <xf numFmtId="171" fontId="12" fillId="2"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7" fontId="0" fillId="0" borderId="0" xfId="0" applyFont="fals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51.75"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25.5" hidden="false" customHeight="true" outlineLevel="0" collapsed="false">
      <c r="A8" s="3" t="s">
        <v>5</v>
      </c>
    </row>
    <row r="9" customFormat="false" ht="15" hidden="false" customHeight="true" outlineLevel="0" collapsed="false">
      <c r="A9" s="3" t="s">
        <v>6</v>
      </c>
    </row>
    <row r="10" customFormat="false" ht="15" hidden="false" customHeight="true" outlineLevel="0" collapsed="false">
      <c r="A10" s="3" t="s">
        <v>7</v>
      </c>
    </row>
    <row r="11" customFormat="false" ht="15" hidden="false" customHeight="true" outlineLevel="0" collapsed="false">
      <c r="A11" s="3" t="s">
        <v>8</v>
      </c>
    </row>
    <row r="12" customFormat="false" ht="25.5" hidden="false" customHeight="true" outlineLevel="0" collapsed="false">
      <c r="A12" s="3" t="s">
        <v>9</v>
      </c>
    </row>
    <row r="13" customFormat="false" ht="25.5" hidden="false" customHeight="true" outlineLevel="0" collapsed="false">
      <c r="A13" s="3" t="s">
        <v>10</v>
      </c>
    </row>
    <row r="15" customFormat="false" ht="15" hidden="false" customHeight="false" outlineLevel="0" collapsed="false">
      <c r="A15" s="4" t="s">
        <v>11</v>
      </c>
    </row>
    <row r="16" customFormat="false" ht="25.5" hidden="false" customHeight="true" outlineLevel="0" collapsed="false">
      <c r="A16" s="3" t="s">
        <v>12</v>
      </c>
    </row>
    <row r="17" customFormat="false" ht="25.5" hidden="false" customHeight="true" outlineLevel="0" collapsed="false">
      <c r="A17" s="3" t="s">
        <v>13</v>
      </c>
    </row>
    <row r="18" customFormat="false" ht="25.5" hidden="false" customHeight="true" outlineLevel="0" collapsed="false">
      <c r="A18" s="3" t="s">
        <v>14</v>
      </c>
    </row>
    <row r="20" customFormat="false" ht="15" hidden="false" customHeight="false" outlineLevel="0" collapsed="false">
      <c r="A20" s="4" t="s">
        <v>15</v>
      </c>
    </row>
    <row r="21" customFormat="false" ht="15" hidden="false" customHeight="true" outlineLevel="0" collapsed="false">
      <c r="A21" s="3" t="s">
        <v>16</v>
      </c>
    </row>
    <row r="22" customFormat="false" ht="15" hidden="false" customHeight="true" outlineLevel="0" collapsed="false">
      <c r="A22" s="3" t="s">
        <v>17</v>
      </c>
    </row>
    <row r="23" customFormat="false" ht="15" hidden="false" customHeight="true" outlineLevel="0" collapsed="false">
      <c r="A23" s="3" t="s">
        <v>18</v>
      </c>
    </row>
    <row r="24" customFormat="false" ht="15" hidden="false" customHeight="true" outlineLevel="0" collapsed="false">
      <c r="A24" s="3" t="s">
        <v>19</v>
      </c>
    </row>
    <row r="26" customFormat="false" ht="15" hidden="false" customHeight="false" outlineLevel="0" collapsed="false">
      <c r="A26" s="4" t="s">
        <v>20</v>
      </c>
    </row>
    <row r="27" customFormat="false" ht="41.75" hidden="false" customHeight="false" outlineLevel="0" collapsed="false">
      <c r="A27" s="5" t="s">
        <v>21</v>
      </c>
    </row>
    <row r="28" customFormat="false" ht="68.65" hidden="false" customHeight="false" outlineLevel="0" collapsed="false">
      <c r="A28" s="5" t="s">
        <v>22</v>
      </c>
    </row>
    <row r="29" customFormat="false" ht="41.75" hidden="false" customHeight="false" outlineLevel="0" collapsed="false">
      <c r="A29" s="5" t="s">
        <v>23</v>
      </c>
    </row>
    <row r="30" customFormat="false" ht="15" hidden="false" customHeight="false" outlineLevel="0" collapsed="false">
      <c r="A30" s="5"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0"/>
    <col collapsed="false" customWidth="true" hidden="false" outlineLevel="0" max="3" min="3" style="0" width="20"/>
    <col collapsed="false" customWidth="true" hidden="false" outlineLevel="0" max="4" min="4" style="0" width="15"/>
    <col collapsed="false" customWidth="true" hidden="false" outlineLevel="0" max="5" min="5" style="0" width="12"/>
  </cols>
  <sheetData>
    <row r="1" customFormat="false" ht="16.15" hidden="false" customHeight="false" outlineLevel="0" collapsed="false">
      <c r="A1" s="6" t="s">
        <v>25</v>
      </c>
    </row>
    <row r="2" customFormat="false" ht="15" hidden="false" customHeight="false" outlineLevel="0" collapsed="false">
      <c r="A2" s="2" t="s">
        <v>26</v>
      </c>
    </row>
    <row r="4" customFormat="false" ht="28.35" hidden="false" customHeight="false" outlineLevel="0" collapsed="false">
      <c r="A4" s="7" t="s">
        <v>27</v>
      </c>
      <c r="B4" s="7" t="s">
        <v>28</v>
      </c>
      <c r="C4" s="7" t="s">
        <v>29</v>
      </c>
      <c r="D4" s="7" t="s">
        <v>30</v>
      </c>
      <c r="E4" s="7" t="s">
        <v>31</v>
      </c>
    </row>
    <row r="5" customFormat="false" ht="15" hidden="false" customHeight="false" outlineLevel="0" collapsed="false">
      <c r="A5" s="0" t="s">
        <v>32</v>
      </c>
      <c r="B5" s="8" t="n">
        <v>184</v>
      </c>
      <c r="C5" s="9" t="n">
        <v>172</v>
      </c>
      <c r="D5" s="10" t="n">
        <v>44</v>
      </c>
      <c r="E5" s="11" t="n">
        <v>14.5</v>
      </c>
    </row>
    <row r="6" customFormat="false" ht="15" hidden="false" customHeight="false" outlineLevel="0" collapsed="false">
      <c r="A6" s="0" t="s">
        <v>33</v>
      </c>
      <c r="B6" s="8" t="n">
        <v>126</v>
      </c>
      <c r="C6" s="12" t="n">
        <v>163</v>
      </c>
      <c r="D6" s="10" t="n">
        <v>44</v>
      </c>
      <c r="E6" s="11" t="n">
        <v>13</v>
      </c>
    </row>
    <row r="7" customFormat="false" ht="15" hidden="false" customHeight="false" outlineLevel="0" collapsed="false">
      <c r="A7" s="0" t="s">
        <v>34</v>
      </c>
      <c r="B7" s="8" t="n">
        <v>92</v>
      </c>
      <c r="C7" s="12" t="n">
        <v>196</v>
      </c>
      <c r="D7" s="10" t="n">
        <v>44</v>
      </c>
      <c r="E7" s="11" t="n">
        <v>16.5</v>
      </c>
    </row>
    <row r="8" customFormat="false" ht="15" hidden="false" customHeight="false" outlineLevel="0" collapsed="false">
      <c r="A8" s="0" t="s">
        <v>35</v>
      </c>
      <c r="B8" s="8" t="n">
        <v>78</v>
      </c>
      <c r="C8" s="12" t="n">
        <v>245</v>
      </c>
      <c r="D8" s="10" t="n">
        <v>44</v>
      </c>
      <c r="E8" s="11" t="n">
        <v>22</v>
      </c>
    </row>
    <row r="9" customFormat="false" ht="15" hidden="false" customHeight="false" outlineLevel="0" collapsed="false">
      <c r="A9" s="0" t="s">
        <v>36</v>
      </c>
      <c r="B9" s="8" t="n">
        <v>34</v>
      </c>
      <c r="C9" s="12" t="n">
        <v>281</v>
      </c>
      <c r="D9" s="10" t="n">
        <v>44</v>
      </c>
      <c r="E9" s="11" t="n">
        <v>27</v>
      </c>
    </row>
    <row r="10" customFormat="false" ht="15" hidden="false" customHeight="false" outlineLevel="0" collapsed="false">
      <c r="A10" s="0" t="s">
        <v>37</v>
      </c>
      <c r="B10" s="8" t="n">
        <v>6</v>
      </c>
      <c r="C10" s="12" t="n">
        <v>245</v>
      </c>
      <c r="D10" s="10" t="n">
        <v>44</v>
      </c>
      <c r="E10" s="11" t="n">
        <v>30</v>
      </c>
    </row>
    <row r="11" customFormat="false" ht="15" hidden="false" customHeight="false" outlineLevel="0" collapsed="false">
      <c r="A11" s="13" t="s">
        <v>38</v>
      </c>
      <c r="B11" s="14" t="n">
        <f aca="false">SUM(B5:B10)</f>
        <v>520</v>
      </c>
      <c r="C11" s="15" t="n">
        <f aca="false">SUMPRODUCT(B5:B10,C5:C10)/B11</f>
        <v>192.984615384615</v>
      </c>
      <c r="E11" s="16" t="n">
        <f aca="false">SUMPRODUCT(B5:B10,E5:E10)/B11</f>
        <v>16.6115384615385</v>
      </c>
    </row>
    <row r="13" customFormat="false" ht="15" hidden="false" customHeight="false" outlineLevel="0" collapsed="false">
      <c r="A13" s="13" t="s">
        <v>39</v>
      </c>
      <c r="B13" s="17" t="n">
        <f aca="false">SUMPRODUCT(B5:B10,C5:C10)*D5</f>
        <v>4415488</v>
      </c>
    </row>
    <row r="14" customFormat="false" ht="15" hidden="false" customHeight="false" outlineLevel="0" collapsed="false">
      <c r="A14" s="13" t="s">
        <v>40</v>
      </c>
      <c r="B14" s="14" t="n">
        <f aca="false">B11*D5</f>
        <v>22880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66"/>
  </cols>
  <sheetData>
    <row r="1" customFormat="false" ht="16.15" hidden="false" customHeight="false" outlineLevel="0" collapsed="false">
      <c r="A1" s="6" t="s">
        <v>41</v>
      </c>
    </row>
    <row r="3" customFormat="false" ht="15" hidden="false" customHeight="false" outlineLevel="0" collapsed="false">
      <c r="A3" s="7" t="s">
        <v>42</v>
      </c>
      <c r="B3" s="7" t="s">
        <v>43</v>
      </c>
      <c r="C3" s="7" t="s">
        <v>44</v>
      </c>
    </row>
    <row r="4" customFormat="false" ht="15" hidden="false" customHeight="false" outlineLevel="0" collapsed="false">
      <c r="A4" s="0" t="s">
        <v>45</v>
      </c>
      <c r="B4" s="18" t="n">
        <v>0.968</v>
      </c>
      <c r="C4" s="2" t="s">
        <v>46</v>
      </c>
    </row>
    <row r="5" customFormat="false" ht="15" hidden="false" customHeight="false" outlineLevel="0" collapsed="false">
      <c r="A5" s="0" t="s">
        <v>47</v>
      </c>
      <c r="B5" s="19" t="n">
        <v>0.995</v>
      </c>
      <c r="C5" s="2" t="s">
        <v>48</v>
      </c>
    </row>
    <row r="6" customFormat="false" ht="15" hidden="false" customHeight="false" outlineLevel="0" collapsed="false">
      <c r="A6" s="0" t="s">
        <v>49</v>
      </c>
      <c r="B6" s="19" t="n">
        <v>0.011</v>
      </c>
      <c r="C6" s="2" t="s">
        <v>50</v>
      </c>
    </row>
    <row r="7" customFormat="false" ht="15" hidden="false" customHeight="false" outlineLevel="0" collapsed="false">
      <c r="A7" s="0" t="s">
        <v>51</v>
      </c>
      <c r="B7" s="19" t="n">
        <v>0.04</v>
      </c>
      <c r="C7" s="2" t="s">
        <v>52</v>
      </c>
    </row>
    <row r="8" customFormat="false" ht="15" hidden="false" customHeight="false" outlineLevel="0" collapsed="false">
      <c r="A8" s="0" t="s">
        <v>53</v>
      </c>
      <c r="B8" s="19" t="n">
        <v>0.42</v>
      </c>
      <c r="C8" s="2"/>
    </row>
    <row r="9" customFormat="false" ht="15" hidden="false" customHeight="false" outlineLevel="0" collapsed="false">
      <c r="A9" s="0" t="s">
        <v>54</v>
      </c>
      <c r="B9" s="19" t="n">
        <v>0.115</v>
      </c>
      <c r="C9" s="2" t="s">
        <v>55</v>
      </c>
    </row>
    <row r="10" customFormat="false" ht="15" hidden="false" customHeight="false" outlineLevel="0" collapsed="false">
      <c r="A10" s="0" t="s">
        <v>56</v>
      </c>
      <c r="B10" s="19" t="n">
        <v>0.23</v>
      </c>
      <c r="C10" s="2"/>
    </row>
    <row r="11" customFormat="false" ht="15" hidden="false" customHeight="false" outlineLevel="0" collapsed="false">
      <c r="A11" s="0" t="s">
        <v>57</v>
      </c>
      <c r="B11" s="19" t="n">
        <v>0.055</v>
      </c>
      <c r="C11" s="2" t="s">
        <v>58</v>
      </c>
    </row>
    <row r="12" customFormat="false" ht="15" hidden="false" customHeight="false" outlineLevel="0" collapsed="false">
      <c r="A12" s="0" t="s">
        <v>59</v>
      </c>
      <c r="B12" s="19" t="n">
        <v>0.31</v>
      </c>
      <c r="C12" s="2"/>
    </row>
    <row r="13" customFormat="false" ht="15" hidden="false" customHeight="false" outlineLevel="0" collapsed="false">
      <c r="A13" s="0" t="s">
        <v>60</v>
      </c>
      <c r="B13" s="20" t="n">
        <v>1.35</v>
      </c>
      <c r="C13" s="2" t="s">
        <v>61</v>
      </c>
    </row>
    <row r="14" customFormat="false" ht="15" hidden="false" customHeight="false" outlineLevel="0" collapsed="false">
      <c r="A14" s="0" t="s">
        <v>62</v>
      </c>
      <c r="B14" s="10" t="n">
        <v>6</v>
      </c>
      <c r="C14" s="2" t="s">
        <v>63</v>
      </c>
    </row>
    <row r="15" customFormat="false" ht="15" hidden="false" customHeight="false" outlineLevel="0" collapsed="false">
      <c r="A15" s="0" t="s">
        <v>64</v>
      </c>
      <c r="B15" s="10" t="n">
        <v>2</v>
      </c>
      <c r="C15" s="2"/>
    </row>
    <row r="16" customFormat="false" ht="15" hidden="false" customHeight="false" outlineLevel="0" collapsed="false">
      <c r="A16" s="0" t="s">
        <v>65</v>
      </c>
      <c r="B16" s="19" t="n">
        <v>0.38</v>
      </c>
      <c r="C16" s="2" t="s">
        <v>66</v>
      </c>
    </row>
    <row r="17" customFormat="false" ht="15" hidden="false" customHeight="false" outlineLevel="0" collapsed="false">
      <c r="A17" s="0" t="s">
        <v>67</v>
      </c>
      <c r="B17" s="19" t="n">
        <v>0.62</v>
      </c>
      <c r="C17" s="2" t="s">
        <v>68</v>
      </c>
    </row>
    <row r="18" customFormat="false" ht="15" hidden="false" customHeight="false" outlineLevel="0" collapsed="false">
      <c r="A18" s="0" t="s">
        <v>69</v>
      </c>
      <c r="B18" s="19" t="n">
        <v>0.45</v>
      </c>
      <c r="C18" s="2" t="s">
        <v>70</v>
      </c>
    </row>
    <row r="19" customFormat="false" ht="15" hidden="false" customHeight="false" outlineLevel="0" collapsed="false">
      <c r="A19" s="0" t="s">
        <v>71</v>
      </c>
      <c r="B19" s="21" t="n">
        <v>660</v>
      </c>
      <c r="C19" s="2" t="s">
        <v>72</v>
      </c>
    </row>
    <row r="20" customFormat="false" ht="15" hidden="false" customHeight="false" outlineLevel="0" collapsed="false">
      <c r="A20" s="0" t="s">
        <v>73</v>
      </c>
      <c r="B20" s="21" t="n">
        <v>99</v>
      </c>
      <c r="C20" s="2"/>
    </row>
    <row r="21" customFormat="false" ht="15" hidden="false" customHeight="false" outlineLevel="0" collapsed="false">
      <c r="A21" s="0" t="s">
        <v>74</v>
      </c>
      <c r="B21" s="21" t="n">
        <v>618</v>
      </c>
      <c r="C21" s="2"/>
    </row>
    <row r="22" customFormat="false" ht="15" hidden="false" customHeight="false" outlineLevel="0" collapsed="false">
      <c r="A22" s="0" t="s">
        <v>75</v>
      </c>
      <c r="B22" s="21" t="n">
        <v>330</v>
      </c>
      <c r="C22" s="2"/>
    </row>
    <row r="23" customFormat="false" ht="15" hidden="false" customHeight="false" outlineLevel="0" collapsed="false">
      <c r="A23" s="0" t="s">
        <v>76</v>
      </c>
      <c r="B23" s="21" t="n">
        <v>192</v>
      </c>
      <c r="C23" s="2"/>
    </row>
    <row r="24" customFormat="false" ht="15" hidden="false" customHeight="false" outlineLevel="0" collapsed="false">
      <c r="A24" s="0" t="s">
        <v>77</v>
      </c>
      <c r="B24" s="21" t="n">
        <v>74</v>
      </c>
      <c r="C24" s="2"/>
    </row>
    <row r="25" customFormat="false" ht="15" hidden="false" customHeight="false" outlineLevel="0" collapsed="false">
      <c r="A25" s="0" t="s">
        <v>78</v>
      </c>
      <c r="B25" s="21" t="n">
        <v>196</v>
      </c>
      <c r="C25" s="2" t="s">
        <v>79</v>
      </c>
    </row>
    <row r="26" customFormat="false" ht="15" hidden="false" customHeight="false" outlineLevel="0" collapsed="false">
      <c r="A26" s="0" t="s">
        <v>80</v>
      </c>
      <c r="B26" s="21" t="n">
        <v>145</v>
      </c>
      <c r="C26" s="2"/>
    </row>
    <row r="27" customFormat="false" ht="15" hidden="false" customHeight="false" outlineLevel="0" collapsed="false">
      <c r="A27" s="0" t="s">
        <v>81</v>
      </c>
      <c r="B27" s="19" t="n">
        <v>0.035</v>
      </c>
      <c r="C27" s="2" t="s">
        <v>82</v>
      </c>
    </row>
    <row r="28" customFormat="false" ht="15" hidden="false" customHeight="false" outlineLevel="0" collapsed="false">
      <c r="A28" s="0" t="s">
        <v>83</v>
      </c>
      <c r="B28" s="21" t="n">
        <v>3300</v>
      </c>
      <c r="C28" s="2" t="s">
        <v>84</v>
      </c>
    </row>
    <row r="29" customFormat="false" ht="15" hidden="false" customHeight="false" outlineLevel="0" collapsed="false">
      <c r="A29" s="0" t="s">
        <v>85</v>
      </c>
      <c r="B29" s="10" t="n">
        <v>7</v>
      </c>
      <c r="C29" s="2"/>
    </row>
    <row r="30" customFormat="false" ht="15" hidden="false" customHeight="false" outlineLevel="0" collapsed="false">
      <c r="A30" s="0" t="s">
        <v>86</v>
      </c>
      <c r="B30" s="10" t="n">
        <v>3</v>
      </c>
      <c r="C30" s="2" t="s">
        <v>87</v>
      </c>
    </row>
    <row r="31" customFormat="false" ht="15" hidden="false" customHeight="false" outlineLevel="0" collapsed="false">
      <c r="A31" s="0" t="s">
        <v>88</v>
      </c>
      <c r="B31" s="21" t="n">
        <v>238</v>
      </c>
      <c r="C31" s="2" t="s">
        <v>89</v>
      </c>
    </row>
    <row r="32" customFormat="false" ht="15" hidden="false" customHeight="false" outlineLevel="0" collapsed="false">
      <c r="A32" s="0" t="s">
        <v>90</v>
      </c>
      <c r="B32" s="22" t="n">
        <v>0.0545</v>
      </c>
      <c r="C32" s="2" t="s">
        <v>91</v>
      </c>
    </row>
    <row r="33" customFormat="false" ht="15" hidden="false" customHeight="false" outlineLevel="0" collapsed="false">
      <c r="A33" s="0" t="s">
        <v>92</v>
      </c>
      <c r="B33" s="23" t="n">
        <v>0.0595</v>
      </c>
      <c r="C33" s="2" t="s">
        <v>93</v>
      </c>
    </row>
    <row r="34" customFormat="false" ht="15" hidden="false" customHeight="false" outlineLevel="0" collapsed="false">
      <c r="A34" s="0" t="s">
        <v>94</v>
      </c>
      <c r="B34" s="22" t="n">
        <v>0.079</v>
      </c>
      <c r="C34" s="2" t="s">
        <v>95</v>
      </c>
    </row>
    <row r="35" customFormat="false" ht="15" hidden="false" customHeight="false" outlineLevel="0" collapsed="false">
      <c r="A35" s="0" t="s">
        <v>96</v>
      </c>
      <c r="B35" s="19" t="n">
        <v>0.031</v>
      </c>
      <c r="C35" s="2"/>
    </row>
    <row r="36" customFormat="false" ht="15" hidden="false" customHeight="false" outlineLevel="0" collapsed="false">
      <c r="A36" s="0" t="s">
        <v>97</v>
      </c>
      <c r="B36" s="19" t="n">
        <v>0.028</v>
      </c>
      <c r="C36" s="2"/>
    </row>
    <row r="37" customFormat="false" ht="15" hidden="false" customHeight="false" outlineLevel="0" collapsed="false">
      <c r="A37" s="0" t="s">
        <v>98</v>
      </c>
      <c r="B37" s="19" t="n">
        <v>0.066</v>
      </c>
      <c r="C37" s="2" t="s">
        <v>99</v>
      </c>
    </row>
    <row r="38" customFormat="false" ht="15" hidden="false" customHeight="false" outlineLevel="0" collapsed="false">
      <c r="A38" s="0" t="s">
        <v>100</v>
      </c>
      <c r="B38" s="19" t="n">
        <v>0.012</v>
      </c>
      <c r="C38" s="2"/>
    </row>
    <row r="39" customFormat="false" ht="15" hidden="false" customHeight="false" outlineLevel="0" collapsed="false">
      <c r="A39" s="0" t="s">
        <v>101</v>
      </c>
      <c r="B39" s="10" t="n">
        <v>10</v>
      </c>
      <c r="C39" s="2"/>
    </row>
    <row r="40" customFormat="false" ht="15" hidden="false" customHeight="false" outlineLevel="0" collapsed="false">
      <c r="A40" s="0" t="s">
        <v>102</v>
      </c>
      <c r="B40" s="21" t="n">
        <v>46450232.6443084</v>
      </c>
      <c r="C40" s="2" t="s">
        <v>103</v>
      </c>
    </row>
    <row r="42" customFormat="false" ht="15" hidden="false" customHeight="false" outlineLevel="0" collapsed="false">
      <c r="A42" s="13" t="s">
        <v>104</v>
      </c>
    </row>
    <row r="43" customFormat="false" ht="15" hidden="false" customHeight="false" outlineLevel="0" collapsed="false">
      <c r="A43" s="0" t="s">
        <v>105</v>
      </c>
      <c r="B43" s="24" t="n">
        <v>0.97</v>
      </c>
      <c r="C43" s="25" t="s">
        <v>106</v>
      </c>
    </row>
    <row r="44" customFormat="false" ht="15" hidden="false" customHeight="false" outlineLevel="0" collapsed="false">
      <c r="A44" s="0" t="s">
        <v>107</v>
      </c>
      <c r="B44" s="24" t="n">
        <v>0.88</v>
      </c>
      <c r="C44" s="25" t="s">
        <v>108</v>
      </c>
    </row>
    <row r="45" customFormat="false" ht="15" hidden="false" customHeight="false" outlineLevel="0" collapsed="false">
      <c r="A45" s="0" t="s">
        <v>109</v>
      </c>
      <c r="B45" s="24" t="n">
        <v>0.32</v>
      </c>
      <c r="C45" s="25" t="s">
        <v>110</v>
      </c>
    </row>
    <row r="46" customFormat="false" ht="15" hidden="false" customHeight="false" outlineLevel="0" collapsed="false">
      <c r="A46" s="0" t="s">
        <v>111</v>
      </c>
      <c r="B46" s="26" t="n">
        <v>130</v>
      </c>
      <c r="C46" s="25" t="s">
        <v>112</v>
      </c>
    </row>
    <row r="47" customFormat="false" ht="15" hidden="false" customHeight="false" outlineLevel="0" collapsed="false">
      <c r="A47" s="0" t="s">
        <v>113</v>
      </c>
      <c r="B47" s="24" t="n">
        <v>0.088</v>
      </c>
    </row>
    <row r="48" customFormat="false" ht="15" hidden="false" customHeight="false" outlineLevel="0" collapsed="false">
      <c r="A48" s="0" t="s">
        <v>114</v>
      </c>
      <c r="B48" s="26" t="n">
        <v>38</v>
      </c>
      <c r="C48" s="25" t="s">
        <v>115</v>
      </c>
    </row>
    <row r="49" customFormat="false" ht="15" hidden="false" customHeight="false" outlineLevel="0" collapsed="false">
      <c r="A49" s="0" t="s">
        <v>116</v>
      </c>
      <c r="B49" s="26" t="n">
        <v>5</v>
      </c>
    </row>
    <row r="50" customFormat="false" ht="15" hidden="false" customHeight="false" outlineLevel="0" collapsed="false">
      <c r="A50" s="0" t="s">
        <v>117</v>
      </c>
      <c r="B50" s="27" t="n">
        <v>10830</v>
      </c>
      <c r="C50" s="25" t="s">
        <v>118</v>
      </c>
    </row>
    <row r="51" customFormat="false" ht="15" hidden="false" customHeight="false" outlineLevel="0" collapsed="false">
      <c r="A51" s="0" t="s">
        <v>119</v>
      </c>
      <c r="B51" s="27" t="n">
        <v>5048</v>
      </c>
    </row>
    <row r="52" customFormat="false" ht="15" hidden="false" customHeight="false" outlineLevel="0" collapsed="false">
      <c r="A52" s="0" t="s">
        <v>120</v>
      </c>
      <c r="B52" s="24" t="n">
        <v>0.028</v>
      </c>
      <c r="C52" s="25" t="s">
        <v>121</v>
      </c>
    </row>
    <row r="53" customFormat="false" ht="15" hidden="false" customHeight="false" outlineLevel="0" collapsed="false">
      <c r="A53" s="0" t="s">
        <v>122</v>
      </c>
      <c r="B53" s="28" t="n">
        <v>11</v>
      </c>
      <c r="C53" s="25" t="s">
        <v>121</v>
      </c>
    </row>
    <row r="54" customFormat="false" ht="15" hidden="false" customHeight="false" outlineLevel="0" collapsed="false">
      <c r="A54" s="0" t="s">
        <v>123</v>
      </c>
      <c r="B54" s="24" t="n">
        <v>0.62</v>
      </c>
      <c r="C54" s="25" t="s">
        <v>124</v>
      </c>
    </row>
    <row r="55" customFormat="false" ht="15" hidden="false" customHeight="false" outlineLevel="0" collapsed="false">
      <c r="A55" s="0" t="s">
        <v>125</v>
      </c>
      <c r="B55" s="24" t="n">
        <v>0.2</v>
      </c>
    </row>
    <row r="56" customFormat="false" ht="15" hidden="false" customHeight="false" outlineLevel="0" collapsed="false">
      <c r="A56" s="0" t="s">
        <v>126</v>
      </c>
      <c r="B56" s="24" t="n">
        <v>0.05</v>
      </c>
    </row>
    <row r="57" customFormat="false" ht="15" hidden="false" customHeight="false" outlineLevel="0" collapsed="false">
      <c r="A57" s="0" t="s">
        <v>127</v>
      </c>
      <c r="B57" s="24" t="n">
        <v>0.72</v>
      </c>
      <c r="C57" s="25" t="s">
        <v>128</v>
      </c>
    </row>
    <row r="58" customFormat="false" ht="15" hidden="false" customHeight="false" outlineLevel="0" collapsed="false">
      <c r="A58" s="0" t="s">
        <v>129</v>
      </c>
      <c r="B58" s="27" t="n">
        <v>850</v>
      </c>
      <c r="C58" s="25" t="s">
        <v>130</v>
      </c>
    </row>
    <row r="59" customFormat="false" ht="15" hidden="false" customHeight="false" outlineLevel="0" collapsed="false">
      <c r="A59" s="0" t="s">
        <v>131</v>
      </c>
      <c r="B59" s="27" t="n">
        <v>110</v>
      </c>
      <c r="C59" s="25" t="s">
        <v>130</v>
      </c>
    </row>
    <row r="60" customFormat="false" ht="15" hidden="false" customHeight="false" outlineLevel="0" collapsed="false">
      <c r="A60" s="0" t="s">
        <v>132</v>
      </c>
      <c r="B60" s="24" t="n">
        <v>0.15</v>
      </c>
      <c r="C60" s="25" t="s">
        <v>121</v>
      </c>
    </row>
    <row r="61" customFormat="false" ht="15" hidden="false" customHeight="false" outlineLevel="0" collapsed="false">
      <c r="A61" s="0" t="s">
        <v>133</v>
      </c>
      <c r="B61" s="24" t="n">
        <v>0.8</v>
      </c>
      <c r="C61" s="25" t="s">
        <v>121</v>
      </c>
    </row>
    <row r="62" customFormat="false" ht="15" hidden="false" customHeight="false" outlineLevel="0" collapsed="false">
      <c r="A62" s="0" t="s">
        <v>134</v>
      </c>
      <c r="B62" s="26" t="n">
        <v>2</v>
      </c>
      <c r="C62" s="25" t="s">
        <v>121</v>
      </c>
    </row>
    <row r="63" customFormat="false" ht="15" hidden="false" customHeight="false" outlineLevel="0" collapsed="false">
      <c r="A63" s="0" t="s">
        <v>135</v>
      </c>
      <c r="B63" s="29" t="n">
        <v>68400</v>
      </c>
    </row>
    <row r="64" customFormat="false" ht="15" hidden="false" customHeight="false" outlineLevel="0" collapsed="false">
      <c r="A64" s="0" t="s">
        <v>136</v>
      </c>
      <c r="B64" s="24" t="n">
        <v>0.74</v>
      </c>
    </row>
    <row r="65" customFormat="false" ht="15" hidden="false" customHeight="false" outlineLevel="0" collapsed="false">
      <c r="A65" s="0" t="s">
        <v>137</v>
      </c>
      <c r="B65" s="29" t="n">
        <v>33900</v>
      </c>
    </row>
    <row r="66" customFormat="false" ht="15" hidden="false" customHeight="false" outlineLevel="0" collapsed="false">
      <c r="A66" s="0" t="s">
        <v>138</v>
      </c>
      <c r="B66" s="29" t="n">
        <v>2450</v>
      </c>
    </row>
    <row r="67" customFormat="false" ht="15" hidden="false" customHeight="false" outlineLevel="0" collapsed="false">
      <c r="A67" s="0" t="s">
        <v>139</v>
      </c>
      <c r="B67" s="24" t="n">
        <v>0.55</v>
      </c>
      <c r="C67" s="25" t="s">
        <v>140</v>
      </c>
    </row>
    <row r="68" customFormat="false" ht="15" hidden="false" customHeight="false" outlineLevel="0" collapsed="false">
      <c r="A68" s="0" t="s">
        <v>141</v>
      </c>
      <c r="B68" s="24" t="n">
        <v>0.125</v>
      </c>
      <c r="C68" s="25" t="s">
        <v>142</v>
      </c>
    </row>
    <row r="69" customFormat="false" ht="15" hidden="false" customHeight="false" outlineLevel="0" collapsed="false">
      <c r="A69" s="0" t="s">
        <v>143</v>
      </c>
      <c r="B69" s="26" t="n">
        <v>400</v>
      </c>
    </row>
    <row r="70" customFormat="false" ht="15" hidden="false" customHeight="false" outlineLevel="0" collapsed="false">
      <c r="A70" s="0" t="s">
        <v>144</v>
      </c>
      <c r="B70" s="24" t="n">
        <v>0.55</v>
      </c>
    </row>
    <row r="71" customFormat="false" ht="15" hidden="false" customHeight="false" outlineLevel="0" collapsed="false">
      <c r="A71" s="0" t="s">
        <v>145</v>
      </c>
      <c r="B71" s="30" t="n">
        <v>1.75</v>
      </c>
    </row>
    <row r="72" customFormat="false" ht="15" hidden="false" customHeight="false" outlineLevel="0" collapsed="false">
      <c r="A72" s="0" t="s">
        <v>146</v>
      </c>
      <c r="B72" s="30" t="n">
        <v>1.25</v>
      </c>
      <c r="C72" s="25" t="s">
        <v>147</v>
      </c>
    </row>
    <row r="73" customFormat="false" ht="15" hidden="false" customHeight="false" outlineLevel="0" collapsed="false">
      <c r="A73" s="0" t="s">
        <v>148</v>
      </c>
      <c r="B73" s="31" t="n">
        <v>0.0565</v>
      </c>
    </row>
    <row r="74" customFormat="false" ht="15" hidden="false" customHeight="false" outlineLevel="0" collapsed="false">
      <c r="A74" s="0" t="s">
        <v>149</v>
      </c>
      <c r="B74" s="32" t="n">
        <v>1.29</v>
      </c>
    </row>
    <row r="75" customFormat="false" ht="15" hidden="false" customHeight="false" outlineLevel="0" collapsed="false">
      <c r="A75" s="0" t="s">
        <v>150</v>
      </c>
      <c r="B75" s="32" t="n">
        <v>0.5</v>
      </c>
      <c r="C75" s="25" t="s">
        <v>121</v>
      </c>
    </row>
    <row r="76" customFormat="false" ht="15" hidden="false" customHeight="false" outlineLevel="0" collapsed="false">
      <c r="A76" s="0" t="s">
        <v>151</v>
      </c>
      <c r="B76" s="24" t="n">
        <v>0.025</v>
      </c>
      <c r="C76" s="25" t="s">
        <v>152</v>
      </c>
    </row>
    <row r="77" customFormat="false" ht="15" hidden="false" customHeight="false" outlineLevel="0" collapsed="false">
      <c r="A77" s="0" t="s">
        <v>153</v>
      </c>
      <c r="B77" s="24" t="n">
        <v>0.955</v>
      </c>
      <c r="C77" s="25" t="s">
        <v>154</v>
      </c>
    </row>
    <row r="78" customFormat="false" ht="15" hidden="false" customHeight="false" outlineLevel="0" collapsed="false">
      <c r="A78" s="0" t="s">
        <v>155</v>
      </c>
      <c r="B78" s="24" t="n">
        <v>0.98</v>
      </c>
      <c r="C78" s="25" t="s">
        <v>154</v>
      </c>
    </row>
    <row r="79" customFormat="false" ht="15" hidden="false" customHeight="false" outlineLevel="0" collapsed="false">
      <c r="A79" s="0" t="s">
        <v>156</v>
      </c>
      <c r="B79" s="24" t="n">
        <v>0.1</v>
      </c>
      <c r="C79" s="25" t="s">
        <v>157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3" min="2" style="0" width="16"/>
    <col collapsed="false" customWidth="true" hidden="false" outlineLevel="0" max="4" min="4" style="0" width="22"/>
  </cols>
  <sheetData>
    <row r="1" customFormat="false" ht="16.15" hidden="false" customHeight="false" outlineLevel="0" collapsed="false">
      <c r="A1" s="6" t="s">
        <v>158</v>
      </c>
    </row>
    <row r="2" customFormat="false" ht="15" hidden="false" customHeight="false" outlineLevel="0" collapsed="false">
      <c r="A2" s="2" t="s">
        <v>159</v>
      </c>
    </row>
    <row r="4" customFormat="false" ht="15" hidden="false" customHeight="false" outlineLevel="0" collapsed="false">
      <c r="A4" s="7" t="s">
        <v>160</v>
      </c>
      <c r="B4" s="7" t="s">
        <v>161</v>
      </c>
      <c r="C4" s="7" t="s">
        <v>162</v>
      </c>
      <c r="D4" s="7" t="s">
        <v>163</v>
      </c>
    </row>
    <row r="5" customFormat="false" ht="15" hidden="false" customHeight="false" outlineLevel="0" collapsed="false">
      <c r="A5" s="0" t="s">
        <v>164</v>
      </c>
      <c r="B5" s="33" t="n">
        <f aca="false">'3. Assumptions'!$B$7</f>
        <v>0.04</v>
      </c>
      <c r="C5" s="33" t="n">
        <f aca="false">'3. Assumptions'!$B$8</f>
        <v>0.42</v>
      </c>
      <c r="D5" s="34" t="n">
        <f aca="false">B5*C5</f>
        <v>0.0168</v>
      </c>
    </row>
    <row r="6" customFormat="false" ht="15" hidden="false" customHeight="false" outlineLevel="0" collapsed="false">
      <c r="A6" s="0" t="s">
        <v>165</v>
      </c>
      <c r="B6" s="33" t="n">
        <f aca="false">'3. Assumptions'!$B$9</f>
        <v>0.115</v>
      </c>
      <c r="C6" s="33" t="n">
        <f aca="false">'3. Assumptions'!$B$10</f>
        <v>0.23</v>
      </c>
      <c r="D6" s="34" t="n">
        <f aca="false">B6*C6</f>
        <v>0.02645</v>
      </c>
    </row>
    <row r="7" customFormat="false" ht="15" hidden="false" customHeight="false" outlineLevel="0" collapsed="false">
      <c r="A7" s="0" t="s">
        <v>166</v>
      </c>
      <c r="B7" s="33" t="n">
        <f aca="false">'3. Assumptions'!$B$11</f>
        <v>0.055</v>
      </c>
      <c r="C7" s="33" t="n">
        <f aca="false">'3. Assumptions'!$B$12</f>
        <v>0.31</v>
      </c>
      <c r="D7" s="34" t="n">
        <f aca="false">B7*C7</f>
        <v>0.01705</v>
      </c>
    </row>
    <row r="8" customFormat="false" ht="15" hidden="false" customHeight="false" outlineLevel="0" collapsed="false">
      <c r="A8" s="13" t="s">
        <v>167</v>
      </c>
      <c r="D8" s="34" t="n">
        <f aca="false">SUM(D5:D7)</f>
        <v>0.0603</v>
      </c>
    </row>
    <row r="10" customFormat="false" ht="15" hidden="false" customHeight="false" outlineLevel="0" collapsed="false">
      <c r="A10" s="13" t="s">
        <v>168</v>
      </c>
      <c r="D10" s="15" t="n">
        <f aca="false">'2. The tape'!C11</f>
        <v>192.984615384615</v>
      </c>
    </row>
    <row r="11" customFormat="false" ht="15" hidden="false" customHeight="false" outlineLevel="0" collapsed="false">
      <c r="A11" s="13" t="s">
        <v>169</v>
      </c>
      <c r="D11" s="15" t="n">
        <f aca="false">D10*(1-D8)</f>
        <v>181.347643076923</v>
      </c>
    </row>
    <row r="12" customFormat="false" ht="15" hidden="false" customHeight="false" outlineLevel="0" collapsed="false">
      <c r="A12" s="13" t="s">
        <v>170</v>
      </c>
      <c r="D12" s="33" t="n">
        <f aca="false">1-D11/D10</f>
        <v>0.0603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18"/>
    <col collapsed="false" customWidth="true" hidden="false" outlineLevel="0" max="4" min="4" style="0" width="22"/>
  </cols>
  <sheetData>
    <row r="1" customFormat="false" ht="16.15" hidden="false" customHeight="false" outlineLevel="0" collapsed="false">
      <c r="A1" s="6" t="s">
        <v>171</v>
      </c>
    </row>
    <row r="2" customFormat="false" ht="15" hidden="false" customHeight="false" outlineLevel="0" collapsed="false">
      <c r="A2" s="2" t="s">
        <v>172</v>
      </c>
    </row>
    <row r="4" customFormat="false" ht="15" hidden="false" customHeight="false" outlineLevel="0" collapsed="false">
      <c r="A4" s="7" t="s">
        <v>173</v>
      </c>
      <c r="B4" s="7" t="s">
        <v>174</v>
      </c>
      <c r="C4" s="7" t="s">
        <v>175</v>
      </c>
      <c r="D4" s="7" t="s">
        <v>176</v>
      </c>
    </row>
    <row r="5" customFormat="false" ht="15" hidden="false" customHeight="false" outlineLevel="0" collapsed="false">
      <c r="A5" s="0" t="s">
        <v>177</v>
      </c>
      <c r="B5" s="15" t="n">
        <f aca="false">'4. The rate card'!$D$10</f>
        <v>192.984615384615</v>
      </c>
      <c r="C5" s="17" t="n">
        <f aca="false">B5*'2. The tape'!D5</f>
        <v>8491.32307692308</v>
      </c>
      <c r="D5" s="17" t="n">
        <f aca="false">B5*'2. The tape'!D5*'2. The tape'!B11</f>
        <v>4415488</v>
      </c>
    </row>
    <row r="6" customFormat="false" ht="15" hidden="false" customHeight="false" outlineLevel="0" collapsed="false">
      <c r="A6" s="0" t="s">
        <v>178</v>
      </c>
      <c r="B6" s="15" t="n">
        <f aca="false">'4. The rate card'!$D$11</f>
        <v>181.347643076923</v>
      </c>
      <c r="C6" s="17" t="n">
        <f aca="false">B6*'2. The tape'!D5</f>
        <v>7979.29629538462</v>
      </c>
      <c r="D6" s="17" t="n">
        <f aca="false">B6*'2. The tape'!D5*'2. The tape'!B11</f>
        <v>4149234.0736</v>
      </c>
    </row>
    <row r="7" customFormat="false" ht="15" hidden="false" customHeight="false" outlineLevel="0" collapsed="false">
      <c r="A7" s="13" t="s">
        <v>179</v>
      </c>
      <c r="B7" s="15" t="n">
        <f aca="false">B6*'3. Assumptions'!$B$4*(1-'3. Assumptions'!$B$6)</f>
        <v>173.613528794978</v>
      </c>
      <c r="C7" s="17" t="n">
        <f aca="false">B7*'2. The tape'!D5</f>
        <v>7638.99526697905</v>
      </c>
      <c r="D7" s="17" t="n">
        <f aca="false">B7*'2. The tape'!D5*'2. The tape'!B11</f>
        <v>3972277.53882911</v>
      </c>
    </row>
    <row r="9" customFormat="false" ht="15" hidden="false" customHeight="false" outlineLevel="0" collapsed="false">
      <c r="A9" s="13" t="s">
        <v>180</v>
      </c>
      <c r="B9" s="33" t="n">
        <f aca="false">1-B7/B5</f>
        <v>0.1003763256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54"/>
  </cols>
  <sheetData>
    <row r="1" customFormat="false" ht="16.15" hidden="false" customHeight="false" outlineLevel="0" collapsed="false">
      <c r="A1" s="6" t="s">
        <v>181</v>
      </c>
    </row>
    <row r="3" customFormat="false" ht="15" hidden="false" customHeight="false" outlineLevel="0" collapsed="false">
      <c r="A3" s="7"/>
      <c r="B3" s="7" t="s">
        <v>182</v>
      </c>
      <c r="C3" s="7" t="s">
        <v>44</v>
      </c>
    </row>
    <row r="4" customFormat="false" ht="15" hidden="false" customHeight="false" outlineLevel="0" collapsed="false">
      <c r="A4" s="0" t="s">
        <v>183</v>
      </c>
      <c r="B4" s="35" t="n">
        <f aca="false">'3. Assumptions'!$B$14</f>
        <v>6</v>
      </c>
      <c r="C4" s="2" t="s">
        <v>184</v>
      </c>
    </row>
    <row r="5" customFormat="false" ht="15" hidden="false" customHeight="false" outlineLevel="0" collapsed="false">
      <c r="A5" s="0" t="s">
        <v>185</v>
      </c>
      <c r="B5" s="33" t="n">
        <f aca="false">'3. Assumptions'!$B$16</f>
        <v>0.38</v>
      </c>
      <c r="C5" s="2" t="s">
        <v>66</v>
      </c>
    </row>
    <row r="6" customFormat="false" ht="15" hidden="false" customHeight="false" outlineLevel="0" collapsed="false">
      <c r="A6" s="0" t="s">
        <v>186</v>
      </c>
      <c r="B6" s="33" t="n">
        <f aca="false">'3. Assumptions'!$B$17</f>
        <v>0.62</v>
      </c>
      <c r="C6" s="2" t="s">
        <v>187</v>
      </c>
    </row>
    <row r="7" customFormat="false" ht="15" hidden="false" customHeight="false" outlineLevel="0" collapsed="false">
      <c r="A7" s="0" t="s">
        <v>188</v>
      </c>
      <c r="B7" s="15" t="n">
        <f aca="false">'4. The rate card'!$D$11*B6</f>
        <v>112.435538707692</v>
      </c>
      <c r="C7" s="2"/>
    </row>
    <row r="8" customFormat="false" ht="15" hidden="false" customHeight="false" outlineLevel="0" collapsed="false">
      <c r="A8" s="0" t="s">
        <v>189</v>
      </c>
      <c r="B8" s="17" t="n">
        <f aca="false">B7*B4*B5*'2. The tape'!B11</f>
        <v>133303.57469184</v>
      </c>
      <c r="C8" s="2" t="s">
        <v>190</v>
      </c>
    </row>
    <row r="9" customFormat="false" ht="15" hidden="false" customHeight="false" outlineLevel="0" collapsed="false">
      <c r="A9" s="0" t="s">
        <v>191</v>
      </c>
      <c r="B9" s="17" t="n">
        <f aca="false">B8*'3. Assumptions'!$B$18</f>
        <v>59986.608611328</v>
      </c>
      <c r="C9" s="2" t="s">
        <v>70</v>
      </c>
    </row>
    <row r="10" customFormat="false" ht="15" hidden="false" customHeight="false" outlineLevel="0" collapsed="false">
      <c r="A10" s="0" t="s">
        <v>192</v>
      </c>
      <c r="B10" s="17" t="n">
        <f aca="false">B8-B9</f>
        <v>73316.966080512</v>
      </c>
      <c r="C10" s="2" t="s">
        <v>193</v>
      </c>
    </row>
    <row r="12" customFormat="false" ht="15" hidden="false" customHeight="false" outlineLevel="0" collapsed="false">
      <c r="A12" s="13" t="s">
        <v>194</v>
      </c>
    </row>
    <row r="13" customFormat="false" ht="15" hidden="false" customHeight="false" outlineLevel="0" collapsed="false">
      <c r="A13" s="36" t="s">
        <v>195</v>
      </c>
      <c r="B13" s="17" t="n">
        <f aca="false">B8*'3. Assumptions'!$B$55/(1+'3. Assumptions'!$B$55)</f>
        <v>22217.26244864</v>
      </c>
      <c r="C13" s="25" t="s">
        <v>196</v>
      </c>
    </row>
    <row r="14" customFormat="false" ht="15" hidden="false" customHeight="false" outlineLevel="0" collapsed="false">
      <c r="A14" s="36" t="s">
        <v>197</v>
      </c>
      <c r="B14" s="17" t="n">
        <f aca="false">'2. The tape'!$B$11*'3. Assumptions'!$B$53*B4</f>
        <v>34320</v>
      </c>
      <c r="C14" s="25" t="s">
        <v>198</v>
      </c>
    </row>
    <row r="15" customFormat="false" ht="15" hidden="false" customHeight="false" outlineLevel="0" collapsed="false">
      <c r="A15" s="36" t="s">
        <v>199</v>
      </c>
      <c r="B15" s="17" t="n">
        <f aca="false">B14*'3. Assumptions'!$B$54</f>
        <v>21278.4</v>
      </c>
      <c r="C15" s="25" t="s">
        <v>200</v>
      </c>
    </row>
    <row r="16" customFormat="false" ht="15" hidden="false" customHeight="false" outlineLevel="0" collapsed="false">
      <c r="A16" s="36" t="s">
        <v>201</v>
      </c>
      <c r="B16" s="17" t="n">
        <f aca="false">B14*B5</f>
        <v>13041.6</v>
      </c>
    </row>
    <row r="17" customFormat="false" ht="15" hidden="false" customHeight="false" outlineLevel="0" collapsed="false">
      <c r="A17" s="36" t="s">
        <v>202</v>
      </c>
      <c r="B17" s="17" t="n">
        <f aca="false">B13+B15</f>
        <v>43495.66244864</v>
      </c>
    </row>
    <row r="18" customFormat="false" ht="15" hidden="false" customHeight="false" outlineLevel="0" collapsed="false">
      <c r="A18" s="36" t="s">
        <v>203</v>
      </c>
      <c r="B18" s="17" t="n">
        <f aca="false">B13+B16</f>
        <v>35258.86244864</v>
      </c>
    </row>
    <row r="19" customFormat="false" ht="15" hidden="false" customHeight="false" outlineLevel="0" collapsed="false">
      <c r="A19" s="36" t="s">
        <v>204</v>
      </c>
      <c r="B19" s="17" t="n">
        <f aca="false">B13+B14</f>
        <v>56537.26244864</v>
      </c>
    </row>
    <row r="20" customFormat="false" ht="15" hidden="false" customHeight="false" outlineLevel="0" collapsed="false">
      <c r="A20" s="36" t="s">
        <v>205</v>
      </c>
      <c r="B20" s="17" t="n">
        <f aca="false">B10-B17</f>
        <v>29821.303631872</v>
      </c>
      <c r="C20" s="25" t="s">
        <v>206</v>
      </c>
    </row>
    <row r="21" customFormat="false" ht="15" hidden="false" customHeight="false" outlineLevel="0" collapsed="false">
      <c r="A21" s="36" t="s">
        <v>207</v>
      </c>
      <c r="B21" s="17" t="n">
        <f aca="false">B10-B8*'3. Assumptions'!$B$27</f>
        <v>68651.3409662976</v>
      </c>
    </row>
    <row r="22" customFormat="false" ht="15" hidden="false" customHeight="false" outlineLevel="0" collapsed="false">
      <c r="A22" s="36" t="s">
        <v>208</v>
      </c>
      <c r="B22" s="17" t="n">
        <f aca="false">(B8-B13)*(1-'3. Assumptions'!$B$27)-B9-B15</f>
        <v>25933.28270336</v>
      </c>
      <c r="C22" s="25" t="s">
        <v>209</v>
      </c>
    </row>
    <row r="23" customFormat="false" ht="15" hidden="false" customHeight="false" outlineLevel="0" collapsed="false">
      <c r="A23" s="36" t="s">
        <v>210</v>
      </c>
      <c r="B23" s="17" t="n">
        <f aca="false">B13*'3. Assumptions'!$B$27</f>
        <v>777.6041857024</v>
      </c>
    </row>
    <row r="24" customFormat="false" ht="15" hidden="false" customHeight="false" outlineLevel="0" collapsed="false">
      <c r="A24" s="36" t="s">
        <v>211</v>
      </c>
      <c r="B24" s="17" t="n">
        <f aca="false">B21-B22</f>
        <v>42718.0582629376</v>
      </c>
    </row>
    <row r="25" customFormat="false" ht="15" hidden="false" customHeight="false" outlineLevel="0" collapsed="false">
      <c r="A25" s="36" t="s">
        <v>212</v>
      </c>
      <c r="B25" s="33" t="n">
        <f aca="false">B21/'7. The cost base'!$C$18</f>
        <v>0.0254394328154401</v>
      </c>
    </row>
    <row r="26" customFormat="false" ht="15" hidden="false" customHeight="false" outlineLevel="0" collapsed="false">
      <c r="A26" s="36" t="s">
        <v>213</v>
      </c>
      <c r="B26" s="33" t="n">
        <f aca="false">B22/'7. The cost base'!$C$18</f>
        <v>0.00960983418138641</v>
      </c>
    </row>
    <row r="27" customFormat="false" ht="15" hidden="false" customHeight="false" outlineLevel="0" collapsed="false">
      <c r="A27" s="36" t="s">
        <v>214</v>
      </c>
      <c r="B27" s="17" t="n">
        <f aca="false">B22/2/('3. Assumptions'!$B$32*(1+'3. Assumptions'!$B$37))</f>
        <v>223189.516699313</v>
      </c>
    </row>
    <row r="28" customFormat="false" ht="15" hidden="false" customHeight="false" outlineLevel="0" collapsed="false">
      <c r="A28" s="36" t="s">
        <v>215</v>
      </c>
      <c r="B28" s="17" t="n">
        <f aca="false">'4. The rate card'!$D$10*B6*B4*B5*'2. The tape'!$B$11</f>
        <v>141857.5872</v>
      </c>
      <c r="C28" s="25" t="s">
        <v>216</v>
      </c>
    </row>
    <row r="29" customFormat="false" ht="15" hidden="false" customHeight="false" outlineLevel="0" collapsed="false">
      <c r="A29" s="36" t="s">
        <v>217</v>
      </c>
      <c r="B29" s="17" t="n">
        <f aca="false">(B28-B8)*(1-'3. Assumptions'!$B$18-'3. Assumptions'!$B$27)</f>
        <v>4405.31644170241</v>
      </c>
    </row>
    <row r="30" customFormat="false" ht="15" hidden="false" customHeight="false" outlineLevel="0" collapsed="false">
      <c r="A30" s="36" t="s">
        <v>218</v>
      </c>
      <c r="B30" s="17" t="n">
        <f aca="false">B29/('3. Assumptions'!$B$32*(1+'3. Assumptions'!$B$37))</f>
        <v>75826.9177703223</v>
      </c>
    </row>
    <row r="31" customFormat="false" ht="15" hidden="false" customHeight="false" outlineLevel="0" collapsed="false">
      <c r="A31" s="36" t="s">
        <v>219</v>
      </c>
      <c r="B31" s="17" t="n">
        <f aca="false">'2. The tape'!$B$11*'3. Assumptions'!$B$53*52</f>
        <v>297440</v>
      </c>
    </row>
    <row r="32" customFormat="false" ht="15" hidden="false" customHeight="false" outlineLevel="0" collapsed="false">
      <c r="A32" s="36" t="s">
        <v>220</v>
      </c>
      <c r="B32" s="37" t="n">
        <f aca="false">B31/B10</f>
        <v>4.05690545996367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3" min="3" style="0" width="18"/>
    <col collapsed="false" customWidth="true" hidden="false" outlineLevel="0" max="4" min="4" style="0" width="16"/>
  </cols>
  <sheetData>
    <row r="1" customFormat="false" ht="16.15" hidden="false" customHeight="false" outlineLevel="0" collapsed="false">
      <c r="A1" s="6" t="s">
        <v>221</v>
      </c>
    </row>
    <row r="3" customFormat="false" ht="15" hidden="false" customHeight="false" outlineLevel="0" collapsed="false">
      <c r="A3" s="7" t="s">
        <v>222</v>
      </c>
      <c r="B3" s="7" t="s">
        <v>223</v>
      </c>
      <c r="C3" s="7" t="s">
        <v>224</v>
      </c>
      <c r="D3" s="7" t="s">
        <v>225</v>
      </c>
    </row>
    <row r="4" customFormat="false" ht="15" hidden="false" customHeight="false" outlineLevel="0" collapsed="false">
      <c r="A4" s="0" t="s">
        <v>226</v>
      </c>
      <c r="B4" s="17" t="n">
        <f aca="false">'3. Assumptions'!$B$19</f>
        <v>660</v>
      </c>
      <c r="C4" s="17" t="n">
        <f aca="false">B4*'2. The tape'!B11</f>
        <v>343200</v>
      </c>
      <c r="D4" s="34" t="n">
        <f aca="false">C4/$C$16</f>
        <v>0.243929838038049</v>
      </c>
    </row>
    <row r="5" customFormat="false" ht="15" hidden="false" customHeight="false" outlineLevel="0" collapsed="false">
      <c r="A5" s="0" t="s">
        <v>227</v>
      </c>
      <c r="B5" s="17" t="n">
        <f aca="false">'3. Assumptions'!$B$20</f>
        <v>99</v>
      </c>
      <c r="C5" s="17" t="n">
        <f aca="false">B5*'2. The tape'!B11</f>
        <v>51480</v>
      </c>
      <c r="D5" s="34" t="n">
        <f aca="false">C5/$C$16</f>
        <v>0.0365894757057074</v>
      </c>
    </row>
    <row r="6" customFormat="false" ht="15" hidden="false" customHeight="false" outlineLevel="0" collapsed="false">
      <c r="A6" s="0" t="s">
        <v>228</v>
      </c>
      <c r="B6" s="17" t="n">
        <f aca="false">'3. Assumptions'!$B$21</f>
        <v>618</v>
      </c>
      <c r="C6" s="17" t="n">
        <f aca="false">B6*'2. The tape'!B11</f>
        <v>321360</v>
      </c>
      <c r="D6" s="34" t="n">
        <f aca="false">C6/$C$16</f>
        <v>0.2284070301629</v>
      </c>
    </row>
    <row r="7" customFormat="false" ht="15" hidden="false" customHeight="false" outlineLevel="0" collapsed="false">
      <c r="A7" s="0" t="s">
        <v>229</v>
      </c>
      <c r="B7" s="17" t="n">
        <f aca="false">'3. Assumptions'!$B$22</f>
        <v>330</v>
      </c>
      <c r="C7" s="17" t="n">
        <f aca="false">B7*'2. The tape'!B11</f>
        <v>171600</v>
      </c>
      <c r="D7" s="34" t="n">
        <f aca="false">C7/$C$16</f>
        <v>0.121964919019025</v>
      </c>
    </row>
    <row r="8" customFormat="false" ht="15" hidden="false" customHeight="false" outlineLevel="0" collapsed="false">
      <c r="A8" s="0" t="s">
        <v>230</v>
      </c>
      <c r="B8" s="17" t="n">
        <f aca="false">'3. Assumptions'!$B$23</f>
        <v>192</v>
      </c>
      <c r="C8" s="17" t="n">
        <f aca="false">B8*'2. The tape'!B11</f>
        <v>99840</v>
      </c>
      <c r="D8" s="34" t="n">
        <f aca="false">C8/$C$16</f>
        <v>0.0709614074292506</v>
      </c>
    </row>
    <row r="9" customFormat="false" ht="15" hidden="false" customHeight="false" outlineLevel="0" collapsed="false">
      <c r="A9" s="0" t="s">
        <v>231</v>
      </c>
      <c r="B9" s="17" t="n">
        <f aca="false">'3. Assumptions'!$B$24</f>
        <v>74</v>
      </c>
      <c r="C9" s="17" t="n">
        <f aca="false">B9*'2. The tape'!B11</f>
        <v>38480</v>
      </c>
      <c r="D9" s="34" t="n">
        <f aca="false">C9/$C$16</f>
        <v>0.027349709113357</v>
      </c>
    </row>
    <row r="10" customFormat="false" ht="15" hidden="false" customHeight="false" outlineLevel="0" collapsed="false">
      <c r="A10" s="0" t="s">
        <v>232</v>
      </c>
      <c r="B10" s="17" t="n">
        <f aca="false">'3. Assumptions'!$B$25</f>
        <v>196</v>
      </c>
      <c r="C10" s="17" t="n">
        <f aca="false">B10*'2. The tape'!B11</f>
        <v>101920</v>
      </c>
      <c r="D10" s="34" t="n">
        <f aca="false">C10/$C$16</f>
        <v>0.0724397700840267</v>
      </c>
    </row>
    <row r="11" customFormat="false" ht="15" hidden="false" customHeight="false" outlineLevel="0" collapsed="false">
      <c r="A11" s="0" t="s">
        <v>233</v>
      </c>
      <c r="B11" s="17" t="n">
        <f aca="false">'3. Assumptions'!$B$26</f>
        <v>145</v>
      </c>
      <c r="C11" s="17" t="n">
        <f aca="false">B11*'2. The tape'!B11</f>
        <v>75400</v>
      </c>
      <c r="D11" s="34" t="n">
        <f aca="false">C11/$C$16</f>
        <v>0.053590646235632</v>
      </c>
    </row>
    <row r="12" customFormat="false" ht="15" hidden="false" customHeight="false" outlineLevel="0" collapsed="false">
      <c r="A12" s="0" t="s">
        <v>234</v>
      </c>
      <c r="B12" s="15" t="n">
        <f aca="false">C12/'2. The tape'!B11</f>
        <v>115.358862714092</v>
      </c>
      <c r="C12" s="17" t="n">
        <f aca="false">'6. The summer'!$B$9</f>
        <v>59986.608611328</v>
      </c>
      <c r="D12" s="34" t="n">
        <f aca="false">C12/$C$16</f>
        <v>0.042635558633488</v>
      </c>
    </row>
    <row r="13" customFormat="false" ht="15" hidden="false" customHeight="false" outlineLevel="0" collapsed="false">
      <c r="A13" s="13" t="s">
        <v>235</v>
      </c>
      <c r="B13" s="15" t="n">
        <f aca="false">C13/'2. The tape'!B11</f>
        <v>2429.35886271409</v>
      </c>
      <c r="C13" s="17" t="n">
        <f aca="false">SUM(C4:C12)</f>
        <v>1263266.60861133</v>
      </c>
      <c r="D13" s="34" t="n">
        <f aca="false">C13/$C$16</f>
        <v>0.897868354421436</v>
      </c>
    </row>
    <row r="14" customFormat="false" ht="15" hidden="false" customHeight="false" outlineLevel="0" collapsed="false">
      <c r="A14" s="13" t="s">
        <v>236</v>
      </c>
      <c r="C14" s="17" t="n">
        <f aca="false">'5. RevPAB'!$D$7+'6. The summer'!$B$8</f>
        <v>4105581.11352095</v>
      </c>
    </row>
    <row r="15" customFormat="false" ht="15" hidden="false" customHeight="false" outlineLevel="0" collapsed="false">
      <c r="A15" s="13" t="s">
        <v>81</v>
      </c>
      <c r="C15" s="17" t="n">
        <f aca="false">'7. The cost base'!$C$14*'3. Assumptions'!$B$27</f>
        <v>143695.338973233</v>
      </c>
      <c r="D15" s="34" t="n">
        <f aca="false">C15/$C$16</f>
        <v>0.102131645578564</v>
      </c>
    </row>
    <row r="16" customFormat="false" ht="15" hidden="false" customHeight="false" outlineLevel="0" collapsed="false">
      <c r="A16" s="13" t="s">
        <v>237</v>
      </c>
      <c r="C16" s="17" t="n">
        <f aca="false">'7. The cost base'!$C$13+'7. The cost base'!$C$15</f>
        <v>1406961.94758456</v>
      </c>
      <c r="D16" s="34" t="n">
        <f aca="false">C16/$C$16</f>
        <v>1</v>
      </c>
    </row>
    <row r="18" customFormat="false" ht="15" hidden="false" customHeight="false" outlineLevel="0" collapsed="false">
      <c r="A18" s="13" t="s">
        <v>238</v>
      </c>
      <c r="C18" s="17" t="n">
        <f aca="false">'7. The cost base'!$C$14-'7. The cost base'!$C$16</f>
        <v>2698619.16593639</v>
      </c>
    </row>
    <row r="19" customFormat="false" ht="15" hidden="false" customHeight="false" outlineLevel="0" collapsed="false">
      <c r="A19" s="13" t="s">
        <v>239</v>
      </c>
      <c r="C19" s="33" t="n">
        <f aca="false">'7. The cost base'!$C$18/'7. The cost base'!$C$14</f>
        <v>0.657305041921837</v>
      </c>
    </row>
    <row r="21" customFormat="false" ht="15" hidden="false" customHeight="false" outlineLevel="0" collapsed="false">
      <c r="A21" s="13" t="s">
        <v>240</v>
      </c>
      <c r="B21" s="38" t="s">
        <v>241</v>
      </c>
      <c r="C21" s="39" t="s">
        <v>242</v>
      </c>
      <c r="D21" s="38" t="s">
        <v>243</v>
      </c>
    </row>
    <row r="22" customFormat="false" ht="15" hidden="false" customHeight="false" outlineLevel="0" collapsed="false">
      <c r="A22" s="0" t="s">
        <v>229</v>
      </c>
      <c r="B22" s="15" t="n">
        <f aca="false">C7</f>
        <v>171600</v>
      </c>
      <c r="C22" s="40" t="n">
        <f aca="false">'3. Assumptions'!$B$55/(1+'3. Assumptions'!$B$55)</f>
        <v>0.166666666666667</v>
      </c>
      <c r="D22" s="15" t="n">
        <f aca="false">B22*C22</f>
        <v>28600</v>
      </c>
    </row>
    <row r="23" customFormat="false" ht="15" hidden="false" customHeight="false" outlineLevel="0" collapsed="false">
      <c r="A23" s="0" t="s">
        <v>230</v>
      </c>
      <c r="B23" s="15" t="n">
        <f aca="false">C8</f>
        <v>99840</v>
      </c>
      <c r="C23" s="40" t="n">
        <f aca="false">C22</f>
        <v>0.166666666666667</v>
      </c>
      <c r="D23" s="15" t="n">
        <f aca="false">B23*C23</f>
        <v>16640</v>
      </c>
    </row>
    <row r="24" customFormat="false" ht="15" hidden="false" customHeight="false" outlineLevel="0" collapsed="false">
      <c r="A24" s="0" t="s">
        <v>233</v>
      </c>
      <c r="B24" s="15" t="n">
        <f aca="false">C11</f>
        <v>75400</v>
      </c>
      <c r="C24" s="40" t="n">
        <f aca="false">C22</f>
        <v>0.166666666666667</v>
      </c>
      <c r="D24" s="15" t="n">
        <f aca="false">B24*C24</f>
        <v>12566.6666666667</v>
      </c>
    </row>
    <row r="25" customFormat="false" ht="15" hidden="false" customHeight="false" outlineLevel="0" collapsed="false">
      <c r="A25" s="0" t="s">
        <v>244</v>
      </c>
      <c r="B25" s="15" t="n">
        <f aca="false">C12*'3. Assumptions'!$B$57</f>
        <v>43190.3582001562</v>
      </c>
      <c r="C25" s="40" t="n">
        <f aca="false">C22</f>
        <v>0.166666666666667</v>
      </c>
      <c r="D25" s="15" t="n">
        <f aca="false">B25*C25</f>
        <v>7198.39303335936</v>
      </c>
    </row>
    <row r="26" customFormat="false" ht="15" hidden="false" customHeight="false" outlineLevel="0" collapsed="false">
      <c r="A26" s="0" t="s">
        <v>245</v>
      </c>
      <c r="B26" s="15" t="n">
        <f aca="false">C15</f>
        <v>143695.338973233</v>
      </c>
      <c r="C26" s="40" t="n">
        <f aca="false">C22</f>
        <v>0.166666666666667</v>
      </c>
      <c r="D26" s="15" t="n">
        <f aca="false">B26*C26</f>
        <v>23949.2231622055</v>
      </c>
    </row>
    <row r="27" customFormat="false" ht="15" hidden="false" customHeight="false" outlineLevel="0" collapsed="false">
      <c r="A27" s="0" t="s">
        <v>246</v>
      </c>
      <c r="B27" s="15" t="n">
        <f aca="false">SUM(B22:B26)</f>
        <v>533725.697173389</v>
      </c>
      <c r="C27" s="40" t="n">
        <f aca="false">C22</f>
        <v>0.166666666666667</v>
      </c>
      <c r="D27" s="15" t="n">
        <f aca="false">SUM(D22:D26)</f>
        <v>88954.2828622316</v>
      </c>
    </row>
    <row r="28" customFormat="false" ht="15" hidden="false" customHeight="false" outlineLevel="0" collapsed="false">
      <c r="A28" s="0" t="s">
        <v>247</v>
      </c>
      <c r="B28" s="15" t="n">
        <f aca="false">C4</f>
        <v>343200</v>
      </c>
      <c r="C28" s="40" t="n">
        <f aca="false">'3. Assumptions'!$B$56/(1+'3. Assumptions'!$B$56)</f>
        <v>0.0476190476190476</v>
      </c>
      <c r="D28" s="15" t="n">
        <f aca="false">B28*C28</f>
        <v>16342.8571428571</v>
      </c>
    </row>
    <row r="29" customFormat="false" ht="15" hidden="false" customHeight="false" outlineLevel="0" collapsed="false">
      <c r="A29" s="0" t="s">
        <v>248</v>
      </c>
      <c r="B29" s="15" t="n">
        <f aca="false">B27+B28</f>
        <v>876925.697173389</v>
      </c>
      <c r="D29" s="15" t="n">
        <f aca="false">D27+D28</f>
        <v>105297.140005089</v>
      </c>
    </row>
    <row r="30" customFormat="false" ht="15" hidden="false" customHeight="false" outlineLevel="0" collapsed="false">
      <c r="A30" s="0" t="s">
        <v>249</v>
      </c>
      <c r="B30" s="17" t="n">
        <f aca="false">D29/'2. The tape'!$B$11</f>
        <v>202.494500009786</v>
      </c>
    </row>
    <row r="31" customFormat="false" ht="15" hidden="false" customHeight="false" outlineLevel="0" collapsed="false">
      <c r="A31" s="0" t="s">
        <v>250</v>
      </c>
      <c r="B31" s="33" t="n">
        <f aca="false">D29/C16</f>
        <v>0.0748400766530043</v>
      </c>
    </row>
    <row r="32" customFormat="false" ht="15" hidden="false" customHeight="false" outlineLevel="0" collapsed="false">
      <c r="A32" s="0" t="s">
        <v>218</v>
      </c>
      <c r="B32" s="17" t="n">
        <f aca="false">D29/('3. Assumptions'!$B$32*(1+'3. Assumptions'!$B$37))</f>
        <v>1812436.78684078</v>
      </c>
    </row>
    <row r="33" customFormat="false" ht="15" hidden="false" customHeight="false" outlineLevel="0" collapsed="false">
      <c r="A33" s="0" t="s">
        <v>251</v>
      </c>
      <c r="B33" s="33" t="n">
        <f aca="false">(B27*'3. Assumptions'!$B$55+B28*'3. Assumptions'!$B$56)/D29-1</f>
        <v>0.176718944395734</v>
      </c>
    </row>
    <row r="34" customFormat="false" ht="15" hidden="false" customHeight="false" outlineLevel="0" collapsed="false">
      <c r="A34" s="0" t="s">
        <v>252</v>
      </c>
      <c r="B34" s="17" t="n">
        <f aca="false">B29*'3. Assumptions'!$B$55/(1+'3. Assumptions'!$B$55)</f>
        <v>146154.282862232</v>
      </c>
    </row>
    <row r="35" customFormat="false" ht="15" hidden="false" customHeight="false" outlineLevel="0" collapsed="false">
      <c r="A35" s="0" t="s">
        <v>253</v>
      </c>
      <c r="B35" s="33" t="n">
        <f aca="false">B34/D29-1</f>
        <v>0.388017593404421</v>
      </c>
    </row>
    <row r="36" customFormat="false" ht="15" hidden="false" customHeight="false" outlineLevel="0" collapsed="false">
      <c r="A36" s="0" t="s">
        <v>254</v>
      </c>
      <c r="B36" s="17" t="n">
        <f aca="false">D25</f>
        <v>7198.39303335936</v>
      </c>
    </row>
    <row r="37" customFormat="false" ht="15" hidden="false" customHeight="false" outlineLevel="0" collapsed="false">
      <c r="A37" s="0" t="s">
        <v>255</v>
      </c>
      <c r="B37" s="33" t="n">
        <f aca="false">B36/D29</f>
        <v>0.0683626642946948</v>
      </c>
    </row>
    <row r="38" customFormat="false" ht="15" hidden="false" customHeight="false" outlineLevel="0" collapsed="false">
      <c r="A38" s="0" t="s">
        <v>256</v>
      </c>
      <c r="B38" s="17" t="n">
        <f aca="false">D29-B36</f>
        <v>98098.7469717294</v>
      </c>
    </row>
    <row r="40" customFormat="false" ht="15" hidden="false" customHeight="false" outlineLevel="0" collapsed="false">
      <c r="A40" s="0" t="s">
        <v>257</v>
      </c>
      <c r="B40" s="17" t="n">
        <f aca="false">('3. Assumptions'!$B$58-'3. Assumptions'!$B$19+'3. Assumptions'!$B$59-'3. Assumptions'!$B$24)*'2. The tape'!$B$11</f>
        <v>117520</v>
      </c>
    </row>
    <row r="41" customFormat="false" ht="15" hidden="false" customHeight="false" outlineLevel="0" collapsed="false">
      <c r="A41" s="0" t="s">
        <v>258</v>
      </c>
      <c r="B41" s="33" t="n">
        <f aca="false">(C18-B40)/C14</f>
        <v>0.628680592239678</v>
      </c>
    </row>
    <row r="42" customFormat="false" ht="15" hidden="false" customHeight="false" outlineLevel="0" collapsed="false">
      <c r="A42" s="0" t="s">
        <v>259</v>
      </c>
      <c r="B42" s="17" t="n">
        <f aca="false">B40/('3. Assumptions'!$B$32*(1+'3. Assumptions'!$B$37))</f>
        <v>2022823.89796375</v>
      </c>
    </row>
    <row r="44" customFormat="false" ht="15" hidden="false" customHeight="false" outlineLevel="0" collapsed="false">
      <c r="A44" s="0" t="s">
        <v>260</v>
      </c>
      <c r="B44" s="17" t="n">
        <f aca="false">0.05*'2. The tape'!$B$11*('3. Assumptions'!$B$19*'3. Assumptions'!$B$60+'3. Assumptions'!$B$20*'3. Assumptions'!$B$61)</f>
        <v>4633.2</v>
      </c>
    </row>
    <row r="45" customFormat="false" ht="15" hidden="false" customHeight="false" outlineLevel="0" collapsed="false">
      <c r="A45" s="0" t="s">
        <v>261</v>
      </c>
      <c r="B45" s="17" t="n">
        <f aca="false">B44/5</f>
        <v>926.64</v>
      </c>
    </row>
    <row r="47" customFormat="false" ht="15" hidden="false" customHeight="false" outlineLevel="0" collapsed="false">
      <c r="A47" s="13" t="s">
        <v>262</v>
      </c>
    </row>
    <row r="48" customFormat="false" ht="41.75" hidden="false" customHeight="false" outlineLevel="0" collapsed="false">
      <c r="A48" s="41" t="s">
        <v>263</v>
      </c>
      <c r="B48" s="41" t="s">
        <v>264</v>
      </c>
      <c r="C48" s="41" t="s">
        <v>265</v>
      </c>
      <c r="D48" s="41" t="s">
        <v>266</v>
      </c>
      <c r="E48" s="41" t="s">
        <v>267</v>
      </c>
    </row>
    <row r="49" customFormat="false" ht="15" hidden="false" customHeight="false" outlineLevel="0" collapsed="false">
      <c r="A49" s="42" t="n">
        <v>-0.2</v>
      </c>
      <c r="B49" s="17" t="n">
        <f aca="false">-A49*C4</f>
        <v>68640</v>
      </c>
      <c r="C49" s="33" t="n">
        <f aca="false">B49/C18</f>
        <v>0.0254352303083058</v>
      </c>
      <c r="D49" s="17" t="n">
        <f aca="false">B49*(1-(1+'3. Assumptions'!$B$34)^-'3. Assumptions'!$B$62)/'3. Assumptions'!$B$34</f>
        <v>122571.323291312</v>
      </c>
      <c r="E49" s="17" t="n">
        <f aca="false">B49/('3. Assumptions'!$B$32*(1+'3. Assumptions'!$B$37))</f>
        <v>1181472.36518237</v>
      </c>
    </row>
    <row r="50" customFormat="false" ht="15" hidden="false" customHeight="false" outlineLevel="0" collapsed="false">
      <c r="A50" s="42" t="n">
        <v>0.2</v>
      </c>
      <c r="B50" s="17" t="n">
        <f aca="false">-A50*C4</f>
        <v>-68640</v>
      </c>
      <c r="C50" s="33" t="n">
        <f aca="false">B50/C18</f>
        <v>-0.0254352303083058</v>
      </c>
      <c r="D50" s="17" t="n">
        <f aca="false">B50*(1-(1+'3. Assumptions'!$B$34)^-'3. Assumptions'!$B$62)/'3. Assumptions'!$B$34</f>
        <v>-122571.323291312</v>
      </c>
      <c r="E50" s="17" t="n">
        <f aca="false">B50/('3. Assumptions'!$B$32*(1+'3. Assumptions'!$B$37))</f>
        <v>-1181472.36518237</v>
      </c>
    </row>
    <row r="51" customFormat="false" ht="15" hidden="false" customHeight="false" outlineLevel="0" collapsed="false">
      <c r="A51" s="42" t="n">
        <v>0.4</v>
      </c>
      <c r="B51" s="17" t="n">
        <f aca="false">-A51*C4</f>
        <v>-137280</v>
      </c>
      <c r="C51" s="33" t="n">
        <f aca="false">B51/C18</f>
        <v>-0.0508704606166115</v>
      </c>
      <c r="D51" s="17" t="n">
        <f aca="false">B51*(1-(1+'3. Assumptions'!$B$34)^-'3. Assumptions'!$B$62)/'3. Assumptions'!$B$34</f>
        <v>-245142.646582623</v>
      </c>
      <c r="E51" s="17" t="n">
        <f aca="false">B51/('3. Assumptions'!$B$32*(1+'3. Assumptions'!$B$37))</f>
        <v>-2362944.73036474</v>
      </c>
    </row>
    <row r="52" customFormat="false" ht="15" hidden="false" customHeight="false" outlineLevel="0" collapsed="false">
      <c r="A52" s="42" t="n">
        <v>0.6</v>
      </c>
      <c r="B52" s="17" t="n">
        <f aca="false">-A52*C4</f>
        <v>-205920</v>
      </c>
      <c r="C52" s="33" t="n">
        <f aca="false">B52/C18</f>
        <v>-0.0763056909249173</v>
      </c>
      <c r="D52" s="17" t="n">
        <f aca="false">B52*(1-(1+'3. Assumptions'!$B$34)^-'3. Assumptions'!$B$62)/'3. Assumptions'!$B$34</f>
        <v>-367713.969873935</v>
      </c>
      <c r="E52" s="17" t="n">
        <f aca="false">B52/('3. Assumptions'!$B$32*(1+'3. Assumptions'!$B$37))</f>
        <v>-3544417.0955471</v>
      </c>
    </row>
    <row r="53" customFormat="false" ht="15" hidden="false" customHeight="false" outlineLevel="0" collapsed="false">
      <c r="A53" s="42" t="n">
        <v>1</v>
      </c>
      <c r="B53" s="17" t="n">
        <f aca="false">-A53*C4</f>
        <v>-343200</v>
      </c>
      <c r="C53" s="33" t="n">
        <f aca="false">B53/C18</f>
        <v>-0.127176151541529</v>
      </c>
      <c r="D53" s="17" t="n">
        <f aca="false">B53*(1-(1+'3. Assumptions'!$B$34)^-'3. Assumptions'!$B$62)/'3. Assumptions'!$B$34</f>
        <v>-612856.616456558</v>
      </c>
      <c r="E53" s="17" t="n">
        <f aca="false">B53/('3. Assumptions'!$B$32*(1+'3. Assumptions'!$B$37))</f>
        <v>-5907361.82591184</v>
      </c>
    </row>
    <row r="54" customFormat="false" ht="15" hidden="false" customHeight="false" outlineLevel="0" collapsed="false">
      <c r="A54" s="0" t="s">
        <v>268</v>
      </c>
      <c r="B54" s="33" t="n">
        <f aca="false">C15/C4</f>
        <v>0.418692712625971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3" min="2" style="0" width="18"/>
    <col collapsed="false" customWidth="true" hidden="false" outlineLevel="0" max="4" min="4" style="0" width="20"/>
  </cols>
  <sheetData>
    <row r="1" customFormat="false" ht="16.15" hidden="false" customHeight="false" outlineLevel="0" collapsed="false">
      <c r="A1" s="6" t="s">
        <v>269</v>
      </c>
    </row>
    <row r="2" customFormat="false" ht="15" hidden="false" customHeight="false" outlineLevel="0" collapsed="false">
      <c r="A2" s="2" t="s">
        <v>270</v>
      </c>
    </row>
    <row r="4" customFormat="false" ht="15" hidden="false" customHeight="false" outlineLevel="0" collapsed="false">
      <c r="A4" s="7"/>
      <c r="B4" s="7" t="s">
        <v>271</v>
      </c>
      <c r="C4" s="7" t="s">
        <v>224</v>
      </c>
      <c r="D4" s="7" t="s">
        <v>265</v>
      </c>
    </row>
    <row r="5" customFormat="false" ht="15" hidden="false" customHeight="false" outlineLevel="0" collapsed="false">
      <c r="A5" s="0" t="s">
        <v>272</v>
      </c>
      <c r="B5" s="15" t="n">
        <f aca="false">'3. Assumptions'!$B$28/'3. Assumptions'!$B$29</f>
        <v>471.428571428571</v>
      </c>
      <c r="C5" s="17" t="n">
        <f aca="false">B5*'2. The tape'!B11</f>
        <v>245142.857142857</v>
      </c>
    </row>
    <row r="6" customFormat="false" ht="15" hidden="false" customHeight="false" outlineLevel="0" collapsed="false">
      <c r="A6" s="0" t="s">
        <v>273</v>
      </c>
      <c r="B6" s="15" t="n">
        <f aca="false">'3. Assumptions'!$B$31</f>
        <v>238</v>
      </c>
      <c r="C6" s="17" t="n">
        <f aca="false">B6*'2. The tape'!B11</f>
        <v>123760</v>
      </c>
    </row>
    <row r="7" customFormat="false" ht="15" hidden="false" customHeight="false" outlineLevel="0" collapsed="false">
      <c r="A7" s="0" t="s">
        <v>274</v>
      </c>
      <c r="B7" s="15" t="n">
        <f aca="false">C7/'2. The tape'!B11</f>
        <v>18.8602585072246</v>
      </c>
      <c r="C7" s="17" t="n">
        <f aca="false">('6. The summer'!$B$8*(1-'3. Assumptions'!$B$18-'3. Assumptions'!$B$27))/'3. Assumptions'!$B$29</f>
        <v>9807.3344237568</v>
      </c>
    </row>
    <row r="8" customFormat="false" ht="15" hidden="false" customHeight="false" outlineLevel="0" collapsed="false">
      <c r="A8" s="13" t="s">
        <v>275</v>
      </c>
      <c r="B8" s="15" t="n">
        <f aca="false">SUM(B5:B7)</f>
        <v>728.288829935796</v>
      </c>
      <c r="C8" s="17" t="n">
        <f aca="false">SUM(C5:C7)</f>
        <v>378710.191566614</v>
      </c>
      <c r="D8" s="33" t="n">
        <f aca="false">C8/'7. The cost base'!$C$18</f>
        <v>0.140334803942299</v>
      </c>
    </row>
    <row r="10" customFormat="false" ht="15" hidden="false" customHeight="false" outlineLevel="0" collapsed="false">
      <c r="A10" s="13" t="s">
        <v>276</v>
      </c>
      <c r="C10" s="43" t="n">
        <f aca="false">'7. The cost base'!$C$18/('3. Assumptions'!$B$40*(1+'3. Assumptions'!$B$37))</f>
        <v>0.0545</v>
      </c>
    </row>
    <row r="11" customFormat="false" ht="15" hidden="false" customHeight="false" outlineLevel="0" collapsed="false">
      <c r="A11" s="13" t="s">
        <v>277</v>
      </c>
      <c r="C11" s="43" t="n">
        <f aca="false">('7. The cost base'!$C$18-'8. Capital expenditure'!$C$8)/('3. Assumptions'!$B$40*(1+'3. Assumptions'!$B$37))</f>
        <v>0.0468517531851447</v>
      </c>
    </row>
    <row r="12" customFormat="false" ht="15" hidden="false" customHeight="false" outlineLevel="0" collapsed="false">
      <c r="A12" s="13" t="s">
        <v>278</v>
      </c>
      <c r="C12" s="37" t="n">
        <f aca="false">(C10-C11)*10000</f>
        <v>76.4824681485531</v>
      </c>
    </row>
    <row r="14" customFormat="false" ht="15" hidden="false" customHeight="false" outlineLevel="0" collapsed="false">
      <c r="A14" s="13" t="s">
        <v>279</v>
      </c>
    </row>
    <row r="15" customFormat="false" ht="15" hidden="false" customHeight="false" outlineLevel="0" collapsed="false">
      <c r="A15" s="0" t="s">
        <v>280</v>
      </c>
      <c r="C15" s="37" t="n">
        <f aca="false">C5/('3. Assumptions'!$B$40*(1+'3. Assumptions'!$B$37))*10000</f>
        <v>49.5078589929523</v>
      </c>
    </row>
    <row r="16" customFormat="false" ht="15" hidden="false" customHeight="false" outlineLevel="0" collapsed="false">
      <c r="A16" s="0" t="s">
        <v>281</v>
      </c>
      <c r="C16" s="37" t="n">
        <f aca="false">C6/('3. Assumptions'!$B$40*(1+'3. Assumptions'!$B$37))*10000</f>
        <v>24.9939676006844</v>
      </c>
    </row>
    <row r="17" customFormat="false" ht="15" hidden="false" customHeight="false" outlineLevel="0" collapsed="false">
      <c r="A17" s="0" t="s">
        <v>282</v>
      </c>
      <c r="C17" s="37" t="n">
        <f aca="false">C7/('3. Assumptions'!$B$40*(1+'3. Assumptions'!$B$37))*10000</f>
        <v>1.98064155491641</v>
      </c>
    </row>
    <row r="18" customFormat="false" ht="15" hidden="false" customHeight="false" outlineLevel="0" collapsed="false">
      <c r="A18" s="0" t="s">
        <v>283</v>
      </c>
      <c r="C18" s="43" t="n">
        <f aca="false">'7. The cost base'!C18/'3. Assumptions'!$B$40</f>
        <v>0.058097</v>
      </c>
    </row>
    <row r="19" customFormat="false" ht="15" hidden="false" customHeight="false" outlineLevel="0" collapsed="false">
      <c r="A19" s="0" t="s">
        <v>284</v>
      </c>
      <c r="C19" s="43" t="n">
        <f aca="false">('7. The cost base'!C18-C8)/'3. Assumptions'!$B$40</f>
        <v>0.0499439688953643</v>
      </c>
    </row>
    <row r="20" customFormat="false" ht="15" hidden="false" customHeight="false" outlineLevel="0" collapsed="false">
      <c r="A20" s="0" t="s">
        <v>285</v>
      </c>
      <c r="C20" s="16" t="n">
        <f aca="false">(C18-C11)*10000</f>
        <v>112.452468148553</v>
      </c>
    </row>
    <row r="22" customFormat="false" ht="15" hidden="false" customHeight="false" outlineLevel="0" collapsed="false">
      <c r="A22" s="0" t="s">
        <v>286</v>
      </c>
      <c r="C22" s="17" t="n">
        <f aca="false">'3. Assumptions'!$B$28*'2. The tape'!$B$11/('2. The tape'!$B$11+('3. Assumptions'!$B$74-1)*SUMPRODUCT(ISNUMBER(SEARCH("studio",'2. The tape'!$A$5:$A$10))*'2. The tape'!$B$5:$B$10))</f>
        <v>3096.24336905922</v>
      </c>
    </row>
    <row r="23" customFormat="false" ht="15" hidden="false" customHeight="false" outlineLevel="0" collapsed="false">
      <c r="A23" s="0" t="s">
        <v>287</v>
      </c>
      <c r="C23" s="17" t="n">
        <f aca="false">C22*'3. Assumptions'!$B$74</f>
        <v>3994.15394608639</v>
      </c>
    </row>
    <row r="24" customFormat="false" ht="15" hidden="false" customHeight="false" outlineLevel="0" collapsed="false">
      <c r="A24" s="0" t="s">
        <v>288</v>
      </c>
      <c r="C24" s="17" t="n">
        <f aca="false">'3. Assumptions'!$B$30/'3. Assumptions'!$B$29*'3. Assumptions'!$B$28*'2. The tape'!$B$11</f>
        <v>735428.571428571</v>
      </c>
    </row>
    <row r="25" customFormat="false" ht="15" hidden="false" customHeight="false" outlineLevel="0" collapsed="false">
      <c r="A25" s="0" t="s">
        <v>289</v>
      </c>
      <c r="C25" s="33" t="n">
        <f aca="false">'9. Ten-year cash flow'!F8/'9. Ten-year cash flow'!D8</f>
        <v>0.644234728921474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4" min="2" style="0" width="16"/>
    <col collapsed="false" customWidth="true" hidden="false" outlineLevel="0" max="5" min="5" style="0" width="14"/>
    <col collapsed="false" customWidth="true" hidden="false" outlineLevel="0" max="7" min="6" style="0" width="16"/>
  </cols>
  <sheetData>
    <row r="1" customFormat="false" ht="16.15" hidden="false" customHeight="false" outlineLevel="0" collapsed="false">
      <c r="A1" s="6" t="s">
        <v>290</v>
      </c>
    </row>
    <row r="2" customFormat="false" ht="15" hidden="false" customHeight="false" outlineLevel="0" collapsed="false">
      <c r="A2" s="2" t="s">
        <v>291</v>
      </c>
    </row>
    <row r="4" customFormat="false" ht="15" hidden="false" customHeight="false" outlineLevel="0" collapsed="false">
      <c r="A4" s="7" t="s">
        <v>292</v>
      </c>
      <c r="B4" s="7" t="s">
        <v>293</v>
      </c>
      <c r="C4" s="7" t="s">
        <v>294</v>
      </c>
      <c r="D4" s="7" t="s">
        <v>295</v>
      </c>
      <c r="E4" s="7" t="s">
        <v>296</v>
      </c>
      <c r="F4" s="7" t="s">
        <v>297</v>
      </c>
      <c r="G4" s="7" t="s">
        <v>298</v>
      </c>
    </row>
    <row r="5" customFormat="false" ht="15" hidden="false" customHeight="false" outlineLevel="0" collapsed="false">
      <c r="A5" s="0" t="n">
        <v>1</v>
      </c>
      <c r="B5" s="17" t="n">
        <f aca="false">('5. RevPAB'!$D$7+'6. The summer'!$B$8)*(1+'3. Assumptions'!$B$35)^0-IF(MOD(1+'3. Assumptions'!$B$30,'3. Assumptions'!$B$29)=0,1,0)*'6. The summer'!$B$8*(1+'3. Assumptions'!$B$35)^0</f>
        <v>4105581.11352095</v>
      </c>
      <c r="C5" s="17" t="n">
        <f aca="false">('7. The cost base'!$C$13*(1+'3. Assumptions'!$B$36)^0-IF(MOD(1+'3. Assumptions'!$B$30,'3. Assumptions'!$B$29)=0,1,0)*'6. The summer'!$B$9*(1+'3. Assumptions'!$B$36)^0)+B5*'3. Assumptions'!$B$27</f>
        <v>1406961.94758456</v>
      </c>
      <c r="D5" s="17" t="n">
        <f aca="false">B5-C5</f>
        <v>2698619.16593639</v>
      </c>
      <c r="E5" s="17" t="n">
        <f aca="false">'3. Assumptions'!$B$31*'2. The tape'!B11*(1+'3. Assumptions'!$B$36)^0</f>
        <v>123760</v>
      </c>
      <c r="F5" s="17" t="n">
        <f aca="false">IF(MOD(1+'3. Assumptions'!$B$30,'3. Assumptions'!$B$29)=0,1,0)*'3. Assumptions'!$B$28*'2. The tape'!B11*(1+'3. Assumptions'!$B$36)^0</f>
        <v>0</v>
      </c>
      <c r="G5" s="17" t="n">
        <f aca="false">D5-E5-F5</f>
        <v>2574859.16593639</v>
      </c>
    </row>
    <row r="6" customFormat="false" ht="15" hidden="false" customHeight="false" outlineLevel="0" collapsed="false">
      <c r="A6" s="0" t="n">
        <v>2</v>
      </c>
      <c r="B6" s="17" t="n">
        <f aca="false">('5. RevPAB'!$D$7+'6. The summer'!$B$8)*(1+'3. Assumptions'!$B$35)^1-IF(MOD(2+'3. Assumptions'!$B$30,'3. Assumptions'!$B$29)=0,1,0)*'6. The summer'!$B$8*(1+'3. Assumptions'!$B$35)^1</f>
        <v>4232854.1280401</v>
      </c>
      <c r="C6" s="17" t="n">
        <f aca="false">('7. The cost base'!$C$13*(1+'3. Assumptions'!$B$36)^1-IF(MOD(2+'3. Assumptions'!$B$30,'3. Assumptions'!$B$29)=0,1,0)*'6. The summer'!$B$9*(1+'3. Assumptions'!$B$36)^1)+B6*'3. Assumptions'!$B$27</f>
        <v>1446787.96813385</v>
      </c>
      <c r="D6" s="17" t="n">
        <f aca="false">B6-C6</f>
        <v>2786066.15990625</v>
      </c>
      <c r="E6" s="17" t="n">
        <f aca="false">'3. Assumptions'!$B$31*'2. The tape'!B11*(1+'3. Assumptions'!$B$36)^1</f>
        <v>127225.28</v>
      </c>
      <c r="F6" s="17" t="n">
        <f aca="false">IF(MOD(2+'3. Assumptions'!$B$30,'3. Assumptions'!$B$29)=0,1,0)*'3. Assumptions'!$B$28*'2. The tape'!B11*(1+'3. Assumptions'!$B$36)^1</f>
        <v>0</v>
      </c>
      <c r="G6" s="17" t="n">
        <f aca="false">D6-E6-F6</f>
        <v>2658840.87990625</v>
      </c>
    </row>
    <row r="7" customFormat="false" ht="15" hidden="false" customHeight="false" outlineLevel="0" collapsed="false">
      <c r="A7" s="0" t="n">
        <v>3</v>
      </c>
      <c r="B7" s="17" t="n">
        <f aca="false">('5. RevPAB'!$D$7+'6. The summer'!$B$8)*(1+'3. Assumptions'!$B$35)^2-IF(MOD(3+'3. Assumptions'!$B$30,'3. Assumptions'!$B$29)=0,1,0)*'6. The summer'!$B$8*(1+'3. Assumptions'!$B$35)^2</f>
        <v>4364072.60600934</v>
      </c>
      <c r="C7" s="17" t="n">
        <f aca="false">('7. The cost base'!$C$13*(1+'3. Assumptions'!$B$36)^2-IF(MOD(3+'3. Assumptions'!$B$30,'3. Assumptions'!$B$29)=0,1,0)*'6. The summer'!$B$9*(1+'3. Assumptions'!$B$36)^2)+B7*'3. Assumptions'!$B$27</f>
        <v>1487742.48092504</v>
      </c>
      <c r="D7" s="17" t="n">
        <f aca="false">B7-C7</f>
        <v>2876330.1250843</v>
      </c>
      <c r="E7" s="17" t="n">
        <f aca="false">'3. Assumptions'!$B$31*'2. The tape'!B11*(1+'3. Assumptions'!$B$36)^2</f>
        <v>130787.58784</v>
      </c>
      <c r="F7" s="17" t="n">
        <f aca="false">IF(MOD(3+'3. Assumptions'!$B$30,'3. Assumptions'!$B$29)=0,1,0)*'3. Assumptions'!$B$28*'2. The tape'!B11*(1+'3. Assumptions'!$B$36)^2</f>
        <v>0</v>
      </c>
      <c r="G7" s="17" t="n">
        <f aca="false">D7-E7-F7</f>
        <v>2745542.5372443</v>
      </c>
    </row>
    <row r="8" customFormat="false" ht="15" hidden="false" customHeight="false" outlineLevel="0" collapsed="false">
      <c r="A8" s="0" t="n">
        <v>4</v>
      </c>
      <c r="B8" s="17" t="n">
        <f aca="false">('5. RevPAB'!$D$7+'6. The summer'!$B$8)*(1+'3. Assumptions'!$B$35)^3-IF(MOD(4+'3. Assumptions'!$B$30,'3. Assumptions'!$B$29)=0,1,0)*'6. The summer'!$B$8*(1+'3. Assumptions'!$B$35)^3</f>
        <v>4353269.76420482</v>
      </c>
      <c r="C8" s="17" t="n">
        <f aca="false">('7. The cost base'!$C$13*(1+'3. Assumptions'!$B$36)^3-IF(MOD(4+'3. Assumptions'!$B$30,'3. Assumptions'!$B$29)=0,1,0)*'6. The summer'!$B$9*(1+'3. Assumptions'!$B$36)^3)+B8*'3. Assumptions'!$B$27</f>
        <v>1459576.49070973</v>
      </c>
      <c r="D8" s="17" t="n">
        <f aca="false">B8-C8</f>
        <v>2893693.27349509</v>
      </c>
      <c r="E8" s="17" t="n">
        <f aca="false">'3. Assumptions'!$B$31*'2. The tape'!B11*(1+'3. Assumptions'!$B$36)^3</f>
        <v>134449.64029952</v>
      </c>
      <c r="F8" s="17" t="n">
        <f aca="false">IF(MOD(4+'3. Assumptions'!$B$30,'3. Assumptions'!$B$29)=0,1,0)*'3. Assumptions'!$B$28*'2. The tape'!B11*(1+'3. Assumptions'!$B$36)^3</f>
        <v>1864217.701632</v>
      </c>
      <c r="G8" s="17" t="n">
        <f aca="false">D8-E8-F8</f>
        <v>895025.931563567</v>
      </c>
    </row>
    <row r="9" customFormat="false" ht="15" hidden="false" customHeight="false" outlineLevel="0" collapsed="false">
      <c r="A9" s="0" t="n">
        <v>5</v>
      </c>
      <c r="B9" s="17" t="n">
        <f aca="false">('5. RevPAB'!$D$7+'6. The summer'!$B$8)*(1+'3. Assumptions'!$B$35)^4-IF(MOD(5+'3. Assumptions'!$B$30,'3. Assumptions'!$B$29)=0,1,0)*'6. The summer'!$B$8*(1+'3. Assumptions'!$B$35)^4</f>
        <v>4638838.98135629</v>
      </c>
      <c r="C9" s="17" t="n">
        <f aca="false">('7. The cost base'!$C$13*(1+'3. Assumptions'!$B$36)^4-IF(MOD(5+'3. Assumptions'!$B$30,'3. Assumptions'!$B$29)=0,1,0)*'6. The summer'!$B$9*(1+'3. Assumptions'!$B$36)^4)+B9*'3. Assumptions'!$B$27</f>
        <v>1573165.94063894</v>
      </c>
      <c r="D9" s="17" t="n">
        <f aca="false">B9-C9</f>
        <v>3065673.04071735</v>
      </c>
      <c r="E9" s="17" t="n">
        <f aca="false">'3. Assumptions'!$B$31*'2. The tape'!B11*(1+'3. Assumptions'!$B$36)^4</f>
        <v>138214.230227907</v>
      </c>
      <c r="F9" s="17" t="n">
        <f aca="false">IF(MOD(5+'3. Assumptions'!$B$30,'3. Assumptions'!$B$29)=0,1,0)*'3. Assumptions'!$B$28*'2. The tape'!B11*(1+'3. Assumptions'!$B$36)^4</f>
        <v>0</v>
      </c>
      <c r="G9" s="17" t="n">
        <f aca="false">D9-E9-F9</f>
        <v>2927458.81048944</v>
      </c>
    </row>
    <row r="10" customFormat="false" ht="15" hidden="false" customHeight="false" outlineLevel="0" collapsed="false">
      <c r="A10" s="0" t="n">
        <v>6</v>
      </c>
      <c r="B10" s="17" t="n">
        <f aca="false">('5. RevPAB'!$D$7+'6. The summer'!$B$8)*(1+'3. Assumptions'!$B$35)^5-IF(MOD(6+'3. Assumptions'!$B$30,'3. Assumptions'!$B$29)=0,1,0)*'6. The summer'!$B$8*(1+'3. Assumptions'!$B$35)^5</f>
        <v>4782642.98977834</v>
      </c>
      <c r="C10" s="17" t="n">
        <f aca="false">('7. The cost base'!$C$13*(1+'3. Assumptions'!$B$36)^5-IF(MOD(6+'3. Assumptions'!$B$30,'3. Assumptions'!$B$29)=0,1,0)*'6. The summer'!$B$9*(1+'3. Assumptions'!$B$36)^5)+B10*'3. Assumptions'!$B$27</f>
        <v>1617701.66506988</v>
      </c>
      <c r="D10" s="17" t="n">
        <f aca="false">B10-C10</f>
        <v>3164941.32470846</v>
      </c>
      <c r="E10" s="17" t="n">
        <f aca="false">'3. Assumptions'!$B$31*'2. The tape'!B11*(1+'3. Assumptions'!$B$36)^5</f>
        <v>142084.228674288</v>
      </c>
      <c r="F10" s="17" t="n">
        <f aca="false">IF(MOD(6+'3. Assumptions'!$B$30,'3. Assumptions'!$B$29)=0,1,0)*'3. Assumptions'!$B$28*'2. The tape'!B11*(1+'3. Assumptions'!$B$36)^5</f>
        <v>0</v>
      </c>
      <c r="G10" s="17" t="n">
        <f aca="false">D10-E10-F10</f>
        <v>3022857.09603417</v>
      </c>
    </row>
    <row r="11" customFormat="false" ht="15" hidden="false" customHeight="false" outlineLevel="0" collapsed="false">
      <c r="A11" s="0" t="n">
        <v>7</v>
      </c>
      <c r="B11" s="17" t="n">
        <f aca="false">('5. RevPAB'!$D$7+'6. The summer'!$B$8)*(1+'3. Assumptions'!$B$35)^6-IF(MOD(7+'3. Assumptions'!$B$30,'3. Assumptions'!$B$29)=0,1,0)*'6. The summer'!$B$8*(1+'3. Assumptions'!$B$35)^6</f>
        <v>4930904.92246147</v>
      </c>
      <c r="C11" s="17" t="n">
        <f aca="false">('7. The cost base'!$C$13*(1+'3. Assumptions'!$B$36)^6-IF(MOD(7+'3. Assumptions'!$B$30,'3. Assumptions'!$B$29)=0,1,0)*'6. The summer'!$B$9*(1+'3. Assumptions'!$B$36)^6)+B11*'3. Assumptions'!$B$27</f>
        <v>1663499.48920576</v>
      </c>
      <c r="D11" s="17" t="n">
        <f aca="false">B11-C11</f>
        <v>3267405.4332557</v>
      </c>
      <c r="E11" s="17" t="n">
        <f aca="false">'3. Assumptions'!$B$31*'2. The tape'!B11*(1+'3. Assumptions'!$B$36)^6</f>
        <v>146062.587077168</v>
      </c>
      <c r="F11" s="17" t="n">
        <f aca="false">IF(MOD(7+'3. Assumptions'!$B$30,'3. Assumptions'!$B$29)=0,1,0)*'3. Assumptions'!$B$28*'2. The tape'!B11*(1+'3. Assumptions'!$B$36)^6</f>
        <v>0</v>
      </c>
      <c r="G11" s="17" t="n">
        <f aca="false">D11-E11-F11</f>
        <v>3121342.84617854</v>
      </c>
    </row>
    <row r="12" customFormat="false" ht="15" hidden="false" customHeight="false" outlineLevel="0" collapsed="false">
      <c r="A12" s="0" t="n">
        <v>8</v>
      </c>
      <c r="B12" s="17" t="n">
        <f aca="false">('5. RevPAB'!$D$7+'6. The summer'!$B$8)*(1+'3. Assumptions'!$B$35)^7-IF(MOD(8+'3. Assumptions'!$B$30,'3. Assumptions'!$B$29)=0,1,0)*'6. The summer'!$B$8*(1+'3. Assumptions'!$B$35)^7</f>
        <v>5083762.97505777</v>
      </c>
      <c r="C12" s="17" t="n">
        <f aca="false">('7. The cost base'!$C$13*(1+'3. Assumptions'!$B$36)^7-IF(MOD(8+'3. Assumptions'!$B$30,'3. Assumptions'!$B$29)=0,1,0)*'6. The summer'!$B$9*(1+'3. Assumptions'!$B$36)^7)+B12*'3. Assumptions'!$B$27</f>
        <v>1710595.21992038</v>
      </c>
      <c r="D12" s="17" t="n">
        <f aca="false">B12-C12</f>
        <v>3373167.75513739</v>
      </c>
      <c r="E12" s="17" t="n">
        <f aca="false">'3. Assumptions'!$B$31*'2. The tape'!B11*(1+'3. Assumptions'!$B$36)^7</f>
        <v>150152.339515329</v>
      </c>
      <c r="F12" s="17" t="n">
        <f aca="false">IF(MOD(8+'3. Assumptions'!$B$30,'3. Assumptions'!$B$29)=0,1,0)*'3. Assumptions'!$B$28*'2. The tape'!B11*(1+'3. Assumptions'!$B$36)^7</f>
        <v>0</v>
      </c>
      <c r="G12" s="17" t="n">
        <f aca="false">D12-E12-F12</f>
        <v>3223015.41562206</v>
      </c>
    </row>
    <row r="13" customFormat="false" ht="15" hidden="false" customHeight="false" outlineLevel="0" collapsed="false">
      <c r="A13" s="0" t="n">
        <v>9</v>
      </c>
      <c r="B13" s="17" t="n">
        <f aca="false">('5. RevPAB'!$D$7+'6. The summer'!$B$8)*(1+'3. Assumptions'!$B$35)^8-IF(MOD(9+'3. Assumptions'!$B$30,'3. Assumptions'!$B$29)=0,1,0)*'6. The summer'!$B$8*(1+'3. Assumptions'!$B$35)^8</f>
        <v>5241359.62728456</v>
      </c>
      <c r="C13" s="17" t="n">
        <f aca="false">('7. The cost base'!$C$13*(1+'3. Assumptions'!$B$36)^8-IF(MOD(9+'3. Assumptions'!$B$30,'3. Assumptions'!$B$29)=0,1,0)*'6. The summer'!$B$9*(1+'3. Assumptions'!$B$36)^8)+B13*'3. Assumptions'!$B$27</f>
        <v>1759025.68119053</v>
      </c>
      <c r="D13" s="17" t="n">
        <f aca="false">B13-C13</f>
        <v>3482333.94609403</v>
      </c>
      <c r="E13" s="17" t="n">
        <f aca="false">'3. Assumptions'!$B$31*'2. The tape'!B11*(1+'3. Assumptions'!$B$36)^8</f>
        <v>154356.605021758</v>
      </c>
      <c r="F13" s="17" t="n">
        <f aca="false">IF(MOD(9+'3. Assumptions'!$B$30,'3. Assumptions'!$B$29)=0,1,0)*'3. Assumptions'!$B$28*'2. The tape'!B11*(1+'3. Assumptions'!$B$36)^8</f>
        <v>0</v>
      </c>
      <c r="G13" s="17" t="n">
        <f aca="false">D13-E13-F13</f>
        <v>3327977.34107227</v>
      </c>
    </row>
    <row r="14" customFormat="false" ht="15" hidden="false" customHeight="false" outlineLevel="0" collapsed="false">
      <c r="A14" s="0" t="n">
        <v>10</v>
      </c>
      <c r="B14" s="17" t="n">
        <f aca="false">('5. RevPAB'!$D$7+'6. The summer'!$B$8)*(1+'3. Assumptions'!$B$35)^9-IF(MOD(10+'3. Assumptions'!$B$30,'3. Assumptions'!$B$29)=0,1,0)*'6. The summer'!$B$8*(1+'3. Assumptions'!$B$35)^9</f>
        <v>5403841.77573038</v>
      </c>
      <c r="C14" s="17" t="n">
        <f aca="false">('7. The cost base'!$C$13*(1+'3. Assumptions'!$B$36)^9-IF(MOD(10+'3. Assumptions'!$B$30,'3. Assumptions'!$B$29)=0,1,0)*'6. The summer'!$B$9*(1+'3. Assumptions'!$B$36)^9)+B14*'3. Assumptions'!$B$27</f>
        <v>1808828.74302473</v>
      </c>
      <c r="D14" s="17" t="n">
        <f aca="false">B14-C14</f>
        <v>3595013.03270565</v>
      </c>
      <c r="E14" s="17" t="n">
        <f aca="false">'3. Assumptions'!$B$31*'2. The tape'!B11*(1+'3. Assumptions'!$B$36)^9</f>
        <v>158678.589962367</v>
      </c>
      <c r="F14" s="17" t="n">
        <f aca="false">IF(MOD(10+'3. Assumptions'!$B$30,'3. Assumptions'!$B$29)=0,1,0)*'3. Assumptions'!$B$28*'2. The tape'!B11*(1+'3. Assumptions'!$B$36)^9</f>
        <v>0</v>
      </c>
      <c r="G14" s="17" t="n">
        <f aca="false">D14-E14-F14</f>
        <v>3436334.44274328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20"/>
    <col collapsed="false" customWidth="true" hidden="false" outlineLevel="0" max="3" min="3" style="0" width="52"/>
  </cols>
  <sheetData>
    <row r="1" customFormat="false" ht="16.15" hidden="false" customHeight="false" outlineLevel="0" collapsed="false">
      <c r="A1" s="6" t="s">
        <v>299</v>
      </c>
    </row>
    <row r="3" customFormat="false" ht="15" hidden="false" customHeight="false" outlineLevel="0" collapsed="false">
      <c r="A3" s="7" t="s">
        <v>300</v>
      </c>
      <c r="B3" s="7" t="s">
        <v>43</v>
      </c>
      <c r="C3" s="7" t="s">
        <v>44</v>
      </c>
    </row>
    <row r="4" customFormat="false" ht="15" hidden="false" customHeight="false" outlineLevel="0" collapsed="false">
      <c r="A4" s="0" t="s">
        <v>301</v>
      </c>
      <c r="B4" s="17" t="n">
        <f aca="false">(('5. RevPAB'!$D$7+'6. The summer'!$B$8)*(1+'3. Assumptions'!$B$35)^'3. Assumptions'!$B$39)-(('7. The cost base'!$C$13*(1+'3. Assumptions'!$B$36)^'3. Assumptions'!$B$39)+(('5. RevPAB'!$D$7+'6. The summer'!$B$8)*(1+'3. Assumptions'!$B$35)^'3. Assumptions'!$B$39)*'3. Assumptions'!$B$27)</f>
        <v>3711317.51956215</v>
      </c>
      <c r="C4" s="2" t="s">
        <v>302</v>
      </c>
    </row>
    <row r="5" customFormat="false" ht="15" hidden="false" customHeight="false" outlineLevel="0" collapsed="false">
      <c r="A5" s="0" t="s">
        <v>303</v>
      </c>
      <c r="B5" s="17" t="n">
        <f aca="false">B4/'3. Assumptions'!$B$33/(1+'3. Assumptions'!$B$37)</f>
        <v>58513212.3474569</v>
      </c>
      <c r="C5" s="2" t="s">
        <v>304</v>
      </c>
    </row>
    <row r="6" customFormat="false" ht="15" hidden="false" customHeight="false" outlineLevel="0" collapsed="false">
      <c r="A6" s="0" t="s">
        <v>305</v>
      </c>
      <c r="B6" s="17" t="n">
        <f aca="false">MOD('3. Assumptions'!$B$30+'3. Assumptions'!$B$39,'3. Assumptions'!$B$29)/'3. Assumptions'!$B$29*'3. Assumptions'!$B$28*'2. The tape'!B11*(1+'3. Assumptions'!$B$36)^'3. Assumptions'!$B$39</f>
        <v>1938659.95890156</v>
      </c>
      <c r="C6" s="2" t="s">
        <v>306</v>
      </c>
    </row>
    <row r="7" customFormat="false" ht="15" hidden="false" customHeight="false" outlineLevel="0" collapsed="false">
      <c r="A7" s="0" t="s">
        <v>307</v>
      </c>
      <c r="B7" s="17" t="n">
        <f aca="false">-B6/(1+'3. Assumptions'!$B$37)</f>
        <v>-1818630.35544237</v>
      </c>
      <c r="C7" s="2" t="s">
        <v>308</v>
      </c>
    </row>
    <row r="8" customFormat="false" ht="15" hidden="false" customHeight="false" outlineLevel="0" collapsed="false">
      <c r="A8" s="0" t="s">
        <v>309</v>
      </c>
      <c r="B8" s="17" t="n">
        <f aca="false">-B5*'3. Assumptions'!$B$38</f>
        <v>-702158.548169482</v>
      </c>
      <c r="C8" s="2"/>
    </row>
    <row r="9" customFormat="false" ht="15" hidden="false" customHeight="false" outlineLevel="0" collapsed="false">
      <c r="A9" s="0" t="s">
        <v>310</v>
      </c>
      <c r="B9" s="17" t="n">
        <f aca="false">B5+B7+B8</f>
        <v>55992423.443845</v>
      </c>
      <c r="C9" s="2"/>
    </row>
    <row r="11" customFormat="false" ht="15" hidden="false" customHeight="false" outlineLevel="0" collapsed="false">
      <c r="A11" s="13" t="s">
        <v>311</v>
      </c>
      <c r="B11" s="17" t="n">
        <f aca="false">NPV('3. Assumptions'!$B$34,'9. Ten-year cash flow'!G5:G14)</f>
        <v>18305755.9794187</v>
      </c>
    </row>
    <row r="12" customFormat="false" ht="15" hidden="false" customHeight="false" outlineLevel="0" collapsed="false">
      <c r="A12" s="13" t="s">
        <v>312</v>
      </c>
      <c r="B12" s="17" t="n">
        <f aca="false">'10. The exit and the value'!$B$9/(1+'3. Assumptions'!$B$34)^'3. Assumptions'!$B$39</f>
        <v>26176695.315934</v>
      </c>
    </row>
    <row r="13" customFormat="false" ht="15" hidden="false" customHeight="false" outlineLevel="0" collapsed="false">
      <c r="A13" s="13" t="s">
        <v>313</v>
      </c>
      <c r="B13" s="17" t="n">
        <f aca="false">'10. The exit and the value'!$B$11+'10. The exit and the value'!$B$12</f>
        <v>44482451.2953527</v>
      </c>
    </row>
    <row r="14" customFormat="false" ht="15" hidden="false" customHeight="false" outlineLevel="0" collapsed="false">
      <c r="A14" s="13" t="s">
        <v>314</v>
      </c>
      <c r="B14" s="33" t="n">
        <f aca="false">'10. The exit and the value'!$B$12/'10. The exit and the value'!$B$13</f>
        <v>0.588472409987639</v>
      </c>
    </row>
    <row r="15" customFormat="false" ht="15" hidden="false" customHeight="false" outlineLevel="0" collapsed="false">
      <c r="A15" s="13" t="s">
        <v>315</v>
      </c>
      <c r="B15" s="33" t="n">
        <f aca="false">'10. The exit and the value'!$B$11/'10. The exit and the value'!$B$13</f>
        <v>0.411527590012361</v>
      </c>
    </row>
    <row r="17" customFormat="false" ht="15" hidden="false" customHeight="false" outlineLevel="0" collapsed="false">
      <c r="A17" s="13" t="s">
        <v>316</v>
      </c>
      <c r="B17" s="17" t="n">
        <f aca="false">'10. The exit and the value'!$B$13/(1+'3. Assumptions'!$B$37)</f>
        <v>41728378.3258468</v>
      </c>
    </row>
    <row r="18" customFormat="false" ht="15" hidden="false" customHeight="false" outlineLevel="0" collapsed="false">
      <c r="A18" s="13" t="s">
        <v>317</v>
      </c>
      <c r="B18" s="33" t="n">
        <f aca="false">1-'10. The exit and the value'!$B$17/'3. Assumptions'!$B$40</f>
        <v>0.101654051005925</v>
      </c>
    </row>
    <row r="20" customFormat="false" ht="15" hidden="false" customHeight="false" outlineLevel="0" collapsed="false">
      <c r="A20" s="13" t="s">
        <v>318</v>
      </c>
    </row>
    <row r="21" customFormat="false" ht="15" hidden="false" customHeight="false" outlineLevel="0" collapsed="false">
      <c r="A21" s="0" t="s">
        <v>319</v>
      </c>
      <c r="B21" s="17" t="n">
        <f aca="false">-'3. Assumptions'!$B$40*(1+'3. Assumptions'!$B$37)</f>
        <v>-49515947.9988328</v>
      </c>
    </row>
    <row r="22" customFormat="false" ht="15" hidden="false" customHeight="false" outlineLevel="0" collapsed="false">
      <c r="A22" s="0" t="s">
        <v>320</v>
      </c>
      <c r="B22" s="17" t="n">
        <f aca="false">'9. Ten-year cash flow'!G5</f>
        <v>2574859.16593639</v>
      </c>
    </row>
    <row r="23" customFormat="false" ht="15" hidden="false" customHeight="false" outlineLevel="0" collapsed="false">
      <c r="A23" s="0" t="s">
        <v>321</v>
      </c>
      <c r="B23" s="17" t="n">
        <f aca="false">'9. Ten-year cash flow'!G6</f>
        <v>2658840.87990625</v>
      </c>
    </row>
    <row r="24" customFormat="false" ht="15" hidden="false" customHeight="false" outlineLevel="0" collapsed="false">
      <c r="A24" s="0" t="s">
        <v>322</v>
      </c>
      <c r="B24" s="17" t="n">
        <f aca="false">'9. Ten-year cash flow'!G7</f>
        <v>2745542.5372443</v>
      </c>
    </row>
    <row r="25" customFormat="false" ht="15" hidden="false" customHeight="false" outlineLevel="0" collapsed="false">
      <c r="A25" s="0" t="s">
        <v>323</v>
      </c>
      <c r="B25" s="17" t="n">
        <f aca="false">'9. Ten-year cash flow'!G8</f>
        <v>895025.931563567</v>
      </c>
    </row>
    <row r="26" customFormat="false" ht="15" hidden="false" customHeight="false" outlineLevel="0" collapsed="false">
      <c r="A26" s="0" t="s">
        <v>324</v>
      </c>
      <c r="B26" s="17" t="n">
        <f aca="false">'9. Ten-year cash flow'!G9</f>
        <v>2927458.81048944</v>
      </c>
    </row>
    <row r="27" customFormat="false" ht="15" hidden="false" customHeight="false" outlineLevel="0" collapsed="false">
      <c r="A27" s="0" t="s">
        <v>325</v>
      </c>
      <c r="B27" s="17" t="n">
        <f aca="false">'9. Ten-year cash flow'!G10</f>
        <v>3022857.09603417</v>
      </c>
    </row>
    <row r="28" customFormat="false" ht="15" hidden="false" customHeight="false" outlineLevel="0" collapsed="false">
      <c r="A28" s="0" t="s">
        <v>326</v>
      </c>
      <c r="B28" s="17" t="n">
        <f aca="false">'9. Ten-year cash flow'!G11</f>
        <v>3121342.84617854</v>
      </c>
    </row>
    <row r="29" customFormat="false" ht="15" hidden="false" customHeight="false" outlineLevel="0" collapsed="false">
      <c r="A29" s="0" t="s">
        <v>327</v>
      </c>
      <c r="B29" s="17" t="n">
        <f aca="false">'9. Ten-year cash flow'!G12</f>
        <v>3223015.41562206</v>
      </c>
    </row>
    <row r="30" customFormat="false" ht="15" hidden="false" customHeight="false" outlineLevel="0" collapsed="false">
      <c r="A30" s="0" t="s">
        <v>328</v>
      </c>
      <c r="B30" s="17" t="n">
        <f aca="false">'9. Ten-year cash flow'!G13</f>
        <v>3327977.34107227</v>
      </c>
    </row>
    <row r="31" customFormat="false" ht="15" hidden="false" customHeight="false" outlineLevel="0" collapsed="false">
      <c r="A31" s="0" t="s">
        <v>329</v>
      </c>
      <c r="B31" s="17" t="n">
        <f aca="false">'9. Ten-year cash flow'!G14+B9</f>
        <v>59428757.8865883</v>
      </c>
    </row>
    <row r="33" customFormat="false" ht="15" hidden="false" customHeight="false" outlineLevel="0" collapsed="false">
      <c r="A33" s="0" t="s">
        <v>330</v>
      </c>
      <c r="B33" s="43" t="n">
        <f aca="false">IRR(B21:B31)</f>
        <v>0.0648056220165264</v>
      </c>
    </row>
    <row r="34" customFormat="false" ht="15" hidden="false" customHeight="false" outlineLevel="0" collapsed="false">
      <c r="A34" s="0" t="s">
        <v>331</v>
      </c>
      <c r="B34" s="33" t="n">
        <f aca="false">B5/B9-1</f>
        <v>0.0450201785986268</v>
      </c>
    </row>
    <row r="35" customFormat="false" ht="15" hidden="false" customHeight="false" outlineLevel="0" collapsed="false">
      <c r="A35" s="0" t="s">
        <v>332</v>
      </c>
      <c r="B35" s="17" t="n">
        <f aca="false">'3. Assumptions'!$B$40-'8. Capital expenditure'!C24/(1+'3. Assumptions'!$B$37)</f>
        <v>45760337.1739251</v>
      </c>
    </row>
    <row r="36" customFormat="false" ht="15" hidden="false" customHeight="false" outlineLevel="0" collapsed="false">
      <c r="A36" s="0" t="s">
        <v>333</v>
      </c>
      <c r="B36" s="33" t="n">
        <f aca="false">1-B17/B35</f>
        <v>0.0881103395884899</v>
      </c>
    </row>
    <row r="37" customFormat="false" ht="15" hidden="false" customHeight="false" outlineLevel="0" collapsed="false">
      <c r="A37" s="0" t="s">
        <v>334</v>
      </c>
      <c r="B37" s="33" t="n">
        <f aca="false">B18-B36</f>
        <v>0.0135437114174352</v>
      </c>
    </row>
    <row r="38" customFormat="false" ht="15" hidden="false" customHeight="false" outlineLevel="0" collapsed="false">
      <c r="A38" s="0" t="s">
        <v>335</v>
      </c>
      <c r="B38" s="43" t="n">
        <f aca="false">'7. The cost base'!C18/(B17*(1+'3. Assumptions'!$B$37))</f>
        <v>0.0606670515529419</v>
      </c>
    </row>
    <row r="39" customFormat="false" ht="15" hidden="false" customHeight="false" outlineLevel="0" collapsed="false">
      <c r="A39" s="0" t="s">
        <v>336</v>
      </c>
      <c r="B39" s="43" t="n">
        <f aca="false">('7. The cost base'!C18-'8. Capital expenditure'!C8)/(B17*(1+'3. Assumptions'!$B$37))</f>
        <v>0.0521533527675024</v>
      </c>
    </row>
    <row r="40" customFormat="false" ht="15" hidden="false" customHeight="false" outlineLevel="0" collapsed="false">
      <c r="A40" s="0" t="s">
        <v>337</v>
      </c>
      <c r="B40" s="43" t="n">
        <f aca="false">'7. The cost base'!C18/B17</f>
        <v>0.064671076955436</v>
      </c>
    </row>
    <row r="41" customFormat="false" ht="15" hidden="false" customHeight="false" outlineLevel="0" collapsed="false">
      <c r="A41" s="0" t="s">
        <v>338</v>
      </c>
      <c r="B41" s="16" t="n">
        <f aca="false">(B38-'3. Assumptions'!$B$32)*10000</f>
        <v>61.6705155294185</v>
      </c>
    </row>
    <row r="42" customFormat="false" ht="15" hidden="false" customHeight="false" outlineLevel="0" collapsed="false">
      <c r="A42" s="0" t="s">
        <v>339</v>
      </c>
      <c r="B42" s="16" t="n">
        <f aca="false">(B40-'3. Assumptions'!$B$32)*10000</f>
        <v>101.71076955436</v>
      </c>
    </row>
    <row r="43" customFormat="false" ht="15" hidden="false" customHeight="false" outlineLevel="0" collapsed="false">
      <c r="A43" s="0" t="s">
        <v>340</v>
      </c>
      <c r="B43" s="17" t="n">
        <f aca="false">'3. Assumptions'!$B$40/'2. The tape'!$B$11</f>
        <v>89327.3704698239</v>
      </c>
    </row>
    <row r="44" customFormat="false" ht="15" hidden="false" customHeight="false" outlineLevel="0" collapsed="false">
      <c r="A44" s="0" t="s">
        <v>341</v>
      </c>
      <c r="B44" s="17" t="n">
        <f aca="false">B17/'2. The tape'!$B$11</f>
        <v>80246.8813958592</v>
      </c>
    </row>
    <row r="45" customFormat="false" ht="15" hidden="false" customHeight="false" outlineLevel="0" collapsed="false">
      <c r="A45" s="0" t="s">
        <v>342</v>
      </c>
      <c r="B45" s="16" t="n">
        <f aca="false">'3. Assumptions'!$B$40/'7. The cost base'!C18</f>
        <v>17.2125927328433</v>
      </c>
    </row>
    <row r="46" customFormat="false" ht="15" hidden="false" customHeight="false" outlineLevel="0" collapsed="false">
      <c r="A46" s="0" t="s">
        <v>343</v>
      </c>
      <c r="B46" s="16" t="n">
        <f aca="false">1/'3. Assumptions'!$B$32</f>
        <v>18.348623853211</v>
      </c>
    </row>
    <row r="47" customFormat="false" ht="15" hidden="false" customHeight="false" outlineLevel="0" collapsed="false">
      <c r="A47" s="0" t="s">
        <v>344</v>
      </c>
      <c r="B47" s="16" t="n">
        <f aca="false">1/0.0775</f>
        <v>12.9032258064516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6"/>
    <col collapsed="false" customWidth="true" hidden="false" outlineLevel="0" max="4" min="4" style="0" width="18"/>
    <col collapsed="false" customWidth="true" hidden="false" outlineLevel="0" max="7" min="5" style="0" width="16"/>
  </cols>
  <sheetData>
    <row r="1" customFormat="false" ht="16.15" hidden="false" customHeight="false" outlineLevel="0" collapsed="false">
      <c r="A1" s="6" t="s">
        <v>345</v>
      </c>
    </row>
    <row r="2" customFormat="false" ht="15" hidden="false" customHeight="false" outlineLevel="0" collapsed="false">
      <c r="A2" s="25" t="s">
        <v>346</v>
      </c>
    </row>
    <row r="4" customFormat="false" ht="15" hidden="false" customHeight="false" outlineLevel="0" collapsed="false">
      <c r="A4" s="5" t="s">
        <v>347</v>
      </c>
      <c r="B4" s="44" t="n">
        <f aca="false">-('3. Assumptions'!$B$5-'3. Assumptions'!$B$4)/'3. Assumptions'!$B$13</f>
        <v>-0.02</v>
      </c>
    </row>
    <row r="5" customFormat="false" ht="15" hidden="false" customHeight="false" outlineLevel="0" collapsed="false">
      <c r="A5" s="5" t="s">
        <v>348</v>
      </c>
      <c r="B5" s="44" t="n">
        <f aca="false">('3. Assumptions'!$B$4-'3. Assumptions'!$B$44)/'3. Assumptions'!$B$13</f>
        <v>0.0651851851851852</v>
      </c>
    </row>
    <row r="7" customFormat="false" ht="28.35" hidden="false" customHeight="false" outlineLevel="0" collapsed="false">
      <c r="A7" s="41" t="s">
        <v>349</v>
      </c>
      <c r="B7" s="41" t="s">
        <v>350</v>
      </c>
      <c r="C7" s="41" t="s">
        <v>185</v>
      </c>
      <c r="D7" s="41" t="s">
        <v>351</v>
      </c>
      <c r="E7" s="41" t="s">
        <v>352</v>
      </c>
      <c r="F7" s="41" t="s">
        <v>353</v>
      </c>
    </row>
    <row r="8" customFormat="false" ht="15" hidden="false" customHeight="false" outlineLevel="0" collapsed="false">
      <c r="A8" s="0" t="n">
        <v>1</v>
      </c>
      <c r="B8" s="44" t="n">
        <f aca="false">$B$4+($B$5-$B$4)*0/6</f>
        <v>-0.02</v>
      </c>
      <c r="C8" s="45" t="n">
        <f aca="false">'3. Assumptions'!$B$4-'3. Assumptions'!$B$13*B8</f>
        <v>0.995</v>
      </c>
      <c r="D8" s="46" t="n">
        <f aca="false">'4. The rate card'!$D$11*(1+B8)*C8*(1-'3. Assumptions'!$B$6)*'2. The tape'!$D$5*'2. The tape'!$B$11</f>
        <v>4001413.04557052</v>
      </c>
      <c r="E8" s="47" t="n">
        <f aca="false">'4. The rate card'!$D$11*(1+B8)*C8*(1-'3. Assumptions'!$B$6)</f>
        <v>174.8869338099</v>
      </c>
      <c r="F8" s="44" t="n">
        <f aca="false">E8/'5. RevPAB'!$B$7-1</f>
        <v>0.00733471074380176</v>
      </c>
    </row>
    <row r="9" customFormat="false" ht="15" hidden="false" customHeight="false" outlineLevel="0" collapsed="false">
      <c r="A9" s="0" t="n">
        <v>2</v>
      </c>
      <c r="B9" s="44" t="n">
        <f aca="false">$B$4+($B$5-$B$4)*1/6</f>
        <v>-0.00580246913580249</v>
      </c>
      <c r="C9" s="45" t="n">
        <f aca="false">'3. Assumptions'!$B$4-'3. Assumptions'!$B$13*B9</f>
        <v>0.975833333333333</v>
      </c>
      <c r="D9" s="46" t="n">
        <f aca="false">'4. The rate card'!$D$11*(1+B9)*C9*(1-'3. Assumptions'!$B$6)*'2. The tape'!$D$5*'2. The tape'!$B$11</f>
        <v>3981186.80966264</v>
      </c>
      <c r="E9" s="47" t="n">
        <f aca="false">'4. The rate card'!$D$11*(1+B9)*C9*(1-'3. Assumptions'!$B$6)</f>
        <v>174.002920002738</v>
      </c>
      <c r="F9" s="44" t="n">
        <f aca="false">E9/'5. RevPAB'!$B$7-1</f>
        <v>0.00224286212291247</v>
      </c>
    </row>
    <row r="10" customFormat="false" ht="15" hidden="false" customHeight="false" outlineLevel="0" collapsed="false">
      <c r="A10" s="0" t="n">
        <v>3</v>
      </c>
      <c r="B10" s="44" t="n">
        <f aca="false">$B$4+($B$5-$B$4)*2/6</f>
        <v>0.00839506172839504</v>
      </c>
      <c r="C10" s="45" t="n">
        <f aca="false">'3. Assumptions'!$B$4-'3. Assumptions'!$B$13*B10</f>
        <v>0.956666666666667</v>
      </c>
      <c r="D10" s="46" t="n">
        <f aca="false">'4. The rate card'!$D$11*(1+B10)*C10*(1-'3. Assumptions'!$B$6)*'2. The tape'!$D$5*'2. The tape'!$B$11</f>
        <v>3958727.23997713</v>
      </c>
      <c r="E10" s="47" t="n">
        <f aca="false">'4. The rate card'!$D$11*(1+B10)*C10*(1-'3. Assumptions'!$B$6)</f>
        <v>173.021295453546</v>
      </c>
      <c r="F10" s="44" t="n">
        <f aca="false">E10/'5. RevPAB'!$B$7-1</f>
        <v>-0.00341121654252963</v>
      </c>
    </row>
    <row r="11" customFormat="false" ht="15" hidden="false" customHeight="false" outlineLevel="0" collapsed="false">
      <c r="A11" s="0" t="n">
        <v>4</v>
      </c>
      <c r="B11" s="44" t="n">
        <f aca="false">$B$4+($B$5-$B$4)*3/6</f>
        <v>0.0225925925925926</v>
      </c>
      <c r="C11" s="45" t="n">
        <f aca="false">'3. Assumptions'!$B$4-'3. Assumptions'!$B$13*B11</f>
        <v>0.9375</v>
      </c>
      <c r="D11" s="46" t="n">
        <f aca="false">'4. The rate card'!$D$11*(1+B11)*C11*(1-'3. Assumptions'!$B$6)*'2. The tape'!$D$5*'2. The tape'!$B$11</f>
        <v>3934034.33651399</v>
      </c>
      <c r="E11" s="47" t="n">
        <f aca="false">'4. The rate card'!$D$11*(1+B11)*C11*(1-'3. Assumptions'!$B$6)</f>
        <v>171.942060162325</v>
      </c>
      <c r="F11" s="44" t="n">
        <f aca="false">E11/'5. RevPAB'!$B$7-1</f>
        <v>-0.00962752525252542</v>
      </c>
    </row>
    <row r="12" customFormat="false" ht="15" hidden="false" customHeight="false" outlineLevel="0" collapsed="false">
      <c r="A12" s="0" t="n">
        <v>5</v>
      </c>
      <c r="B12" s="44" t="n">
        <f aca="false">$B$4+($B$5-$B$4)*4/6</f>
        <v>0.0367901234567901</v>
      </c>
      <c r="C12" s="45" t="n">
        <f aca="false">'3. Assumptions'!$B$4-'3. Assumptions'!$B$13*B12</f>
        <v>0.918333333333333</v>
      </c>
      <c r="D12" s="46" t="n">
        <f aca="false">'4. The rate card'!$D$11*(1+B12)*C12*(1-'3. Assumptions'!$B$6)*'2. The tape'!$D$5*'2. The tape'!$B$11</f>
        <v>3907108.09927321</v>
      </c>
      <c r="E12" s="47" t="n">
        <f aca="false">'4. The rate card'!$D$11*(1+B12)*C12*(1-'3. Assumptions'!$B$6)</f>
        <v>170.765214129074</v>
      </c>
      <c r="F12" s="44" t="n">
        <f aca="false">E12/'5. RevPAB'!$B$7-1</f>
        <v>-0.0164060640070742</v>
      </c>
    </row>
    <row r="13" customFormat="false" ht="15" hidden="false" customHeight="false" outlineLevel="0" collapsed="false">
      <c r="A13" s="0" t="n">
        <v>6</v>
      </c>
      <c r="B13" s="44" t="n">
        <f aca="false">$B$4+($B$5-$B$4)*5/6</f>
        <v>0.0509876543209876</v>
      </c>
      <c r="C13" s="45" t="n">
        <f aca="false">'3. Assumptions'!$B$4-'3. Assumptions'!$B$13*B13</f>
        <v>0.899166666666667</v>
      </c>
      <c r="D13" s="46" t="n">
        <f aca="false">'4. The rate card'!$D$11*(1+B13)*C13*(1-'3. Assumptions'!$B$6)*'2. The tape'!$D$5*'2. The tape'!$B$11</f>
        <v>3877948.5282548</v>
      </c>
      <c r="E13" s="47" t="n">
        <f aca="false">'4. The rate card'!$D$11*(1+B13)*C13*(1-'3. Assumptions'!$B$6)</f>
        <v>169.490757353794</v>
      </c>
      <c r="F13" s="44" t="n">
        <f aca="false">E13/'5. RevPAB'!$B$7-1</f>
        <v>-0.0237468328061761</v>
      </c>
    </row>
    <row r="14" customFormat="false" ht="15" hidden="false" customHeight="false" outlineLevel="0" collapsed="false">
      <c r="A14" s="0" t="n">
        <v>7</v>
      </c>
      <c r="B14" s="44" t="n">
        <f aca="false">$B$4+($B$5-$B$4)*6/6</f>
        <v>0.0651851851851852</v>
      </c>
      <c r="C14" s="45" t="n">
        <f aca="false">'3. Assumptions'!$B$4-'3. Assumptions'!$B$13*B14</f>
        <v>0.88</v>
      </c>
      <c r="D14" s="46" t="n">
        <f aca="false">'4. The rate card'!$D$11*(1+B14)*C14*(1-'3. Assumptions'!$B$6)*'2. The tape'!$D$5*'2. The tape'!$B$11</f>
        <v>3846555.62345876</v>
      </c>
      <c r="E14" s="47" t="n">
        <f aca="false">'4. The rate card'!$D$11*(1+B14)*C14*(1-'3. Assumptions'!$B$6)</f>
        <v>168.118689836484</v>
      </c>
      <c r="F14" s="44" t="n">
        <f aca="false">E14/'5. RevPAB'!$B$7-1</f>
        <v>-0.0316498316498316</v>
      </c>
    </row>
    <row r="16" customFormat="false" ht="15" hidden="false" customHeight="false" outlineLevel="0" collapsed="false">
      <c r="A16" s="5" t="s">
        <v>354</v>
      </c>
      <c r="B16" s="48" t="n">
        <f aca="false">(C8-C14)*100</f>
        <v>11.5</v>
      </c>
    </row>
    <row r="17" customFormat="false" ht="15" hidden="false" customHeight="false" outlineLevel="0" collapsed="false">
      <c r="A17" s="5" t="s">
        <v>355</v>
      </c>
      <c r="B17" s="44" t="n">
        <f aca="false">1-MIN(D8,D14)/MAX(D8,D14)</f>
        <v>0.0387006840703896</v>
      </c>
    </row>
    <row r="18" customFormat="false" ht="15" hidden="false" customHeight="false" outlineLevel="0" collapsed="false">
      <c r="A18" s="5" t="s">
        <v>356</v>
      </c>
      <c r="B18" s="49" t="n">
        <f aca="false">'2. The tape'!$B$11*(1-'3. Assumptions'!$B$44)</f>
        <v>62.4</v>
      </c>
    </row>
    <row r="20" customFormat="false" ht="41.75" hidden="false" customHeight="false" outlineLevel="0" collapsed="false">
      <c r="A20" s="41" t="s">
        <v>357</v>
      </c>
      <c r="B20" s="41" t="s">
        <v>358</v>
      </c>
      <c r="C20" s="41" t="s">
        <v>359</v>
      </c>
      <c r="D20" s="41" t="s">
        <v>360</v>
      </c>
      <c r="E20" s="41" t="s">
        <v>361</v>
      </c>
      <c r="F20" s="41" t="s">
        <v>362</v>
      </c>
      <c r="G20" s="41" t="s">
        <v>363</v>
      </c>
    </row>
    <row r="21" customFormat="false" ht="15" hidden="false" customHeight="false" outlineLevel="0" collapsed="false">
      <c r="A21" s="50" t="n">
        <v>0.75</v>
      </c>
      <c r="B21" s="44" t="n">
        <f aca="false">-('3. Assumptions'!$B$5-'3. Assumptions'!$B$4)/A21</f>
        <v>-0.036</v>
      </c>
      <c r="C21" s="44" t="n">
        <f aca="false">('3. Assumptions'!$B$4-'3. Assumptions'!$B$44)/A21</f>
        <v>0.117333333333333</v>
      </c>
      <c r="D21" s="44" t="n">
        <f aca="false">C21-B21</f>
        <v>0.153333333333333</v>
      </c>
      <c r="E21" s="44" t="n">
        <f aca="false">IF((1+B21)*'3. Assumptions'!$B$5&gt;=(1+C21)*'3. Assumptions'!$B$44,1-(1+C21)*'3. Assumptions'!$B$44/((1+B21)*'3. Assumptions'!$B$5),(1+B21)*'3. Assumptions'!$B$5/((1+C21)*'3. Assumptions'!$B$44)-1)</f>
        <v>-0.024483347797787</v>
      </c>
      <c r="F21" s="44" t="n">
        <f aca="false">1-MIN((1+B21)*'3. Assumptions'!$B$5,(1+C21)*'3. Assumptions'!$B$44)/MAX((1+B21)*'3. Assumptions'!$B$5,(1+C21)*'3. Assumptions'!$B$44,IF(AND((('3. Assumptions'!$B$4-A21)/(2*A21))&gt;B21,(('3. Assumptions'!$B$4-A21)/(2*A21))&lt;C21),(1+(('3. Assumptions'!$B$4-A21)/(2*A21)))*('3. Assumptions'!$B$4-A21*(('3. Assumptions'!$B$4-A21)/(2*A21))),0))</f>
        <v>0.024483347797787</v>
      </c>
      <c r="G21" s="51" t="n">
        <f aca="false">F21/(('3. Assumptions'!$B$5-'3. Assumptions'!$B$44)*100)</f>
        <v>0.00212898676502496</v>
      </c>
    </row>
    <row r="22" customFormat="false" ht="15" hidden="false" customHeight="false" outlineLevel="0" collapsed="false">
      <c r="A22" s="50" t="n">
        <v>1</v>
      </c>
      <c r="B22" s="44" t="n">
        <f aca="false">-('3. Assumptions'!$B$5-'3. Assumptions'!$B$4)/A22</f>
        <v>-0.027</v>
      </c>
      <c r="C22" s="44" t="n">
        <f aca="false">('3. Assumptions'!$B$4-'3. Assumptions'!$B$44)/A22</f>
        <v>0.088</v>
      </c>
      <c r="D22" s="44" t="n">
        <f aca="false">C22-B22</f>
        <v>0.115</v>
      </c>
      <c r="E22" s="44" t="n">
        <f aca="false">IF((1+B22)*'3. Assumptions'!$B$5&gt;=(1+C22)*'3. Assumptions'!$B$44,1-(1+C22)*'3. Assumptions'!$B$44/((1+B22)*'3. Assumptions'!$B$5),(1+B22)*'3. Assumptions'!$B$5/((1+C22)*'3. Assumptions'!$B$44)-1)</f>
        <v>0.011047013071524</v>
      </c>
      <c r="F22" s="44" t="n">
        <f aca="false">1-MIN((1+B22)*'3. Assumptions'!$B$5,(1+C22)*'3. Assumptions'!$B$44)/MAX((1+B22)*'3. Assumptions'!$B$5,(1+C22)*'3. Assumptions'!$B$44,IF(AND((('3. Assumptions'!$B$4-A22)/(2*A22))&gt;B22,(('3. Assumptions'!$B$4-A22)/(2*A22))&lt;C22),(1+(('3. Assumptions'!$B$4-A22)/(2*A22)))*('3. Assumptions'!$B$4-A22*(('3. Assumptions'!$B$4-A22)/(2*A22))),0))</f>
        <v>0.0111705995108731</v>
      </c>
      <c r="G22" s="51" t="n">
        <f aca="false">F22/(('3. Assumptions'!$B$5-'3. Assumptions'!$B$44)*100)</f>
        <v>0.000971356479206354</v>
      </c>
    </row>
    <row r="23" customFormat="false" ht="15" hidden="false" customHeight="false" outlineLevel="0" collapsed="false">
      <c r="A23" s="50" t="n">
        <v>1.35</v>
      </c>
      <c r="B23" s="44" t="n">
        <f aca="false">-('3. Assumptions'!$B$5-'3. Assumptions'!$B$4)/A23</f>
        <v>-0.02</v>
      </c>
      <c r="C23" s="44" t="n">
        <f aca="false">('3. Assumptions'!$B$4-'3. Assumptions'!$B$44)/A23</f>
        <v>0.0651851851851852</v>
      </c>
      <c r="D23" s="44" t="n">
        <f aca="false">C23-B23</f>
        <v>0.0851851851851852</v>
      </c>
      <c r="E23" s="44" t="n">
        <f aca="false">IF((1+B23)*'3. Assumptions'!$B$5&gt;=(1+C23)*'3. Assumptions'!$B$44,1-(1+C23)*'3. Assumptions'!$B$44/((1+B23)*'3. Assumptions'!$B$5),(1+B23)*'3. Assumptions'!$B$5/((1+C23)*'3. Assumptions'!$B$44)-1)</f>
        <v>0.0387006840703896</v>
      </c>
      <c r="F23" s="44" t="n">
        <f aca="false">1-MIN((1+B23)*'3. Assumptions'!$B$5,(1+C23)*'3. Assumptions'!$B$44)/MAX((1+B23)*'3. Assumptions'!$B$5,(1+C23)*'3. Assumptions'!$B$44,IF(AND((('3. Assumptions'!$B$4-A23)/(2*A23))&gt;B23,(('3. Assumptions'!$B$4-A23)/(2*A23))&lt;C23),(1+(('3. Assumptions'!$B$4-A23)/(2*A23)))*('3. Assumptions'!$B$4-A23*(('3. Assumptions'!$B$4-A23)/(2*A23))),0))</f>
        <v>0.0387006840703896</v>
      </c>
      <c r="G23" s="51" t="n">
        <f aca="false">F23/(('3. Assumptions'!$B$5-'3. Assumptions'!$B$44)*100)</f>
        <v>0.00336527687568605</v>
      </c>
    </row>
    <row r="24" customFormat="false" ht="15" hidden="false" customHeight="false" outlineLevel="0" collapsed="false">
      <c r="A24" s="50" t="n">
        <v>2</v>
      </c>
      <c r="B24" s="44" t="n">
        <f aca="false">-('3. Assumptions'!$B$5-'3. Assumptions'!$B$4)/A24</f>
        <v>-0.0135</v>
      </c>
      <c r="C24" s="44" t="n">
        <f aca="false">('3. Assumptions'!$B$4-'3. Assumptions'!$B$44)/A24</f>
        <v>0.044</v>
      </c>
      <c r="D24" s="44" t="n">
        <f aca="false">C24-B24</f>
        <v>0.0575</v>
      </c>
      <c r="E24" s="44" t="n">
        <f aca="false">IF((1+B24)*'3. Assumptions'!$B$5&gt;=(1+C24)*'3. Assumptions'!$B$44,1-(1+C24)*'3. Assumptions'!$B$44/((1+B24)*'3. Assumptions'!$B$5),(1+B24)*'3. Assumptions'!$B$5/((1+C24)*'3. Assumptions'!$B$44)-1)</f>
        <v>0.0640276904033598</v>
      </c>
      <c r="F24" s="44" t="n">
        <f aca="false">1-MIN((1+B24)*'3. Assumptions'!$B$5,(1+C24)*'3. Assumptions'!$B$44)/MAX((1+B24)*'3. Assumptions'!$B$5,(1+C24)*'3. Assumptions'!$B$44,IF(AND((('3. Assumptions'!$B$4-A24)/(2*A24))&gt;B24,(('3. Assumptions'!$B$4-A24)/(2*A24))&lt;C24),(1+(('3. Assumptions'!$B$4-A24)/(2*A24)))*('3. Assumptions'!$B$4-A24*(('3. Assumptions'!$B$4-A24)/(2*A24))),0))</f>
        <v>0.0640276904033598</v>
      </c>
      <c r="G24" s="51" t="n">
        <f aca="false">F24/(('3. Assumptions'!$B$5-'3. Assumptions'!$B$44)*100)</f>
        <v>0.00556762525246607</v>
      </c>
    </row>
    <row r="25" customFormat="false" ht="15" hidden="false" customHeight="false" outlineLevel="0" collapsed="false">
      <c r="A25" s="50" t="n">
        <v>3</v>
      </c>
      <c r="B25" s="44" t="n">
        <f aca="false">-('3. Assumptions'!$B$5-'3. Assumptions'!$B$4)/A25</f>
        <v>-0.00900000000000001</v>
      </c>
      <c r="C25" s="44" t="n">
        <f aca="false">('3. Assumptions'!$B$4-'3. Assumptions'!$B$44)/A25</f>
        <v>0.0293333333333333</v>
      </c>
      <c r="D25" s="44" t="n">
        <f aca="false">C25-B25</f>
        <v>0.0383333333333333</v>
      </c>
      <c r="E25" s="44" t="n">
        <f aca="false">IF((1+B25)*'3. Assumptions'!$B$5&gt;=(1+C25)*'3. Assumptions'!$B$44,1-(1+C25)*'3. Assumptions'!$B$44/((1+B25)*'3. Assumptions'!$B$5),(1+B25)*'3. Assumptions'!$B$5/((1+C25)*'3. Assumptions'!$B$44)-1)</f>
        <v>0.0813671451776205</v>
      </c>
      <c r="F25" s="44" t="n">
        <f aca="false">1-MIN((1+B25)*'3. Assumptions'!$B$5,(1+C25)*'3. Assumptions'!$B$44)/MAX((1+B25)*'3. Assumptions'!$B$5,(1+C25)*'3. Assumptions'!$B$44,IF(AND((('3. Assumptions'!$B$4-A25)/(2*A25))&gt;B25,(('3. Assumptions'!$B$4-A25)/(2*A25))&lt;C25),(1+(('3. Assumptions'!$B$4-A25)/(2*A25)))*('3. Assumptions'!$B$4-A25*(('3. Assumptions'!$B$4-A25)/(2*A25))),0))</f>
        <v>0.0813671451776205</v>
      </c>
      <c r="G25" s="51" t="n">
        <f aca="false">F25/(('3. Assumptions'!$B$5-'3. Assumptions'!$B$44)*100)</f>
        <v>0.00707540392848874</v>
      </c>
    </row>
    <row r="27" customFormat="false" ht="15" hidden="false" customHeight="false" outlineLevel="0" collapsed="false">
      <c r="A27" s="5" t="s">
        <v>364</v>
      </c>
      <c r="B27" s="52" t="n">
        <f aca="false">(('3. Assumptions'!$B$5-'3. Assumptions'!$B$4)*'3. Assumptions'!$B$5+('3. Assumptions'!$B$4-'3. Assumptions'!$B$44)*'3. Assumptions'!$B$44)/('3. Assumptions'!$B$5-'3. Assumptions'!$B$44)</f>
        <v>0.907</v>
      </c>
    </row>
    <row r="28" customFormat="false" ht="28.35" hidden="false" customHeight="false" outlineLevel="0" collapsed="false">
      <c r="A28" s="5" t="s">
        <v>365</v>
      </c>
      <c r="B28" s="52" t="n">
        <f aca="false">'3. Assumptions'!$B$4</f>
        <v>0.968</v>
      </c>
      <c r="C28" s="25" t="s">
        <v>366</v>
      </c>
    </row>
    <row r="29" customFormat="false" ht="15" hidden="false" customHeight="false" outlineLevel="0" collapsed="false">
      <c r="A29" s="5" t="s">
        <v>367</v>
      </c>
      <c r="B29" s="50" t="n">
        <f aca="false">'3. Assumptions'!$B$13/'3. Assumptions'!$B$4</f>
        <v>1.39462809917355</v>
      </c>
      <c r="C29" s="25" t="s">
        <v>368</v>
      </c>
    </row>
    <row r="30" customFormat="false" ht="15" hidden="false" customHeight="false" outlineLevel="0" collapsed="false">
      <c r="A30" s="5" t="s">
        <v>369</v>
      </c>
      <c r="B30" s="44" t="n">
        <f aca="false">1/'3. Assumptions'!$B$4/100</f>
        <v>0.0103305785123967</v>
      </c>
    </row>
    <row r="31" customFormat="false" ht="15" hidden="false" customHeight="false" outlineLevel="0" collapsed="false">
      <c r="A31" s="5" t="s">
        <v>370</v>
      </c>
      <c r="B31" s="44" t="n">
        <f aca="false">1/'3. Assumptions'!$B$13/100</f>
        <v>0.00740740740740741</v>
      </c>
    </row>
    <row r="32" customFormat="false" ht="15" hidden="false" customHeight="false" outlineLevel="0" collapsed="false">
      <c r="A32" s="5" t="s">
        <v>371</v>
      </c>
      <c r="B32" s="45" t="n">
        <f aca="false">'3. Assumptions'!$B$13/'3. Assumptions'!$B$4-1</f>
        <v>0.394628099173554</v>
      </c>
    </row>
    <row r="33" customFormat="false" ht="28.35" hidden="false" customHeight="false" outlineLevel="0" collapsed="false">
      <c r="A33" s="5" t="s">
        <v>372</v>
      </c>
      <c r="B33" s="45" t="n">
        <f aca="false">1-'3. Assumptions'!$B$4/'3. Assumptions'!$B$13</f>
        <v>0.282962962962963</v>
      </c>
    </row>
    <row r="34" customFormat="false" ht="15" hidden="false" customHeight="false" outlineLevel="0" collapsed="false">
      <c r="A34" s="5" t="s">
        <v>373</v>
      </c>
      <c r="B34" s="53" t="n">
        <f aca="false">1/'3. Assumptions'!$B$4</f>
        <v>1.03305785123967</v>
      </c>
      <c r="C34" s="25" t="s">
        <v>374</v>
      </c>
    </row>
    <row r="36" customFormat="false" ht="15" hidden="false" customHeight="false" outlineLevel="0" collapsed="false">
      <c r="A36" s="13" t="s">
        <v>375</v>
      </c>
    </row>
    <row r="37" customFormat="false" ht="15" hidden="false" customHeight="false" outlineLevel="0" collapsed="false">
      <c r="A37" s="5" t="s">
        <v>376</v>
      </c>
      <c r="B37" s="48" t="n">
        <f aca="false">('3. Assumptions'!$B$78-'3. Assumptions'!$B$77)*100</f>
        <v>2.5</v>
      </c>
    </row>
    <row r="38" customFormat="false" ht="15" hidden="false" customHeight="false" outlineLevel="0" collapsed="false">
      <c r="A38" s="5" t="s">
        <v>377</v>
      </c>
      <c r="B38" s="44" t="n">
        <f aca="false">B37/'3. Assumptions'!$B$13/100</f>
        <v>0.0185185185185185</v>
      </c>
    </row>
    <row r="39" customFormat="false" ht="15" hidden="false" customHeight="false" outlineLevel="0" collapsed="false">
      <c r="A39" s="5" t="s">
        <v>378</v>
      </c>
      <c r="B39" s="46" t="n">
        <f aca="false">B37*'13. What a point is worth'!$B$6</f>
        <v>98999.1690333185</v>
      </c>
      <c r="C39" s="25" t="s">
        <v>379</v>
      </c>
    </row>
    <row r="40" customFormat="false" ht="15" hidden="false" customHeight="false" outlineLevel="0" collapsed="false">
      <c r="A40" s="5" t="s">
        <v>380</v>
      </c>
      <c r="B40" s="46" t="n">
        <f aca="false">-B38*100*'13. What a point is worth'!$B$8</f>
        <v>-70986.0708327795</v>
      </c>
    </row>
    <row r="41" customFormat="false" ht="15" hidden="false" customHeight="false" outlineLevel="0" collapsed="false">
      <c r="A41" s="5" t="s">
        <v>381</v>
      </c>
      <c r="B41" s="46" t="n">
        <f aca="false">B39+B40</f>
        <v>28013.098200539</v>
      </c>
    </row>
    <row r="42" customFormat="false" ht="15" hidden="false" customHeight="false" outlineLevel="0" collapsed="false">
      <c r="A42" s="5" t="s">
        <v>218</v>
      </c>
      <c r="B42" s="46" t="n">
        <f aca="false">B41/('3. Assumptions'!$B$32*(1+'3. Assumptions'!$B$37))</f>
        <v>482178.050511025</v>
      </c>
    </row>
    <row r="43" customFormat="false" ht="15" hidden="false" customHeight="false" outlineLevel="0" collapsed="false">
      <c r="A43" s="5" t="s">
        <v>382</v>
      </c>
      <c r="B43" s="44" t="n">
        <f aca="false">B37/'3. Assumptions'!$B$4/100</f>
        <v>0.0258264462809918</v>
      </c>
    </row>
    <row r="44" customFormat="false" ht="15" hidden="false" customHeight="false" outlineLevel="0" collapsed="false">
      <c r="A44" s="5" t="s">
        <v>383</v>
      </c>
      <c r="B44" s="46" t="n">
        <f aca="false">B39-B43*100*'13. What a point is worth'!$B$8</f>
        <v>0</v>
      </c>
      <c r="C44" s="25" t="s">
        <v>384</v>
      </c>
    </row>
    <row r="45" customFormat="false" ht="15" hidden="false" customHeight="false" outlineLevel="0" collapsed="false">
      <c r="A45" s="5" t="s">
        <v>385</v>
      </c>
      <c r="B45" s="48" t="n">
        <f aca="false">'7. The cost base'!$C$15/'13. What a point is worth'!$B$6</f>
        <v>3.62870063396371</v>
      </c>
    </row>
    <row r="46" customFormat="false" ht="28.35" hidden="false" customHeight="false" outlineLevel="0" collapsed="false">
      <c r="A46" s="5" t="s">
        <v>386</v>
      </c>
      <c r="B46" s="45" t="n">
        <f aca="false">-B40/'7. The cost base'!$C$15</f>
        <v>0.494003990247745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6"/>
    <col collapsed="false" customWidth="true" hidden="false" outlineLevel="0" max="4" min="4" style="0" width="18"/>
    <col collapsed="false" customWidth="true" hidden="false" outlineLevel="0" max="6" min="5" style="0" width="16"/>
  </cols>
  <sheetData>
    <row r="1" customFormat="false" ht="16.15" hidden="false" customHeight="false" outlineLevel="0" collapsed="false">
      <c r="A1" s="6" t="s">
        <v>387</v>
      </c>
    </row>
    <row r="2" customFormat="false" ht="15" hidden="false" customHeight="false" outlineLevel="0" collapsed="false">
      <c r="A2" s="25" t="s">
        <v>388</v>
      </c>
    </row>
    <row r="4" customFormat="false" ht="15" hidden="false" customHeight="false" outlineLevel="0" collapsed="false">
      <c r="A4" s="5" t="s">
        <v>389</v>
      </c>
      <c r="B4" s="48" t="n">
        <f aca="false">'2. The tape'!$B$11/100</f>
        <v>5.2</v>
      </c>
    </row>
    <row r="5" customFormat="false" ht="15" hidden="false" customHeight="false" outlineLevel="0" collapsed="false">
      <c r="A5" s="5" t="s">
        <v>390</v>
      </c>
      <c r="B5" s="46" t="n">
        <f aca="false">'5. RevPAB'!$D$7/'3. Assumptions'!$B$4*0.01</f>
        <v>41035.924987904</v>
      </c>
    </row>
    <row r="6" customFormat="false" ht="15" hidden="false" customHeight="false" outlineLevel="0" collapsed="false">
      <c r="A6" s="5" t="s">
        <v>391</v>
      </c>
      <c r="B6" s="46" t="n">
        <f aca="false">B5*(1-'3. Assumptions'!$B$27)</f>
        <v>39599.6676133274</v>
      </c>
    </row>
    <row r="7" customFormat="false" ht="15" hidden="false" customHeight="false" outlineLevel="0" collapsed="false">
      <c r="A7" s="5" t="s">
        <v>392</v>
      </c>
      <c r="B7" s="46" t="n">
        <f aca="false">B6/('3. Assumptions'!$B$32*(1+'3. Assumptions'!$B$37))</f>
        <v>681612.950984171</v>
      </c>
    </row>
    <row r="8" customFormat="false" ht="28.35" hidden="false" customHeight="false" outlineLevel="0" collapsed="false">
      <c r="A8" s="5" t="s">
        <v>393</v>
      </c>
      <c r="B8" s="46" t="n">
        <f aca="false">'5. RevPAB'!$D$7*0.01*(1-'3. Assumptions'!$B$27)</f>
        <v>38332.4782497009</v>
      </c>
    </row>
    <row r="9" customFormat="false" ht="15" hidden="false" customHeight="false" outlineLevel="0" collapsed="false">
      <c r="A9" s="5" t="s">
        <v>394</v>
      </c>
      <c r="B9" s="44" t="n">
        <f aca="false">B6/B8/100</f>
        <v>0.0103305785123967</v>
      </c>
    </row>
    <row r="10" customFormat="false" ht="15" hidden="false" customHeight="false" outlineLevel="0" collapsed="false">
      <c r="A10" s="5" t="s">
        <v>395</v>
      </c>
      <c r="B10" s="44" t="n">
        <f aca="false">B6/('5. RevPAB'!$D$7*0.01)/100</f>
        <v>0.00996900826446281</v>
      </c>
      <c r="C10" s="25" t="s">
        <v>396</v>
      </c>
    </row>
    <row r="11" customFormat="false" ht="15" hidden="false" customHeight="false" outlineLevel="0" collapsed="false">
      <c r="A11" s="5" t="s">
        <v>397</v>
      </c>
      <c r="B11" s="45" t="n">
        <f aca="false">B9/B10-1</f>
        <v>0.0362694300518134</v>
      </c>
    </row>
    <row r="13" customFormat="false" ht="15" hidden="false" customHeight="false" outlineLevel="0" collapsed="false">
      <c r="A13" s="13" t="s">
        <v>398</v>
      </c>
    </row>
    <row r="14" customFormat="false" ht="41.75" hidden="false" customHeight="false" outlineLevel="0" collapsed="false">
      <c r="A14" s="41" t="s">
        <v>399</v>
      </c>
      <c r="B14" s="41" t="s">
        <v>400</v>
      </c>
      <c r="C14" s="41" t="s">
        <v>401</v>
      </c>
      <c r="D14" s="41" t="s">
        <v>402</v>
      </c>
    </row>
    <row r="15" customFormat="false" ht="15" hidden="false" customHeight="false" outlineLevel="0" collapsed="false">
      <c r="A15" s="0" t="s">
        <v>403</v>
      </c>
      <c r="B15" s="46" t="n">
        <f aca="false">0.05*B6</f>
        <v>1979.98338066637</v>
      </c>
      <c r="C15" s="46" t="n">
        <f aca="false">B6</f>
        <v>39599.6676133274</v>
      </c>
      <c r="D15" s="46" t="n">
        <f aca="false">C15-B15</f>
        <v>37619.684232661</v>
      </c>
    </row>
    <row r="16" customFormat="false" ht="15" hidden="false" customHeight="false" outlineLevel="0" collapsed="false">
      <c r="A16" s="0" t="s">
        <v>404</v>
      </c>
      <c r="B16" s="46" t="n">
        <f aca="false">B8</f>
        <v>38332.4782497009</v>
      </c>
      <c r="C16" s="46" t="n">
        <f aca="false">B6</f>
        <v>39599.6676133274</v>
      </c>
      <c r="D16" s="46" t="n">
        <f aca="false">C16-B16</f>
        <v>1267.18936362647</v>
      </c>
    </row>
    <row r="17" customFormat="false" ht="15" hidden="false" customHeight="false" outlineLevel="0" collapsed="false">
      <c r="A17" s="0" t="s">
        <v>405</v>
      </c>
      <c r="B17" s="46" t="n">
        <f aca="false">B9*100*B8</f>
        <v>39599.6676133274</v>
      </c>
      <c r="C17" s="46" t="n">
        <f aca="false">B6</f>
        <v>39599.6676133274</v>
      </c>
      <c r="D17" s="46" t="n">
        <f aca="false">C17-B17</f>
        <v>0</v>
      </c>
    </row>
    <row r="18" customFormat="false" ht="15" hidden="false" customHeight="false" outlineLevel="0" collapsed="false">
      <c r="A18" s="0" t="s">
        <v>406</v>
      </c>
      <c r="B18" s="46" t="n">
        <f aca="false">3*B8</f>
        <v>114997.434749103</v>
      </c>
      <c r="C18" s="46" t="n">
        <f aca="false">2*B6</f>
        <v>79199.3352266547</v>
      </c>
      <c r="D18" s="46" t="n">
        <f aca="false">C18-B18</f>
        <v>-35798.0995224479</v>
      </c>
    </row>
    <row r="20" customFormat="false" ht="15" hidden="false" customHeight="false" outlineLevel="0" collapsed="false">
      <c r="A20" s="13" t="s">
        <v>407</v>
      </c>
    </row>
    <row r="21" customFormat="false" ht="15" hidden="false" customHeight="false" outlineLevel="0" collapsed="false">
      <c r="A21" s="5" t="s">
        <v>408</v>
      </c>
      <c r="B21" s="46" t="n">
        <f aca="false">'4. The rate card'!$D$11*'2. The tape'!$D$5</f>
        <v>7979.29629538462</v>
      </c>
    </row>
    <row r="22" customFormat="false" ht="15" hidden="false" customHeight="false" outlineLevel="0" collapsed="false">
      <c r="A22" s="5" t="s">
        <v>409</v>
      </c>
      <c r="B22" s="46" t="n">
        <f aca="false">B21*(1-'3. Assumptions'!$B$6)*(1-'3. Assumptions'!$B$27)</f>
        <v>7615.32069487065</v>
      </c>
    </row>
    <row r="23" customFormat="false" ht="15" hidden="false" customHeight="false" outlineLevel="0" collapsed="false">
      <c r="A23" s="5" t="s">
        <v>410</v>
      </c>
      <c r="B23" s="46" t="n">
        <f aca="false">B22*'3. Assumptions'!$B$7</f>
        <v>304.612827794826</v>
      </c>
    </row>
    <row r="24" customFormat="false" ht="15" hidden="false" customHeight="false" outlineLevel="0" collapsed="false">
      <c r="A24" s="5" t="s">
        <v>411</v>
      </c>
      <c r="B24" s="46" t="n">
        <f aca="false">B22*'3. Assumptions'!$B$9</f>
        <v>875.761879910124</v>
      </c>
    </row>
    <row r="25" customFormat="false" ht="15" hidden="false" customHeight="false" outlineLevel="0" collapsed="false">
      <c r="A25" s="5" t="s">
        <v>412</v>
      </c>
      <c r="B25" s="46" t="n">
        <f aca="false">B22</f>
        <v>7615.32069487065</v>
      </c>
    </row>
    <row r="26" customFormat="false" ht="15" hidden="false" customHeight="false" outlineLevel="0" collapsed="false">
      <c r="A26" s="5" t="s">
        <v>413</v>
      </c>
      <c r="B26" s="48" t="n">
        <f aca="false">B25/B23</f>
        <v>25</v>
      </c>
    </row>
    <row r="28" customFormat="false" ht="28.35" hidden="false" customHeight="false" outlineLevel="0" collapsed="false">
      <c r="A28" s="41" t="s">
        <v>414</v>
      </c>
      <c r="B28" s="41" t="s">
        <v>415</v>
      </c>
      <c r="C28" s="41" t="s">
        <v>416</v>
      </c>
      <c r="D28" s="41" t="s">
        <v>238</v>
      </c>
      <c r="E28" s="41" t="s">
        <v>43</v>
      </c>
      <c r="F28" s="41" t="s">
        <v>417</v>
      </c>
    </row>
    <row r="29" customFormat="false" ht="15" hidden="false" customHeight="false" outlineLevel="0" collapsed="false">
      <c r="A29" s="49" t="n">
        <v>0</v>
      </c>
      <c r="B29" s="45" t="n">
        <f aca="false">'3. Assumptions'!$B$4-A29/100</f>
        <v>0.968</v>
      </c>
      <c r="C29" s="49" t="n">
        <f aca="false">'2. The tape'!$B$11*(1-B29)</f>
        <v>16.64</v>
      </c>
      <c r="D29" s="46" t="n">
        <f aca="false">'7. The cost base'!$C$18-A29*$B$6</f>
        <v>2698619.16593639</v>
      </c>
      <c r="E29" s="46" t="n">
        <f aca="false">D29/('3. Assumptions'!$B$32*(1+'3. Assumptions'!$B$37))</f>
        <v>46450232.6443084</v>
      </c>
      <c r="F29" s="45" t="n">
        <f aca="false">E29/'3. Assumptions'!$B$40-1</f>
        <v>0</v>
      </c>
    </row>
    <row r="30" customFormat="false" ht="15" hidden="false" customHeight="false" outlineLevel="0" collapsed="false">
      <c r="A30" s="49" t="n">
        <v>1</v>
      </c>
      <c r="B30" s="45" t="n">
        <f aca="false">'3. Assumptions'!$B$4-A30/100</f>
        <v>0.958</v>
      </c>
      <c r="C30" s="49" t="n">
        <f aca="false">'2. The tape'!$B$11*(1-B30)</f>
        <v>21.84</v>
      </c>
      <c r="D30" s="46" t="n">
        <f aca="false">'7. The cost base'!$C$18-A30*$B$6</f>
        <v>2659019.49832306</v>
      </c>
      <c r="E30" s="46" t="n">
        <f aca="false">D30/('3. Assumptions'!$B$32*(1+'3. Assumptions'!$B$37))</f>
        <v>45768619.6933242</v>
      </c>
      <c r="F30" s="45" t="n">
        <f aca="false">E30/'3. Assumptions'!$B$40-1</f>
        <v>-0.0146740481625484</v>
      </c>
    </row>
    <row r="31" customFormat="false" ht="15" hidden="false" customHeight="false" outlineLevel="0" collapsed="false">
      <c r="A31" s="49" t="n">
        <v>2</v>
      </c>
      <c r="B31" s="45" t="n">
        <f aca="false">'3. Assumptions'!$B$4-A31/100</f>
        <v>0.948</v>
      </c>
      <c r="C31" s="49" t="n">
        <f aca="false">'2. The tape'!$B$11*(1-B31)</f>
        <v>27.04</v>
      </c>
      <c r="D31" s="46" t="n">
        <f aca="false">'7. The cost base'!$C$18-A31*$B$6</f>
        <v>2619419.83070973</v>
      </c>
      <c r="E31" s="46" t="n">
        <f aca="false">D31/('3. Assumptions'!$B$32*(1+'3. Assumptions'!$B$37))</f>
        <v>45087006.7423401</v>
      </c>
      <c r="F31" s="45" t="n">
        <f aca="false">E31/'3. Assumptions'!$B$40-1</f>
        <v>-0.0293480963250968</v>
      </c>
    </row>
    <row r="32" customFormat="false" ht="15" hidden="false" customHeight="false" outlineLevel="0" collapsed="false">
      <c r="A32" s="49" t="n">
        <v>5</v>
      </c>
      <c r="B32" s="45" t="n">
        <f aca="false">'3. Assumptions'!$B$4-A32/100</f>
        <v>0.918</v>
      </c>
      <c r="C32" s="49" t="n">
        <f aca="false">'2. The tape'!$B$11*(1-B32)</f>
        <v>42.64</v>
      </c>
      <c r="D32" s="46" t="n">
        <f aca="false">'7. The cost base'!$C$18-A32*$B$6</f>
        <v>2500620.82786975</v>
      </c>
      <c r="E32" s="46" t="n">
        <f aca="false">D32/('3. Assumptions'!$B$32*(1+'3. Assumptions'!$B$37))</f>
        <v>43042167.8893876</v>
      </c>
      <c r="F32" s="45" t="n">
        <f aca="false">E32/'3. Assumptions'!$B$40-1</f>
        <v>-0.0733702408127428</v>
      </c>
    </row>
    <row r="33" customFormat="false" ht="15" hidden="false" customHeight="false" outlineLevel="0" collapsed="false">
      <c r="A33" s="49" t="n">
        <v>8</v>
      </c>
      <c r="B33" s="45" t="n">
        <f aca="false">'3. Assumptions'!$B$4-A33/100</f>
        <v>0.888</v>
      </c>
      <c r="C33" s="49" t="n">
        <f aca="false">'2. The tape'!$B$11*(1-B33)</f>
        <v>58.24</v>
      </c>
      <c r="D33" s="46" t="n">
        <f aca="false">'7. The cost base'!$C$18-A33*$B$6</f>
        <v>2381821.82502977</v>
      </c>
      <c r="E33" s="46" t="n">
        <f aca="false">D33/('3. Assumptions'!$B$32*(1+'3. Assumptions'!$B$37))</f>
        <v>40997329.036435</v>
      </c>
      <c r="F33" s="45" t="n">
        <f aca="false">E33/'3. Assumptions'!$B$40-1</f>
        <v>-0.117392385300389</v>
      </c>
    </row>
    <row r="34" customFormat="false" ht="15" hidden="false" customHeight="false" outlineLevel="0" collapsed="false">
      <c r="A34" s="49" t="n">
        <v>12</v>
      </c>
      <c r="B34" s="45" t="n">
        <f aca="false">'3. Assumptions'!$B$4-A34/100</f>
        <v>0.848</v>
      </c>
      <c r="C34" s="49" t="n">
        <f aca="false">'2. The tape'!$B$11*(1-B34)</f>
        <v>79.04</v>
      </c>
      <c r="D34" s="46" t="n">
        <f aca="false">'7. The cost base'!$C$18-A34*$B$6</f>
        <v>2223423.15457646</v>
      </c>
      <c r="E34" s="46" t="n">
        <f aca="false">D34/('3. Assumptions'!$B$32*(1+'3. Assumptions'!$B$37))</f>
        <v>38270877.2324984</v>
      </c>
      <c r="F34" s="45" t="n">
        <f aca="false">E34/'3. Assumptions'!$B$40-1</f>
        <v>-0.176088577950583</v>
      </c>
    </row>
    <row r="36" customFormat="false" ht="15" hidden="false" customHeight="false" outlineLevel="0" collapsed="false">
      <c r="A36" s="13" t="s">
        <v>418</v>
      </c>
    </row>
    <row r="37" customFormat="false" ht="15" hidden="false" customHeight="false" outlineLevel="0" collapsed="false">
      <c r="A37" s="5" t="s">
        <v>419</v>
      </c>
      <c r="B37" s="48" t="n">
        <f aca="false">'2. The tape'!$B$11*'3. Assumptions'!$B$45</f>
        <v>166.4</v>
      </c>
    </row>
    <row r="38" customFormat="false" ht="15" hidden="false" customHeight="false" outlineLevel="0" collapsed="false">
      <c r="A38" s="5" t="s">
        <v>420</v>
      </c>
      <c r="B38" s="47" t="n">
        <f aca="false">('4. The rate card'!$D$8-'3. Assumptions'!$B$7)*'4. The rate card'!$D$10*'2. The tape'!$D$5*'3. Assumptions'!$B$4*(1-'3. Assumptions'!$B$6)</f>
        <v>165.022458145871</v>
      </c>
    </row>
    <row r="39" customFormat="false" ht="15" hidden="false" customHeight="false" outlineLevel="0" collapsed="false">
      <c r="A39" s="5" t="s">
        <v>421</v>
      </c>
      <c r="B39" s="46" t="n">
        <f aca="false">B37*B38</f>
        <v>27459.7370354729</v>
      </c>
    </row>
    <row r="40" customFormat="false" ht="15" hidden="false" customHeight="false" outlineLevel="0" collapsed="false">
      <c r="A40" s="5" t="s">
        <v>422</v>
      </c>
      <c r="B40" s="46" t="n">
        <f aca="false">B39*(1-'3. Assumptions'!$B$27)</f>
        <v>26498.6462392313</v>
      </c>
    </row>
    <row r="41" customFormat="false" ht="15" hidden="false" customHeight="false" outlineLevel="0" collapsed="false">
      <c r="A41" s="5" t="s">
        <v>423</v>
      </c>
      <c r="B41" s="46" t="n">
        <f aca="false">B40/('3. Assumptions'!$B$32*(1+'3. Assumptions'!$B$37))</f>
        <v>456110.40568758</v>
      </c>
    </row>
    <row r="43" customFormat="false" ht="15" hidden="false" customHeight="false" outlineLevel="0" collapsed="false">
      <c r="A43" s="13" t="s">
        <v>424</v>
      </c>
    </row>
    <row r="44" customFormat="false" ht="28.35" hidden="false" customHeight="false" outlineLevel="0" collapsed="false">
      <c r="A44" s="5" t="s">
        <v>425</v>
      </c>
      <c r="B44" s="46" t="n">
        <f aca="false">'3. Assumptions'!$B$79*'4. The rate card'!$D$10*'2. The tape'!$D$5*'2. The tape'!$B$11*('3. Assumptions'!$B$9-'3. Assumptions'!$B$7)*'3. Assumptions'!$B$4*(1-'3. Assumptions'!$B$6)*(1-'3. Assumptions'!$B$27)</f>
        <v>30594.1882380288</v>
      </c>
    </row>
    <row r="45" customFormat="false" ht="15" hidden="false" customHeight="false" outlineLevel="0" collapsed="false">
      <c r="A45" s="5" t="s">
        <v>423</v>
      </c>
      <c r="B45" s="46" t="n">
        <f aca="false">B44/('3. Assumptions'!$B$32*(1+'3. Assumptions'!$B$37))</f>
        <v>526605.302133136</v>
      </c>
    </row>
    <row r="47" customFormat="false" ht="15" hidden="false" customHeight="false" outlineLevel="0" collapsed="false">
      <c r="A47" s="13" t="s">
        <v>426</v>
      </c>
    </row>
    <row r="48" customFormat="false" ht="28.35" hidden="false" customHeight="false" outlineLevel="0" collapsed="false">
      <c r="A48" s="41" t="s">
        <v>27</v>
      </c>
      <c r="B48" s="41" t="s">
        <v>28</v>
      </c>
      <c r="C48" s="41" t="s">
        <v>427</v>
      </c>
      <c r="D48" s="41" t="s">
        <v>428</v>
      </c>
      <c r="E48" s="41" t="s">
        <v>429</v>
      </c>
    </row>
    <row r="49" customFormat="false" ht="15" hidden="false" customHeight="false" outlineLevel="0" collapsed="false">
      <c r="A49" s="36" t="str">
        <f aca="false">'2. The tape'!A5</f>
        <v>Cluster ensuite, 5-bed</v>
      </c>
      <c r="B49" s="49" t="n">
        <f aca="false">'2. The tape'!B5</f>
        <v>184</v>
      </c>
      <c r="C49" s="46" t="n">
        <f aca="false">'2. The tape'!C5*(1-'4. The rate card'!$D$8)*'2. The tape'!$D$5*(1-'3. Assumptions'!$B$6)</f>
        <v>7033.4214544</v>
      </c>
      <c r="D49" s="46" t="n">
        <f aca="false">C49*(1-'3. Assumptions'!$B$27)</f>
        <v>6787.251703496</v>
      </c>
      <c r="E49" s="46" t="n">
        <f aca="false">D49/('3. Assumptions'!$B$32*(1+'3. Assumptions'!$B$37))</f>
        <v>116826.199347574</v>
      </c>
    </row>
    <row r="50" customFormat="false" ht="15" hidden="false" customHeight="false" outlineLevel="0" collapsed="false">
      <c r="A50" s="36" t="str">
        <f aca="false">'2. The tape'!A6</f>
        <v>Cluster ensuite, 7-bed</v>
      </c>
      <c r="B50" s="49" t="n">
        <f aca="false">'2. The tape'!B6</f>
        <v>126</v>
      </c>
      <c r="C50" s="46" t="n">
        <f aca="false">'2. The tape'!C6*(1-'4. The rate card'!$D$8)*'2. The tape'!$D$5*(1-'3. Assumptions'!$B$6)</f>
        <v>6665.3935876</v>
      </c>
      <c r="D50" s="46" t="n">
        <f aca="false">C50*(1-'3. Assumptions'!$B$27)</f>
        <v>6432.104812034</v>
      </c>
      <c r="E50" s="46" t="n">
        <f aca="false">D50/('3. Assumptions'!$B$32*(1+'3. Assumptions'!$B$37))</f>
        <v>110713.200544503</v>
      </c>
    </row>
    <row r="51" customFormat="false" ht="15" hidden="false" customHeight="false" outlineLevel="0" collapsed="false">
      <c r="A51" s="36" t="str">
        <f aca="false">'2. The tape'!A7</f>
        <v>Premium ensuite</v>
      </c>
      <c r="B51" s="49" t="n">
        <f aca="false">'2. The tape'!B7</f>
        <v>92</v>
      </c>
      <c r="C51" s="46" t="n">
        <f aca="false">'2. The tape'!C7*(1-'4. The rate card'!$D$8)*'2. The tape'!$D$5*(1-'3. Assumptions'!$B$6)</f>
        <v>8014.8290992</v>
      </c>
      <c r="D51" s="46" t="n">
        <f aca="false">C51*(1-'3. Assumptions'!$B$27)</f>
        <v>7734.310080728</v>
      </c>
      <c r="E51" s="46" t="n">
        <f aca="false">D51/('3. Assumptions'!$B$32*(1+'3. Assumptions'!$B$37))</f>
        <v>133127.529489096</v>
      </c>
    </row>
    <row r="52" customFormat="false" ht="15" hidden="false" customHeight="false" outlineLevel="0" collapsed="false">
      <c r="A52" s="36" t="str">
        <f aca="false">'2. The tape'!A8</f>
        <v>Studio, standard</v>
      </c>
      <c r="B52" s="49" t="n">
        <f aca="false">'2. The tape'!B8</f>
        <v>78</v>
      </c>
      <c r="C52" s="46" t="n">
        <f aca="false">'2. The tape'!C8*(1-'4. The rate card'!$D$8)*'2. The tape'!$D$5*(1-'3. Assumptions'!$B$6)</f>
        <v>10018.536374</v>
      </c>
      <c r="D52" s="46" t="n">
        <f aca="false">C52*(1-'3. Assumptions'!$B$27)</f>
        <v>9667.88760091</v>
      </c>
      <c r="E52" s="46" t="n">
        <f aca="false">D52/('3. Assumptions'!$B$32*(1+'3. Assumptions'!$B$37))</f>
        <v>166409.41186137</v>
      </c>
    </row>
    <row r="53" customFormat="false" ht="15" hidden="false" customHeight="false" outlineLevel="0" collapsed="false">
      <c r="A53" s="36" t="str">
        <f aca="false">'2. The tape'!A9</f>
        <v>Studio, large</v>
      </c>
      <c r="B53" s="49" t="n">
        <f aca="false">'2. The tape'!B9</f>
        <v>34</v>
      </c>
      <c r="C53" s="46" t="n">
        <f aca="false">'2. The tape'!C9*(1-'4. The rate card'!$D$8)*'2. The tape'!$D$5*(1-'3. Assumptions'!$B$6)</f>
        <v>11490.6478412</v>
      </c>
      <c r="D53" s="46" t="n">
        <f aca="false">C53*(1-'3. Assumptions'!$B$27)</f>
        <v>11088.475166758</v>
      </c>
      <c r="E53" s="46" t="n">
        <f aca="false">D53/('3. Assumptions'!$B$32*(1+'3. Assumptions'!$B$37))</f>
        <v>190861.407073653</v>
      </c>
    </row>
    <row r="54" customFormat="false" ht="15" hidden="false" customHeight="false" outlineLevel="0" collapsed="false">
      <c r="A54" s="36" t="str">
        <f aca="false">'2. The tape'!A10</f>
        <v>Accessible studio</v>
      </c>
      <c r="B54" s="49" t="n">
        <f aca="false">'2. The tape'!B10</f>
        <v>6</v>
      </c>
      <c r="C54" s="46" t="n">
        <f aca="false">'2. The tape'!C10*(1-'4. The rate card'!$D$8)*'2. The tape'!$D$5*(1-'3. Assumptions'!$B$6)</f>
        <v>10018.536374</v>
      </c>
      <c r="D54" s="46" t="n">
        <f aca="false">C54*(1-'3. Assumptions'!$B$27)</f>
        <v>9667.88760091</v>
      </c>
      <c r="E54" s="46" t="n">
        <f aca="false">D54/('3. Assumptions'!$B$32*(1+'3. Assumptions'!$B$37))</f>
        <v>166409.41186137</v>
      </c>
    </row>
    <row r="55" customFormat="false" ht="15" hidden="false" customHeight="false" outlineLevel="0" collapsed="false">
      <c r="A55" s="5" t="s">
        <v>430</v>
      </c>
      <c r="B55" s="46" t="n">
        <f aca="false">SUMPRODUCT(B49:B54,E49:E54)/SUM(B49:B54)</f>
        <v>131079.413650802</v>
      </c>
      <c r="C55" s="25" t="s">
        <v>431</v>
      </c>
    </row>
    <row r="56" customFormat="false" ht="15" hidden="false" customHeight="false" outlineLevel="0" collapsed="false">
      <c r="A56" s="5" t="s">
        <v>432</v>
      </c>
      <c r="B56" s="46" t="n">
        <f aca="false">B7/B4</f>
        <v>131079.413650802</v>
      </c>
    </row>
    <row r="57" customFormat="false" ht="15" hidden="false" customHeight="false" outlineLevel="0" collapsed="false">
      <c r="A57" s="5" t="s">
        <v>433</v>
      </c>
      <c r="B57" s="50" t="n">
        <f aca="false">(SUMPRODUCT(ISNUMBER(SEARCH("studio",'2. The tape'!$A$5:$A$10))*'2. The tape'!$B$5:$B$10*'2. The tape'!$C$5:$C$10)/SUMPRODUCT(ISNUMBER(SEARCH("studio",'2. The tape'!$A$5:$A$10))*'2. The tape'!$B$5:$B$10))/(SUMPRODUCT((1-ISNUMBER(SEARCH("studio",'2. The tape'!$A$5:$A$10)))*'2. The tape'!$B$5:$B$10*'2. The tape'!$C$5:$C$10)/SUMPRODUCT((1-ISNUMBER(SEARCH("studio",'2. The tape'!$A$5:$A$10)))*'2. The tape'!$B$5:$B$10))</f>
        <v>1.46201683763543</v>
      </c>
    </row>
    <row r="58" customFormat="false" ht="15" hidden="false" customHeight="false" outlineLevel="0" collapsed="false">
      <c r="A58" s="5" t="s">
        <v>434</v>
      </c>
      <c r="B58" s="50" t="n">
        <f aca="false">MAX('2. The tape'!$C$5:$C$10)/MIN('2. The tape'!$C$5:$C$10)</f>
        <v>1.7239263803681</v>
      </c>
    </row>
    <row r="60" customFormat="false" ht="15" hidden="false" customHeight="false" outlineLevel="0" collapsed="false">
      <c r="A60" s="13" t="s">
        <v>435</v>
      </c>
    </row>
    <row r="61" customFormat="false" ht="15" hidden="false" customHeight="false" outlineLevel="0" collapsed="false">
      <c r="A61" s="5" t="s">
        <v>436</v>
      </c>
      <c r="B61" s="49" t="n">
        <f aca="false">SUMPRODUCT(ISNUMBER(SEARCH("studio",'2. The tape'!$A$5:$A$10))*'2. The tape'!$B$5:$B$10)</f>
        <v>118</v>
      </c>
    </row>
    <row r="62" customFormat="false" ht="15" hidden="false" customHeight="false" outlineLevel="0" collapsed="false">
      <c r="A62" s="5" t="s">
        <v>437</v>
      </c>
      <c r="B62" s="47" t="n">
        <f aca="false">SUMPRODUCT(ISNUMBER(SEARCH("studio",'2. The tape'!$A$5:$A$10))*'2. The tape'!$B$5:$B$10*'2. The tape'!$C$5:$C$10)/SUMPRODUCT(ISNUMBER(SEARCH("studio",'2. The tape'!$A$5:$A$10))*'2. The tape'!$B$5:$B$10)</f>
        <v>255.372881355932</v>
      </c>
    </row>
    <row r="63" customFormat="false" ht="15" hidden="false" customHeight="false" outlineLevel="0" collapsed="false">
      <c r="A63" s="5" t="s">
        <v>438</v>
      </c>
      <c r="B63" s="46" t="n">
        <f aca="false">B62*52*'3. Assumptions'!$B$43*B61</f>
        <v>1519958.96</v>
      </c>
    </row>
    <row r="64" customFormat="false" ht="15" hidden="false" customHeight="false" outlineLevel="0" collapsed="false">
      <c r="A64" s="5" t="s">
        <v>439</v>
      </c>
      <c r="B64" s="46" t="n">
        <f aca="false">B62*'2. The tape'!$D$5*(1-'4. The rate card'!$D$8)*'3. Assumptions'!$B$4*(1-'3. Assumptions'!$B$6)*B61</f>
        <v>1192807.43139226</v>
      </c>
    </row>
    <row r="65" customFormat="false" ht="15" hidden="false" customHeight="false" outlineLevel="0" collapsed="false">
      <c r="A65" s="5" t="s">
        <v>440</v>
      </c>
      <c r="B65" s="46" t="n">
        <f aca="false">B63-B64</f>
        <v>327151.528607738</v>
      </c>
    </row>
    <row r="66" customFormat="false" ht="15" hidden="false" customHeight="false" outlineLevel="0" collapsed="false">
      <c r="A66" s="5" t="s">
        <v>441</v>
      </c>
      <c r="B66" s="46" t="n">
        <f aca="false">B62*(52-'2. The tape'!$D$5)*'3. Assumptions'!$B$43*B61</f>
        <v>233839.84</v>
      </c>
    </row>
    <row r="67" customFormat="false" ht="15" hidden="false" customHeight="false" outlineLevel="0" collapsed="false">
      <c r="A67" s="5" t="s">
        <v>442</v>
      </c>
      <c r="B67" s="46" t="n">
        <f aca="false">B62*'2. The tape'!$D$5*'4. The rate card'!$D$8*'3. Assumptions'!$B$43*B61</f>
        <v>77552.982936</v>
      </c>
    </row>
    <row r="68" customFormat="false" ht="15" hidden="false" customHeight="false" outlineLevel="0" collapsed="false">
      <c r="A68" s="5" t="s">
        <v>443</v>
      </c>
      <c r="B68" s="46" t="n">
        <f aca="false">B62*'2. The tape'!$D$5*(1-'4. The rate card'!$D$8)*('3. Assumptions'!$B$43-'3. Assumptions'!$B$4)*B61</f>
        <v>2491.8889424</v>
      </c>
    </row>
    <row r="69" customFormat="false" ht="15" hidden="false" customHeight="false" outlineLevel="0" collapsed="false">
      <c r="A69" s="5" t="s">
        <v>444</v>
      </c>
      <c r="B69" s="46" t="n">
        <f aca="false">B62*'2. The tape'!$D$5*(1-'4. The rate card'!$D$8)*'3. Assumptions'!$B$4*'3. Assumptions'!$B$6*B61</f>
        <v>13266.8167293376</v>
      </c>
    </row>
    <row r="70" customFormat="false" ht="15" hidden="false" customHeight="false" outlineLevel="0" collapsed="false">
      <c r="A70" s="5" t="s">
        <v>445</v>
      </c>
      <c r="B70" s="46" t="n">
        <f aca="false">'4. The rate card'!$D$11*(52-'2. The tape'!$D$5)*'2. The tape'!$B$11</f>
        <v>754406.1952</v>
      </c>
    </row>
    <row r="72" customFormat="false" ht="15" hidden="false" customHeight="false" outlineLevel="0" collapsed="false">
      <c r="A72" s="13" t="s">
        <v>446</v>
      </c>
    </row>
    <row r="73" customFormat="false" ht="15" hidden="false" customHeight="false" outlineLevel="0" collapsed="false">
      <c r="A73" s="5" t="s">
        <v>447</v>
      </c>
      <c r="B73" s="46" t="n">
        <f aca="false">('4. The rate card'!$D$10-'4. The rate card'!$D$11)*'2. The tape'!$D$5*'2. The tape'!$B$11</f>
        <v>266253.9264</v>
      </c>
    </row>
    <row r="74" customFormat="false" ht="15" hidden="false" customHeight="false" outlineLevel="0" collapsed="false">
      <c r="A74" s="5" t="s">
        <v>448</v>
      </c>
      <c r="B74" s="46" t="n">
        <f aca="false">'3. Assumptions'!$B$11*'3. Assumptions'!$B$12*'4. The rate card'!$D$10*'2. The tape'!$D$5*'2. The tape'!$B$11</f>
        <v>75284.0704</v>
      </c>
    </row>
    <row r="75" customFormat="false" ht="15" hidden="false" customHeight="false" outlineLevel="0" collapsed="false">
      <c r="A75" s="5" t="s">
        <v>449</v>
      </c>
      <c r="B75" s="46" t="n">
        <f aca="false">'4. The rate card'!$D$11*'2. The tape'!$D$5*'2. The tape'!$B$11*'3. Assumptions'!$B$4*'3. Assumptions'!$B$6</f>
        <v>44181.0444156928</v>
      </c>
    </row>
    <row r="76" customFormat="false" ht="15" hidden="false" customHeight="false" outlineLevel="0" collapsed="false">
      <c r="A76" s="5" t="s">
        <v>450</v>
      </c>
      <c r="B76" s="45" t="n">
        <f aca="false">1-'3. Assumptions'!$B$4*(1-'3. Assumptions'!$B$6)</f>
        <v>0.042648</v>
      </c>
    </row>
    <row r="77" customFormat="false" ht="15" hidden="false" customHeight="false" outlineLevel="0" collapsed="false">
      <c r="A77" s="5" t="s">
        <v>451</v>
      </c>
      <c r="B77" s="47" t="n">
        <f aca="false">'7. The cost base'!$C$14/('2. The tape'!$B$11*52)</f>
        <v>151.833621062165</v>
      </c>
    </row>
    <row r="79" customFormat="false" ht="15" hidden="false" customHeight="false" outlineLevel="0" collapsed="false">
      <c r="A79" s="13" t="s">
        <v>452</v>
      </c>
    </row>
    <row r="80" customFormat="false" ht="15" hidden="false" customHeight="false" outlineLevel="0" collapsed="false">
      <c r="A80" s="41"/>
      <c r="B80" s="41" t="s">
        <v>453</v>
      </c>
      <c r="C80" s="41" t="s">
        <v>454</v>
      </c>
    </row>
    <row r="81" customFormat="false" ht="15" hidden="false" customHeight="false" outlineLevel="0" collapsed="false">
      <c r="A81" s="0" t="s">
        <v>177</v>
      </c>
      <c r="B81" s="28" t="n">
        <v>210</v>
      </c>
      <c r="C81" s="28" t="n">
        <v>195</v>
      </c>
    </row>
    <row r="82" customFormat="false" ht="15" hidden="false" customHeight="false" outlineLevel="0" collapsed="false">
      <c r="A82" s="0" t="s">
        <v>455</v>
      </c>
      <c r="B82" s="24" t="n">
        <v>0.92</v>
      </c>
      <c r="C82" s="24" t="n">
        <v>0.99</v>
      </c>
    </row>
    <row r="83" customFormat="false" ht="15" hidden="false" customHeight="false" outlineLevel="0" collapsed="false">
      <c r="A83" s="0" t="s">
        <v>456</v>
      </c>
      <c r="B83" s="24" t="n">
        <v>0.62</v>
      </c>
      <c r="C83" s="24" t="n">
        <v>0.22</v>
      </c>
    </row>
    <row r="84" customFormat="false" ht="15" hidden="false" customHeight="false" outlineLevel="0" collapsed="false">
      <c r="A84" s="0" t="s">
        <v>457</v>
      </c>
      <c r="B84" s="24" t="n">
        <v>0.08</v>
      </c>
      <c r="C84" s="24" t="n">
        <v>0.38</v>
      </c>
    </row>
    <row r="85" customFormat="false" ht="15" hidden="false" customHeight="false" outlineLevel="0" collapsed="false">
      <c r="A85" s="0" t="s">
        <v>458</v>
      </c>
      <c r="B85" s="45" t="n">
        <f aca="false">'3. Assumptions'!$B$7*B83+'3. Assumptions'!$B$9*B84+'3. Assumptions'!$B$11*'3. Assumptions'!$B$12</f>
        <v>0.05105</v>
      </c>
      <c r="C85" s="45" t="n">
        <f aca="false">'3. Assumptions'!$B$7*C83+'3. Assumptions'!$B$9*C84+'3. Assumptions'!$B$11*'3. Assumptions'!$B$12</f>
        <v>0.06955</v>
      </c>
    </row>
    <row r="86" customFormat="false" ht="15" hidden="false" customHeight="false" outlineLevel="0" collapsed="false">
      <c r="A86" s="0" t="s">
        <v>178</v>
      </c>
      <c r="B86" s="47" t="n">
        <f aca="false">B81*(1-B85)</f>
        <v>199.2795</v>
      </c>
      <c r="C86" s="47" t="n">
        <f aca="false">C81*(1-C85)</f>
        <v>181.43775</v>
      </c>
    </row>
    <row r="87" customFormat="false" ht="15" hidden="false" customHeight="false" outlineLevel="0" collapsed="false">
      <c r="A87" s="0" t="s">
        <v>459</v>
      </c>
      <c r="B87" s="47" t="n">
        <f aca="false">B86*B82*(1-'3. Assumptions'!$B$6)</f>
        <v>181.32043146</v>
      </c>
      <c r="C87" s="47" t="n">
        <f aca="false">C86*C82*(1-'3. Assumptions'!$B$6)</f>
        <v>177.6475154025</v>
      </c>
    </row>
    <row r="88" customFormat="false" ht="15" hidden="false" customHeight="false" outlineLevel="0" collapsed="false">
      <c r="A88" s="5" t="s">
        <v>460</v>
      </c>
      <c r="B88" s="47" t="n">
        <f aca="false">B87-C87</f>
        <v>3.67291605750003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2" min="2" style="0" width="18"/>
    <col collapsed="false" customWidth="true" hidden="false" outlineLevel="0" max="3" min="3" style="0" width="16"/>
  </cols>
  <sheetData>
    <row r="1" customFormat="false" ht="16.15" hidden="false" customHeight="false" outlineLevel="0" collapsed="false">
      <c r="A1" s="6" t="s">
        <v>461</v>
      </c>
    </row>
    <row r="2" customFormat="false" ht="15" hidden="false" customHeight="false" outlineLevel="0" collapsed="false">
      <c r="A2" s="25" t="s">
        <v>462</v>
      </c>
    </row>
    <row r="4" customFormat="false" ht="15" hidden="false" customHeight="false" outlineLevel="0" collapsed="false">
      <c r="A4" s="5" t="s">
        <v>463</v>
      </c>
      <c r="B4" s="49" t="n">
        <f aca="false">SUMPRODUCT(ISNUMBER(SEARCH("Cluster",'2. The tape'!$A$5:$A$10))*'2. The tape'!$B$5:$B$10)</f>
        <v>310</v>
      </c>
    </row>
    <row r="5" customFormat="false" ht="15" hidden="false" customHeight="false" outlineLevel="0" collapsed="false">
      <c r="A5" s="5" t="s">
        <v>464</v>
      </c>
      <c r="B5" s="47" t="n">
        <f aca="false">SUMPRODUCT(ISNUMBER(SEARCH("Cluster",'2. The tape'!$A$5:$A$10))*'2. The tape'!$B$5:$B$10*'2. The tape'!$C$5:$C$10)/B4</f>
        <v>168.341935483871</v>
      </c>
    </row>
    <row r="6" customFormat="false" ht="15" hidden="false" customHeight="false" outlineLevel="0" collapsed="false">
      <c r="A6" s="5" t="s">
        <v>465</v>
      </c>
      <c r="B6" s="47" t="n">
        <f aca="false">B5*(1-'4. The rate card'!$D$8)</f>
        <v>158.190916774194</v>
      </c>
    </row>
    <row r="7" customFormat="false" ht="15" hidden="false" customHeight="false" outlineLevel="0" collapsed="false">
      <c r="A7" s="5" t="s">
        <v>466</v>
      </c>
      <c r="B7" s="47" t="n">
        <f aca="false">B6*(1-'3. Assumptions'!$B$47)</f>
        <v>144.270116098065</v>
      </c>
    </row>
    <row r="8" customFormat="false" ht="15" hidden="false" customHeight="false" outlineLevel="0" collapsed="false">
      <c r="A8" s="5" t="s">
        <v>467</v>
      </c>
      <c r="B8" s="46" t="n">
        <f aca="false">B6*'2. The tape'!$D$5</f>
        <v>6960.40033806452</v>
      </c>
    </row>
    <row r="9" customFormat="false" ht="15" hidden="false" customHeight="false" outlineLevel="0" collapsed="false">
      <c r="A9" s="5" t="s">
        <v>468</v>
      </c>
      <c r="B9" s="46" t="n">
        <f aca="false">B7*'3. Assumptions'!$B$48</f>
        <v>5482.26441172645</v>
      </c>
    </row>
    <row r="10" customFormat="false" ht="15" hidden="false" customHeight="false" outlineLevel="0" collapsed="false">
      <c r="A10" s="5" t="s">
        <v>469</v>
      </c>
      <c r="B10" s="46" t="n">
        <f aca="false">B8*'3. Assumptions'!$B$4*(1-'3. Assumptions'!$B$6)</f>
        <v>6663.55318444674</v>
      </c>
    </row>
    <row r="11" customFormat="false" ht="15" hidden="false" customHeight="false" outlineLevel="0" collapsed="false">
      <c r="A11" s="5" t="s">
        <v>470</v>
      </c>
      <c r="B11" s="45" t="n">
        <f aca="false">1-B9/B8</f>
        <v>0.212363636363636</v>
      </c>
    </row>
    <row r="12" customFormat="false" ht="15" hidden="false" customHeight="false" outlineLevel="0" collapsed="false">
      <c r="A12" s="5" t="s">
        <v>471</v>
      </c>
      <c r="B12" s="45" t="n">
        <f aca="false">1-B9/B10</f>
        <v>0.177276107809496</v>
      </c>
    </row>
    <row r="13" customFormat="false" ht="15" hidden="false" customHeight="false" outlineLevel="0" collapsed="false">
      <c r="A13" s="5" t="s">
        <v>472</v>
      </c>
      <c r="B13" s="48" t="n">
        <f aca="false">(B11-B12)*100</f>
        <v>3.50875285541407</v>
      </c>
    </row>
    <row r="14" customFormat="false" ht="15" hidden="false" customHeight="false" outlineLevel="0" collapsed="false">
      <c r="A14" s="5" t="s">
        <v>473</v>
      </c>
      <c r="B14" s="46" t="n">
        <f aca="false">B10-B9</f>
        <v>1181.28877272029</v>
      </c>
    </row>
    <row r="15" customFormat="false" ht="15" hidden="false" customHeight="false" outlineLevel="0" collapsed="false">
      <c r="A15" s="5" t="s">
        <v>474</v>
      </c>
      <c r="B15" s="46" t="n">
        <f aca="false">B14*'3. Assumptions'!$B$46</f>
        <v>153567.540453638</v>
      </c>
    </row>
    <row r="16" customFormat="false" ht="15" hidden="false" customHeight="false" outlineLevel="0" collapsed="false">
      <c r="A16" s="5" t="s">
        <v>475</v>
      </c>
      <c r="B16" s="46" t="n">
        <f aca="false">B7*('2. The tape'!$D$5-'3. Assumptions'!$B$48)*'3. Assumptions'!$B$46</f>
        <v>112530.69055649</v>
      </c>
    </row>
    <row r="17" customFormat="false" ht="15" hidden="false" customHeight="false" outlineLevel="0" collapsed="false">
      <c r="A17" s="5" t="s">
        <v>476</v>
      </c>
      <c r="B17" s="45" t="n">
        <f aca="false">B9/(B8*(1-'3. Assumptions'!$B$6))</f>
        <v>0.796396727640408</v>
      </c>
    </row>
    <row r="18" customFormat="false" ht="15" hidden="false" customHeight="false" outlineLevel="0" collapsed="false">
      <c r="A18" s="5" t="s">
        <v>477</v>
      </c>
      <c r="B18" s="45" t="n">
        <f aca="false">'3. Assumptions'!$B$46/'2. The tape'!$B$11</f>
        <v>0.25</v>
      </c>
    </row>
    <row r="19" customFormat="false" ht="15" hidden="false" customHeight="false" outlineLevel="0" collapsed="false">
      <c r="A19" s="5" t="s">
        <v>478</v>
      </c>
      <c r="B19" s="46" t="n">
        <f aca="false">('4. The rate card'!$D$11*'2. The tape'!$D$5*'3. Assumptions'!$B$4*(1-'3. Assumptions'!$B$6)-B9)*'3. Assumptions'!$B$46</f>
        <v>280375.011182838</v>
      </c>
    </row>
    <row r="20" customFormat="false" ht="15" hidden="false" customHeight="false" outlineLevel="0" collapsed="false">
      <c r="A20" s="5" t="s">
        <v>479</v>
      </c>
      <c r="B20" s="45" t="n">
        <f aca="false">B19/B15-1</f>
        <v>0.825743971379708</v>
      </c>
    </row>
    <row r="21" customFormat="false" ht="15" hidden="false" customHeight="false" outlineLevel="0" collapsed="false">
      <c r="A21" s="5" t="s">
        <v>480</v>
      </c>
      <c r="B21" s="45" t="n">
        <f aca="false">'4. The rate card'!$D$11/B6-1</f>
        <v>0.14638467729335</v>
      </c>
    </row>
    <row r="23" customFormat="false" ht="15" hidden="false" customHeight="false" outlineLevel="0" collapsed="false">
      <c r="A23" s="13" t="s">
        <v>481</v>
      </c>
    </row>
    <row r="24" customFormat="false" ht="15" hidden="false" customHeight="false" outlineLevel="0" collapsed="false">
      <c r="A24" s="5" t="s">
        <v>482</v>
      </c>
      <c r="B24" s="46" t="n">
        <f aca="false">'7. The cost base'!$C$14-B15</f>
        <v>3952013.57306731</v>
      </c>
    </row>
    <row r="25" customFormat="false" ht="15" hidden="false" customHeight="false" outlineLevel="0" collapsed="false">
      <c r="A25" s="5" t="s">
        <v>483</v>
      </c>
      <c r="B25" s="46" t="n">
        <f aca="false">'7. The cost base'!$C$18-B15*(1-'3. Assumptions'!$B$27)</f>
        <v>2550426.48939863</v>
      </c>
    </row>
    <row r="26" customFormat="false" ht="15" hidden="false" customHeight="false" outlineLevel="0" collapsed="false">
      <c r="A26" s="5" t="s">
        <v>484</v>
      </c>
      <c r="B26" s="46" t="n">
        <f aca="false">B25/('3. Assumptions'!$B$32*(1+'3. Assumptions'!$B$37))</f>
        <v>43899452.457074</v>
      </c>
    </row>
    <row r="27" customFormat="false" ht="15" hidden="false" customHeight="false" outlineLevel="0" collapsed="false">
      <c r="A27" s="5" t="s">
        <v>485</v>
      </c>
      <c r="B27" s="46" t="n">
        <f aca="false">B26-'7. The cost base'!$C$18/('3. Assumptions'!$B$32*(1+'3. Assumptions'!$B$37))</f>
        <v>-2550780.18723445</v>
      </c>
    </row>
    <row r="28" customFormat="false" ht="15" hidden="false" customHeight="false" outlineLevel="0" collapsed="false">
      <c r="A28" s="5" t="s">
        <v>486</v>
      </c>
      <c r="B28" s="45" t="n">
        <f aca="false">B9*'3. Assumptions'!$B$46/B24</f>
        <v>0.180337025758565</v>
      </c>
    </row>
    <row r="29" customFormat="false" ht="15" hidden="false" customHeight="false" outlineLevel="0" collapsed="false">
      <c r="A29" s="5" t="s">
        <v>487</v>
      </c>
      <c r="B29" s="44" t="n">
        <f aca="false">B25/('3. Assumptions'!$B$40*(1+'3. Assumptions'!$B$37))</f>
        <v>0.0515071727892344</v>
      </c>
    </row>
    <row r="30" customFormat="false" ht="15" hidden="false" customHeight="false" outlineLevel="0" collapsed="false">
      <c r="A30" s="5" t="s">
        <v>488</v>
      </c>
      <c r="B30" s="49" t="n">
        <f aca="false">('3. Assumptions'!$B$32-B29)*10000</f>
        <v>29.9282721076556</v>
      </c>
    </row>
    <row r="32" customFormat="false" ht="15" hidden="false" customHeight="false" outlineLevel="0" collapsed="false">
      <c r="A32" s="13" t="s">
        <v>489</v>
      </c>
    </row>
    <row r="33" customFormat="false" ht="15" hidden="false" customHeight="false" outlineLevel="0" collapsed="false">
      <c r="A33" s="5" t="s">
        <v>490</v>
      </c>
      <c r="B33" s="46" t="n">
        <f aca="false">B8*'3. Assumptions'!$B$4*'3. Assumptions'!$B$6*'3. Assumptions'!$B$46</f>
        <v>9634.86456396243</v>
      </c>
    </row>
    <row r="34" customFormat="false" ht="15" hidden="false" customHeight="false" outlineLevel="0" collapsed="false">
      <c r="A34" s="5" t="s">
        <v>491</v>
      </c>
      <c r="B34" s="45" t="n">
        <f aca="false">B33/B15</f>
        <v>0.0627402414305855</v>
      </c>
    </row>
    <row r="36" customFormat="false" ht="15" hidden="false" customHeight="false" outlineLevel="0" collapsed="false">
      <c r="A36" s="13" t="s">
        <v>492</v>
      </c>
    </row>
    <row r="37" customFormat="false" ht="15" hidden="false" customHeight="false" outlineLevel="0" collapsed="false">
      <c r="A37" s="5" t="s">
        <v>493</v>
      </c>
      <c r="B37" s="46" t="n">
        <f aca="false">'5. RevPAB'!$D$7-'3. Assumptions'!$B$46*B10+'3. Assumptions'!$B$46*B9</f>
        <v>3818709.99837547</v>
      </c>
    </row>
    <row r="38" customFormat="false" ht="15" hidden="false" customHeight="false" outlineLevel="0" collapsed="false">
      <c r="A38" s="5" t="s">
        <v>494</v>
      </c>
      <c r="B38" s="45" t="n">
        <f aca="false">'3. Assumptions'!$B$46*B9/B37</f>
        <v>0.186632232829314</v>
      </c>
    </row>
    <row r="39" customFormat="false" ht="15" hidden="false" customHeight="false" outlineLevel="0" collapsed="false">
      <c r="A39" s="5" t="s">
        <v>495</v>
      </c>
      <c r="B39" s="45" t="n">
        <f aca="false">1-B38+B38/'3. Assumptions'!$B$49</f>
        <v>0.850694213736549</v>
      </c>
    </row>
    <row r="40" customFormat="false" ht="15" hidden="false" customHeight="false" outlineLevel="0" collapsed="false">
      <c r="A40" s="5" t="s">
        <v>496</v>
      </c>
      <c r="B40" s="45" t="n">
        <f aca="false">('2. The tape'!$D$5*'3. Assumptions'!$B$4+'3. Assumptions'!$B$14*'3. Assumptions'!$B$16)/52</f>
        <v>0.862923076923077</v>
      </c>
    </row>
    <row r="41" customFormat="false" ht="15" hidden="false" customHeight="false" outlineLevel="0" collapsed="false">
      <c r="A41" s="5" t="s">
        <v>497</v>
      </c>
      <c r="B41" s="45" t="n">
        <f aca="false">(('2. The tape'!$B$11-'3. Assumptions'!$B$46)*'2. The tape'!$D$5*'3. Assumptions'!$B$4+'3. Assumptions'!$B$46*'3. Assumptions'!$B$48+'2. The tape'!$B$11*'3. Assumptions'!$B$14*'3. Assumptions'!$B$16)/('2. The tape'!$B$11*52)</f>
        <v>0.840846153846154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4" min="2" style="0" width="16"/>
    <col collapsed="false" customWidth="true" hidden="false" outlineLevel="0" max="5" min="5" style="0" width="18"/>
  </cols>
  <sheetData>
    <row r="1" customFormat="false" ht="16.15" hidden="false" customHeight="false" outlineLevel="0" collapsed="false">
      <c r="A1" s="6" t="s">
        <v>498</v>
      </c>
    </row>
    <row r="2" customFormat="false" ht="15" hidden="false" customHeight="false" outlineLevel="0" collapsed="false">
      <c r="A2" s="25" t="s">
        <v>499</v>
      </c>
    </row>
    <row r="4" customFormat="false" ht="15" hidden="false" customHeight="false" outlineLevel="0" collapsed="false">
      <c r="A4" s="5" t="s">
        <v>500</v>
      </c>
      <c r="B4" s="54" t="n">
        <f aca="false">'3. Assumptions'!$B$63*'3. Assumptions'!$B$64</f>
        <v>50616</v>
      </c>
    </row>
    <row r="5" customFormat="false" ht="15" hidden="false" customHeight="false" outlineLevel="0" collapsed="false">
      <c r="A5" s="5" t="s">
        <v>501</v>
      </c>
      <c r="B5" s="48" t="n">
        <f aca="false">'3. Assumptions'!$B$65/B4*100</f>
        <v>66.9748696064486</v>
      </c>
    </row>
    <row r="6" customFormat="false" ht="15" hidden="false" customHeight="false" outlineLevel="0" collapsed="false">
      <c r="A6" s="5" t="s">
        <v>502</v>
      </c>
      <c r="B6" s="48" t="n">
        <f aca="false">('3. Assumptions'!$B$65+'3. Assumptions'!$B$66)/B4*100</f>
        <v>71.8152362889205</v>
      </c>
    </row>
    <row r="7" customFormat="false" ht="15" hidden="false" customHeight="false" outlineLevel="0" collapsed="false">
      <c r="A7" s="5" t="s">
        <v>503</v>
      </c>
      <c r="B7" s="45" t="n">
        <f aca="false">'3. Assumptions'!$B$66/'3. Assumptions'!$B$65</f>
        <v>0.0722713864306785</v>
      </c>
    </row>
    <row r="8" customFormat="false" ht="15" hidden="false" customHeight="false" outlineLevel="0" collapsed="false">
      <c r="A8" s="5" t="s">
        <v>504</v>
      </c>
      <c r="B8" s="45" t="n">
        <f aca="false">'2. The tape'!$B$11/'3. Assumptions'!$B$65</f>
        <v>0.0153392330383481</v>
      </c>
    </row>
    <row r="9" customFormat="false" ht="15" hidden="false" customHeight="false" outlineLevel="0" collapsed="false">
      <c r="A9" s="5" t="s">
        <v>505</v>
      </c>
      <c r="B9" s="48" t="n">
        <f aca="false">'3. Assumptions'!$B$65/'3. Assumptions'!$B$63*100</f>
        <v>49.5614035087719</v>
      </c>
    </row>
    <row r="10" customFormat="false" ht="15" hidden="false" customHeight="false" outlineLevel="0" collapsed="false">
      <c r="A10" s="5" t="s">
        <v>506</v>
      </c>
      <c r="B10" s="54" t="n">
        <f aca="false">'3. Assumptions'!$B$65*'3. Assumptions'!$B$68</f>
        <v>4237.5</v>
      </c>
    </row>
    <row r="11" customFormat="false" ht="15" hidden="false" customHeight="false" outlineLevel="0" collapsed="false">
      <c r="A11" s="5" t="s">
        <v>507</v>
      </c>
      <c r="B11" s="48" t="n">
        <f aca="false">B10/'2. The tape'!$B$11</f>
        <v>8.14903846153846</v>
      </c>
    </row>
    <row r="12" customFormat="false" ht="28.35" hidden="false" customHeight="false" outlineLevel="0" collapsed="false">
      <c r="A12" s="5" t="s">
        <v>508</v>
      </c>
      <c r="B12" s="46" t="n">
        <f aca="false">'5. RevPAB'!$D$7*(1-'3. Assumptions'!$B$27)+'6. The summer'!$B$8*(1-'3. Assumptions'!$B$18-'3. Assumptions'!$B$27)</f>
        <v>3901899.16593639</v>
      </c>
    </row>
    <row r="14" customFormat="false" ht="28.35" hidden="false" customHeight="false" outlineLevel="0" collapsed="false">
      <c r="A14" s="41" t="s">
        <v>509</v>
      </c>
      <c r="B14" s="41" t="s">
        <v>510</v>
      </c>
      <c r="C14" s="41" t="s">
        <v>511</v>
      </c>
      <c r="D14" s="41" t="s">
        <v>295</v>
      </c>
      <c r="E14" s="41" t="s">
        <v>485</v>
      </c>
    </row>
    <row r="15" customFormat="false" ht="15" hidden="false" customHeight="false" outlineLevel="0" collapsed="false">
      <c r="A15" s="54" t="n">
        <v>200</v>
      </c>
      <c r="B15" s="45" t="n">
        <f aca="false">A15/'3. Assumptions'!$B$65</f>
        <v>0.00589970501474926</v>
      </c>
      <c r="C15" s="44" t="n">
        <f aca="false">-'3. Assumptions'!$B$67*B15</f>
        <v>-0.0032448377581121</v>
      </c>
      <c r="D15" s="46" t="n">
        <f aca="false">'7. The cost base'!$C$18+C15*$B$12</f>
        <v>2685958.13619441</v>
      </c>
      <c r="E15" s="46" t="n">
        <f aca="false">C15*$B$12/('3. Assumptions'!$B$32*(1+'3. Assumptions'!$B$37))</f>
        <v>-217929.148527058</v>
      </c>
    </row>
    <row r="16" customFormat="false" ht="15" hidden="false" customHeight="false" outlineLevel="0" collapsed="false">
      <c r="A16" s="54" t="n">
        <v>400</v>
      </c>
      <c r="B16" s="45" t="n">
        <f aca="false">A16/'3. Assumptions'!$B$65</f>
        <v>0.0117994100294985</v>
      </c>
      <c r="C16" s="44" t="n">
        <f aca="false">-'3. Assumptions'!$B$67*B16</f>
        <v>-0.00648967551622419</v>
      </c>
      <c r="D16" s="46" t="n">
        <f aca="false">'7. The cost base'!$C$18+C16*$B$12</f>
        <v>2673297.10645243</v>
      </c>
      <c r="E16" s="46" t="n">
        <f aca="false">C16*$B$12/('3. Assumptions'!$B$32*(1+'3. Assumptions'!$B$37))</f>
        <v>-435858.297054116</v>
      </c>
    </row>
    <row r="17" customFormat="false" ht="15" hidden="false" customHeight="false" outlineLevel="0" collapsed="false">
      <c r="A17" s="54" t="n">
        <v>800</v>
      </c>
      <c r="B17" s="45" t="n">
        <f aca="false">A17/'3. Assumptions'!$B$65</f>
        <v>0.0235988200589971</v>
      </c>
      <c r="C17" s="44" t="n">
        <f aca="false">-'3. Assumptions'!$B$67*B17</f>
        <v>-0.0129793510324484</v>
      </c>
      <c r="D17" s="46" t="n">
        <f aca="false">'7. The cost base'!$C$18+C17*$B$12</f>
        <v>2647975.04696848</v>
      </c>
      <c r="E17" s="46" t="n">
        <f aca="false">C17*$B$12/('3. Assumptions'!$B$32*(1+'3. Assumptions'!$B$37))</f>
        <v>-871716.594108231</v>
      </c>
    </row>
    <row r="18" customFormat="false" ht="15" hidden="false" customHeight="false" outlineLevel="0" collapsed="false">
      <c r="A18" s="54" t="n">
        <f aca="false">'3. Assumptions'!$B$66</f>
        <v>2450</v>
      </c>
      <c r="B18" s="45" t="n">
        <f aca="false">A18/'3. Assumptions'!$B$65</f>
        <v>0.0722713864306785</v>
      </c>
      <c r="C18" s="44" t="n">
        <f aca="false">-'3. Assumptions'!$B$67*B18</f>
        <v>-0.0397492625368732</v>
      </c>
      <c r="D18" s="46" t="n">
        <f aca="false">'7. The cost base'!$C$18+C18*$B$12</f>
        <v>2543521.55159717</v>
      </c>
      <c r="E18" s="46" t="n">
        <f aca="false">C18*$B$12/('3. Assumptions'!$B$32*(1+'3. Assumptions'!$B$37))</f>
        <v>-2669632.06945646</v>
      </c>
    </row>
    <row r="19" customFormat="false" ht="15" hidden="false" customHeight="false" outlineLevel="0" collapsed="false">
      <c r="A19" s="54" t="n">
        <f aca="false">'3. Assumptions'!$B$69</f>
        <v>400</v>
      </c>
      <c r="B19" s="45" t="n">
        <f aca="false">A19/$B$10</f>
        <v>0.0943952802359882</v>
      </c>
      <c r="C19" s="44" t="n">
        <f aca="false">-'3. Assumptions'!$B$67*B19</f>
        <v>-0.0519174041297935</v>
      </c>
      <c r="D19" s="46" t="n">
        <f aca="false">'7. The cost base'!$C$18+C19*$B$12</f>
        <v>2496042.69006476</v>
      </c>
      <c r="E19" s="46" t="n">
        <f aca="false">C19*$B$12/('3. Assumptions'!$B$32*(1+'3. Assumptions'!$B$37))</f>
        <v>-3486866.37643292</v>
      </c>
      <c r="F19" s="25" t="s">
        <v>512</v>
      </c>
    </row>
    <row r="21" customFormat="false" ht="15" hidden="false" customHeight="false" outlineLevel="0" collapsed="false">
      <c r="A21" s="5" t="s">
        <v>513</v>
      </c>
      <c r="B21" s="45" t="n">
        <f aca="false">-E18/'3. Assumptions'!$B$40</f>
        <v>0.0574729536857028</v>
      </c>
    </row>
    <row r="22" customFormat="false" ht="15" hidden="false" customHeight="false" outlineLevel="0" collapsed="false">
      <c r="A22" s="5" t="s">
        <v>514</v>
      </c>
      <c r="B22" s="46" t="n">
        <f aca="false">'3. Assumptions'!$B$40+E18</f>
        <v>43780600.5748519</v>
      </c>
    </row>
    <row r="23" customFormat="false" ht="15" hidden="false" customHeight="false" outlineLevel="0" collapsed="false">
      <c r="A23" s="5" t="s">
        <v>515</v>
      </c>
      <c r="B23" s="48" t="n">
        <f aca="false">E19/E16</f>
        <v>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4" min="3" style="0" width="16"/>
  </cols>
  <sheetData>
    <row r="1" customFormat="false" ht="16.15" hidden="false" customHeight="false" outlineLevel="0" collapsed="false">
      <c r="A1" s="6" t="s">
        <v>516</v>
      </c>
    </row>
    <row r="2" customFormat="false" ht="15" hidden="false" customHeight="false" outlineLevel="0" collapsed="false">
      <c r="A2" s="25" t="s">
        <v>517</v>
      </c>
    </row>
    <row r="4" customFormat="false" ht="15" hidden="false" customHeight="false" outlineLevel="0" collapsed="false">
      <c r="A4" s="5" t="s">
        <v>518</v>
      </c>
      <c r="B4" s="46" t="n">
        <f aca="false">'3. Assumptions'!$B$70*'3. Assumptions'!$B$40</f>
        <v>25547627.9543696</v>
      </c>
    </row>
    <row r="5" customFormat="false" ht="15" hidden="false" customHeight="false" outlineLevel="0" collapsed="false">
      <c r="A5" s="5" t="s">
        <v>519</v>
      </c>
      <c r="B5" s="46" t="n">
        <f aca="false">'7. The cost base'!$C$18/'3. Assumptions'!$B$71/'3. Assumptions'!$B$73</f>
        <v>27293240.6162972</v>
      </c>
    </row>
    <row r="6" customFormat="false" ht="15" hidden="false" customHeight="false" outlineLevel="0" collapsed="false">
      <c r="A6" s="5" t="s">
        <v>520</v>
      </c>
      <c r="B6" s="46" t="n">
        <f aca="false">('7. The cost base'!$C$18-'8. Capital expenditure'!$C$8)/'3. Assumptions'!$B$71/'3. Assumptions'!$B$73</f>
        <v>23463049.0454591</v>
      </c>
    </row>
    <row r="7" customFormat="false" ht="15" hidden="false" customHeight="false" outlineLevel="0" collapsed="false">
      <c r="A7" s="5" t="s">
        <v>521</v>
      </c>
      <c r="B7" s="46" t="n">
        <f aca="false">MIN(B4,B6)</f>
        <v>23463049.0454591</v>
      </c>
    </row>
    <row r="8" customFormat="false" ht="15" hidden="false" customHeight="false" outlineLevel="0" collapsed="false">
      <c r="A8" s="5" t="s">
        <v>522</v>
      </c>
      <c r="B8" s="45" t="n">
        <f aca="false">B7/'3. Assumptions'!$B$40</f>
        <v>0.505122314997363</v>
      </c>
    </row>
    <row r="9" customFormat="false" ht="15" hidden="false" customHeight="false" outlineLevel="0" collapsed="false">
      <c r="A9" s="5" t="s">
        <v>523</v>
      </c>
      <c r="B9" s="46" t="n">
        <f aca="false">MIN(B4,B5)</f>
        <v>25547627.9543696</v>
      </c>
    </row>
    <row r="10" customFormat="false" ht="15" hidden="false" customHeight="false" outlineLevel="0" collapsed="false">
      <c r="A10" s="5" t="s">
        <v>524</v>
      </c>
      <c r="B10" s="46" t="n">
        <f aca="false">B9-B7</f>
        <v>2084578.90891049</v>
      </c>
    </row>
    <row r="11" customFormat="false" ht="15" hidden="false" customHeight="false" outlineLevel="0" collapsed="false">
      <c r="A11" s="5" t="s">
        <v>525</v>
      </c>
      <c r="B11" s="46" t="n">
        <f aca="false">'3. Assumptions'!$B$70*'10. The exit and the value'!$B$17</f>
        <v>22950608.0792157</v>
      </c>
    </row>
    <row r="12" customFormat="false" ht="15" hidden="false" customHeight="false" outlineLevel="0" collapsed="false">
      <c r="A12" s="5" t="s">
        <v>526</v>
      </c>
      <c r="B12" s="46" t="n">
        <f aca="false">MIN(B11,B6)</f>
        <v>22950608.0792157</v>
      </c>
    </row>
    <row r="13" customFormat="false" ht="15" hidden="false" customHeight="false" outlineLevel="0" collapsed="false">
      <c r="A13" s="5" t="s">
        <v>527</v>
      </c>
      <c r="B13" s="45" t="n">
        <f aca="false">B7/'10. The exit and the value'!$B$17</f>
        <v>0.562280394944703</v>
      </c>
    </row>
    <row r="14" customFormat="false" ht="15" hidden="false" customHeight="false" outlineLevel="0" collapsed="false">
      <c r="A14" s="5" t="s">
        <v>528</v>
      </c>
      <c r="B14" s="44" t="n">
        <f aca="false">('7. The cost base'!$C$18-'8. Capital expenditure'!$C$8)/('3. Assumptions'!$B$40*(1+'3. Assumptions'!$B$37))</f>
        <v>0.0468517531851447</v>
      </c>
    </row>
    <row r="15" customFormat="false" ht="15" hidden="false" customHeight="false" outlineLevel="0" collapsed="false">
      <c r="A15" s="5" t="s">
        <v>529</v>
      </c>
      <c r="B15" s="44" t="n">
        <f aca="false">('7. The cost base'!$C$18-'8. Capital expenditure'!$C$8)/('10. The exit and the value'!$B$17*(1+'3. Assumptions'!$B$37))</f>
        <v>0.0521533527675024</v>
      </c>
    </row>
    <row r="16" customFormat="false" ht="15" hidden="false" customHeight="false" outlineLevel="0" collapsed="false">
      <c r="A16" s="5" t="s">
        <v>530</v>
      </c>
      <c r="B16" s="49" t="n">
        <f aca="false">(B14-'3. Assumptions'!$B$73)*10000</f>
        <v>-96.482468148553</v>
      </c>
    </row>
    <row r="17" customFormat="false" ht="15" hidden="false" customHeight="false" outlineLevel="0" collapsed="false">
      <c r="A17" s="5" t="s">
        <v>531</v>
      </c>
      <c r="B17" s="49" t="n">
        <f aca="false">(B15-'3. Assumptions'!$B$73)*10000</f>
        <v>-43.4664723249761</v>
      </c>
    </row>
    <row r="19" customFormat="false" ht="15" hidden="false" customHeight="false" outlineLevel="0" collapsed="false">
      <c r="A19" s="13" t="s">
        <v>532</v>
      </c>
    </row>
    <row r="20" customFormat="false" ht="15" hidden="false" customHeight="false" outlineLevel="0" collapsed="false">
      <c r="A20" s="5" t="s">
        <v>533</v>
      </c>
      <c r="B20" s="46" t="n">
        <f aca="false">'10. The exit and the value'!$B$17*(1+'3. Assumptions'!$B$37)</f>
        <v>44482451.2953527</v>
      </c>
    </row>
    <row r="21" customFormat="false" ht="15" hidden="false" customHeight="false" outlineLevel="0" collapsed="false">
      <c r="A21" s="5" t="s">
        <v>534</v>
      </c>
      <c r="B21" s="46" t="n">
        <f aca="false">B12</f>
        <v>22950608.0792157</v>
      </c>
    </row>
    <row r="22" customFormat="false" ht="15" hidden="false" customHeight="false" outlineLevel="0" collapsed="false">
      <c r="A22" s="5" t="s">
        <v>535</v>
      </c>
      <c r="B22" s="46" t="n">
        <f aca="false">B20-B21</f>
        <v>21531843.2161369</v>
      </c>
    </row>
    <row r="23" customFormat="false" ht="15" hidden="false" customHeight="false" outlineLevel="0" collapsed="false">
      <c r="A23" s="5" t="s">
        <v>536</v>
      </c>
      <c r="B23" s="46" t="n">
        <f aca="false">B21*'3. Assumptions'!$B$73</f>
        <v>1296709.35647569</v>
      </c>
    </row>
    <row r="24" customFormat="false" ht="15" hidden="false" customHeight="false" outlineLevel="0" collapsed="false">
      <c r="A24" s="5" t="s">
        <v>537</v>
      </c>
      <c r="B24" s="46" t="n">
        <f aca="false">('7. The cost base'!$C$18-'8. Capital expenditure'!$C$8)-B23</f>
        <v>1023199.61789408</v>
      </c>
    </row>
    <row r="25" customFormat="false" ht="15" hidden="false" customHeight="false" outlineLevel="0" collapsed="false">
      <c r="A25" s="5" t="s">
        <v>538</v>
      </c>
      <c r="B25" s="44" t="n">
        <f aca="false">B24/B22</f>
        <v>0.047520298546817</v>
      </c>
    </row>
    <row r="26" customFormat="false" ht="15" hidden="false" customHeight="false" outlineLevel="0" collapsed="false">
      <c r="A26" s="5" t="s">
        <v>539</v>
      </c>
      <c r="B26" s="44" t="n">
        <f aca="false">B15</f>
        <v>0.0521533527675024</v>
      </c>
    </row>
    <row r="27" customFormat="false" ht="15" hidden="false" customHeight="false" outlineLevel="0" collapsed="false">
      <c r="A27" s="5" t="s">
        <v>540</v>
      </c>
      <c r="B27" s="49" t="n">
        <f aca="false">(B26-B25)*10000</f>
        <v>46.3305422068543</v>
      </c>
    </row>
    <row r="29" customFormat="false" ht="15" hidden="false" customHeight="false" outlineLevel="0" collapsed="false">
      <c r="A29" s="13" t="s">
        <v>541</v>
      </c>
    </row>
    <row r="30" customFormat="false" ht="15" hidden="false" customHeight="false" outlineLevel="0" collapsed="false">
      <c r="A30" s="5" t="s">
        <v>542</v>
      </c>
      <c r="B30" s="55" t="n">
        <f aca="false">('7. The cost base'!$C$18-'8. Capital expenditure'!$C$8)/(B7*'3. Assumptions'!$B$73)</f>
        <v>1.75</v>
      </c>
    </row>
    <row r="31" customFormat="false" ht="15" hidden="false" customHeight="false" outlineLevel="0" collapsed="false">
      <c r="A31" s="5" t="s">
        <v>543</v>
      </c>
      <c r="B31" s="45" t="n">
        <f aca="false">'3. Assumptions'!$B$4-(('7. The cost base'!$C$18-'8. Capital expenditure'!$C$8)-'3. Assumptions'!$B$72*B7*'3. Assumptions'!$B$73)/'13. What a point is worth'!$B$6/100</f>
        <v>0.800616995171156</v>
      </c>
    </row>
    <row r="32" customFormat="false" ht="15" hidden="false" customHeight="false" outlineLevel="0" collapsed="false">
      <c r="A32" s="5" t="s">
        <v>544</v>
      </c>
      <c r="B32" s="48" t="n">
        <f aca="false">('3. Assumptions'!$B$4-B31)*100</f>
        <v>16.7383004828844</v>
      </c>
    </row>
    <row r="33" customFormat="false" ht="15" hidden="false" customHeight="false" outlineLevel="0" collapsed="false">
      <c r="A33" s="5" t="s">
        <v>545</v>
      </c>
      <c r="B33" s="55" t="n">
        <f aca="false">('7. The cost base'!$C$18-'8. Capital expenditure'!$C$8)/(B12*'3. Assumptions'!$B$73)</f>
        <v>1.78907398391497</v>
      </c>
    </row>
    <row r="34" customFormat="false" ht="15" hidden="false" customHeight="false" outlineLevel="0" collapsed="false">
      <c r="A34" s="5" t="s">
        <v>546</v>
      </c>
      <c r="B34" s="45" t="n">
        <f aca="false">'3. Assumptions'!$B$4-(('7. The cost base'!$C$18-'8. Capital expenditure'!$C$8)-'3. Assumptions'!$B$72*B12*'3. Assumptions'!$B$73)/'13. What a point is worth'!$B$6/100</f>
        <v>0.791477740873789</v>
      </c>
    </row>
    <row r="35" customFormat="false" ht="15" hidden="false" customHeight="false" outlineLevel="0" collapsed="false">
      <c r="A35" s="5" t="s">
        <v>544</v>
      </c>
      <c r="B35" s="48" t="n">
        <f aca="false">('3. Assumptions'!$B$4-B34)*100</f>
        <v>17.6522259126211</v>
      </c>
    </row>
    <row r="37" customFormat="false" ht="15" hidden="false" customHeight="false" outlineLevel="0" collapsed="false">
      <c r="A37" s="41" t="s">
        <v>45</v>
      </c>
      <c r="B37" s="41" t="s">
        <v>547</v>
      </c>
      <c r="C37" s="41" t="s">
        <v>548</v>
      </c>
    </row>
    <row r="38" customFormat="false" ht="15" hidden="false" customHeight="false" outlineLevel="0" collapsed="false">
      <c r="A38" s="45" t="n">
        <f aca="false">'3. Assumptions'!$B$4</f>
        <v>0.968</v>
      </c>
      <c r="B38" s="55" t="n">
        <f aca="false">(('7. The cost base'!$C$18-'8. Capital expenditure'!$C$8)-('3. Assumptions'!$B$4-A38)*100*'13. What a point is worth'!$B$6)/($B$7*'3. Assumptions'!$B$73)</f>
        <v>1.75</v>
      </c>
      <c r="C38" s="36" t="str">
        <f aca="false">IF(B38&lt;'3. Assumptions'!$B$72,"Breach",IF(ABS(B38-'3. Assumptions'!$B$71)&lt;0.0005,"At the sizing ratio","Above the covenant"))</f>
        <v>At the sizing ratio</v>
      </c>
    </row>
    <row r="39" customFormat="false" ht="15" hidden="false" customHeight="false" outlineLevel="0" collapsed="false">
      <c r="A39" s="45" t="n">
        <v>0.94</v>
      </c>
      <c r="B39" s="55" t="n">
        <f aca="false">(('7. The cost base'!$C$18-'8. Capital expenditure'!$C$8)-('3. Assumptions'!$B$4-A39)*100*'13. What a point is worth'!$B$6)/($B$7*'3. Assumptions'!$B$73)</f>
        <v>1.66635948933815</v>
      </c>
      <c r="C39" s="36" t="str">
        <f aca="false">IF(B39&lt;'3. Assumptions'!$B$72,"Breach",IF(ABS(B39-'3. Assumptions'!$B$71)&lt;0.0005,"At the sizing ratio","Above the covenant"))</f>
        <v>Above the covenant</v>
      </c>
    </row>
    <row r="40" customFormat="false" ht="15" hidden="false" customHeight="false" outlineLevel="0" collapsed="false">
      <c r="A40" s="45" t="n">
        <v>0.9</v>
      </c>
      <c r="B40" s="55" t="n">
        <f aca="false">(('7. The cost base'!$C$18-'8. Capital expenditure'!$C$8)-('3. Assumptions'!$B$4-A40)*100*'13. What a point is worth'!$B$6)/($B$7*'3. Assumptions'!$B$73)</f>
        <v>1.5468730455355</v>
      </c>
      <c r="C40" s="36" t="str">
        <f aca="false">IF(B40&lt;'3. Assumptions'!$B$72,"Breach",IF(ABS(B40-'3. Assumptions'!$B$71)&lt;0.0005,"At the sizing ratio","Above the covenant"))</f>
        <v>Above the covenant</v>
      </c>
    </row>
    <row r="41" customFormat="false" ht="15" hidden="false" customHeight="false" outlineLevel="0" collapsed="false">
      <c r="A41" s="45" t="n">
        <v>0.86</v>
      </c>
      <c r="B41" s="55" t="n">
        <f aca="false">(('7. The cost base'!$C$18-'8. Capital expenditure'!$C$8)-('3. Assumptions'!$B$4-A41)*100*'13. What a point is worth'!$B$6)/($B$7*'3. Assumptions'!$B$73)</f>
        <v>1.42738660173285</v>
      </c>
      <c r="C41" s="36" t="str">
        <f aca="false">IF(B41&lt;'3. Assumptions'!$B$72,"Breach",IF(ABS(B41-'3. Assumptions'!$B$71)&lt;0.0005,"At the sizing ratio","Above the covenant"))</f>
        <v>Above the covenant</v>
      </c>
    </row>
    <row r="42" customFormat="false" ht="15" hidden="false" customHeight="false" outlineLevel="0" collapsed="false">
      <c r="A42" s="45" t="n">
        <v>0.82</v>
      </c>
      <c r="B42" s="55" t="n">
        <f aca="false">(('7. The cost base'!$C$18-'8. Capital expenditure'!$C$8)-('3. Assumptions'!$B$4-A42)*100*'13. What a point is worth'!$B$6)/($B$7*'3. Assumptions'!$B$73)</f>
        <v>1.3079001579302</v>
      </c>
      <c r="C42" s="36" t="str">
        <f aca="false">IF(B42&lt;'3. Assumptions'!$B$72,"Breach",IF(ABS(B42-'3. Assumptions'!$B$71)&lt;0.0005,"At the sizing ratio","Above the covenant"))</f>
        <v>Above the covenant</v>
      </c>
    </row>
    <row r="43" customFormat="false" ht="15" hidden="false" customHeight="false" outlineLevel="0" collapsed="false">
      <c r="A43" s="45" t="n">
        <v>0.78</v>
      </c>
      <c r="B43" s="55" t="n">
        <f aca="false">(('7. The cost base'!$C$18-'8. Capital expenditure'!$C$8)-('3. Assumptions'!$B$4-A43)*100*'13. What a point is worth'!$B$6)/($B$7*'3. Assumptions'!$B$73)</f>
        <v>1.18841371412756</v>
      </c>
      <c r="C43" s="36" t="str">
        <f aca="false">IF(B43&lt;'3. Assumptions'!$B$72,"Breach",IF(ABS(B43-'3. Assumptions'!$B$71)&lt;0.0005,"At the sizing ratio","Above the covenant"))</f>
        <v>Breach</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1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13"/>
    <col collapsed="false" customWidth="true" hidden="false" outlineLevel="0" max="5" min="3" style="0" width="12"/>
    <col collapsed="false" customWidth="true" hidden="false" outlineLevel="0" max="7" min="6" style="0" width="10"/>
    <col collapsed="false" customWidth="true" hidden="false" outlineLevel="0" max="17" min="8" style="0" width="13"/>
    <col collapsed="false" customWidth="true" hidden="false" outlineLevel="0" max="18" min="18" style="0" width="14"/>
    <col collapsed="false" customWidth="true" hidden="false" outlineLevel="0" max="20" min="19" style="0" width="15"/>
    <col collapsed="false" customWidth="true" hidden="false" outlineLevel="0" max="21" min="21" style="0" width="14"/>
    <col collapsed="false" customWidth="true" hidden="false" outlineLevel="0" max="22" min="22" style="0" width="10"/>
  </cols>
  <sheetData>
    <row r="1" customFormat="false" ht="16.15" hidden="false" customHeight="false" outlineLevel="0" collapsed="false">
      <c r="A1" s="6" t="s">
        <v>549</v>
      </c>
    </row>
    <row r="2" customFormat="false" ht="15" hidden="false" customHeight="false" outlineLevel="0" collapsed="false">
      <c r="A2" s="25" t="s">
        <v>550</v>
      </c>
    </row>
    <row r="3" customFormat="false" ht="15" hidden="false" customHeight="false" outlineLevel="0" collapsed="false">
      <c r="D3" s="13" t="s">
        <v>551</v>
      </c>
    </row>
    <row r="4" customFormat="false" ht="15" hidden="false" customHeight="false" outlineLevel="0" collapsed="false">
      <c r="A4" s="5" t="s">
        <v>552</v>
      </c>
      <c r="B4" s="46" t="n">
        <f aca="false">'4. The rate card'!$D$11*(1-'3. Assumptions'!$B$6)*'2. The tape'!$D$5*'2. The tape'!$B$11</f>
        <v>4103592.4987904</v>
      </c>
      <c r="D4" s="36" t="s">
        <v>553</v>
      </c>
      <c r="G4" s="24" t="n">
        <v>0.02</v>
      </c>
    </row>
    <row r="5" customFormat="false" ht="15" hidden="false" customHeight="false" outlineLevel="0" collapsed="false">
      <c r="A5" s="5" t="s">
        <v>554</v>
      </c>
      <c r="B5" s="46" t="n">
        <f aca="false">'6. The summer'!$B$8</f>
        <v>133303.57469184</v>
      </c>
      <c r="D5" s="36" t="s">
        <v>555</v>
      </c>
      <c r="G5" s="31" t="n">
        <v>0.01</v>
      </c>
    </row>
    <row r="6" customFormat="false" ht="15" hidden="false" customHeight="false" outlineLevel="0" collapsed="false">
      <c r="A6" s="5" t="s">
        <v>556</v>
      </c>
      <c r="B6" s="46" t="n">
        <f aca="false">'6. The summer'!$B$9</f>
        <v>59986.608611328</v>
      </c>
      <c r="D6" s="36" t="s">
        <v>557</v>
      </c>
      <c r="G6" s="31" t="n">
        <v>0.005</v>
      </c>
    </row>
    <row r="7" customFormat="false" ht="15" hidden="false" customHeight="false" outlineLevel="0" collapsed="false">
      <c r="A7" s="5" t="s">
        <v>558</v>
      </c>
      <c r="B7" s="46" t="n">
        <f aca="false">'7. The cost base'!$C$13</f>
        <v>1263266.60861133</v>
      </c>
      <c r="D7" s="36" t="s">
        <v>559</v>
      </c>
      <c r="G7" s="24" t="n">
        <v>0.05</v>
      </c>
    </row>
    <row r="8" customFormat="false" ht="15" hidden="false" customHeight="false" outlineLevel="0" collapsed="false">
      <c r="A8" s="5" t="s">
        <v>560</v>
      </c>
      <c r="B8" s="46" t="n">
        <f aca="false">'3. Assumptions'!$B$31*'2. The tape'!$B$11</f>
        <v>123760</v>
      </c>
      <c r="D8" s="36" t="s">
        <v>561</v>
      </c>
      <c r="G8" s="31" t="n">
        <v>0.015</v>
      </c>
    </row>
    <row r="9" customFormat="false" ht="15" hidden="false" customHeight="false" outlineLevel="0" collapsed="false">
      <c r="A9" s="5" t="s">
        <v>562</v>
      </c>
      <c r="B9" s="46" t="n">
        <f aca="false">'3. Assumptions'!$B$28*'2. The tape'!$B$11</f>
        <v>1716000</v>
      </c>
      <c r="D9" s="36" t="s">
        <v>563</v>
      </c>
      <c r="G9" s="31" t="n">
        <v>0.045</v>
      </c>
    </row>
    <row r="10" customFormat="false" ht="15" hidden="false" customHeight="false" outlineLevel="0" collapsed="false">
      <c r="A10" s="5" t="s">
        <v>245</v>
      </c>
      <c r="B10" s="45" t="n">
        <f aca="false">'3. Assumptions'!$B$27</f>
        <v>0.035</v>
      </c>
      <c r="D10" s="36" t="s">
        <v>564</v>
      </c>
      <c r="G10" s="31" t="n">
        <v>0.0075</v>
      </c>
    </row>
    <row r="11" customFormat="false" ht="15" hidden="false" customHeight="false" outlineLevel="0" collapsed="false">
      <c r="A11" s="5" t="s">
        <v>94</v>
      </c>
      <c r="B11" s="44" t="n">
        <f aca="false">'3. Assumptions'!$B$34</f>
        <v>0.079</v>
      </c>
      <c r="D11" s="36" t="s">
        <v>565</v>
      </c>
      <c r="G11" s="31" t="n">
        <v>0.0075</v>
      </c>
    </row>
    <row r="12" customFormat="false" ht="15" hidden="false" customHeight="false" outlineLevel="0" collapsed="false">
      <c r="A12" s="5" t="s">
        <v>98</v>
      </c>
      <c r="B12" s="45" t="n">
        <f aca="false">'3. Assumptions'!$B$37</f>
        <v>0.066</v>
      </c>
      <c r="D12" s="36" t="s">
        <v>566</v>
      </c>
      <c r="G12" s="31" t="n">
        <v>0.005</v>
      </c>
    </row>
    <row r="13" customFormat="false" ht="15" hidden="false" customHeight="false" outlineLevel="0" collapsed="false">
      <c r="A13" s="5" t="s">
        <v>100</v>
      </c>
      <c r="B13" s="45" t="n">
        <f aca="false">'3. Assumptions'!$B$38</f>
        <v>0.012</v>
      </c>
    </row>
    <row r="14" customFormat="false" ht="15" hidden="false" customHeight="false" outlineLevel="0" collapsed="false">
      <c r="A14" s="5" t="s">
        <v>85</v>
      </c>
      <c r="B14" s="49" t="n">
        <f aca="false">'3. Assumptions'!$B$29</f>
        <v>7</v>
      </c>
    </row>
    <row r="15" customFormat="false" ht="15" hidden="false" customHeight="false" outlineLevel="0" collapsed="false">
      <c r="A15" s="5" t="s">
        <v>567</v>
      </c>
      <c r="B15" s="49" t="n">
        <f aca="false">'3. Assumptions'!$B$39</f>
        <v>10</v>
      </c>
    </row>
    <row r="16" customFormat="false" ht="15" hidden="false" customHeight="false" outlineLevel="0" collapsed="false">
      <c r="A16" s="5" t="s">
        <v>102</v>
      </c>
      <c r="B16" s="46" t="n">
        <f aca="false">'3. Assumptions'!$B$40</f>
        <v>46450232.6443084</v>
      </c>
    </row>
    <row r="18" customFormat="false" ht="41.75" hidden="false" customHeight="false" outlineLevel="0" collapsed="false">
      <c r="A18" s="41" t="s">
        <v>568</v>
      </c>
      <c r="B18" s="41" t="s">
        <v>415</v>
      </c>
      <c r="C18" s="41" t="s">
        <v>96</v>
      </c>
      <c r="D18" s="41" t="s">
        <v>97</v>
      </c>
      <c r="E18" s="41" t="s">
        <v>92</v>
      </c>
      <c r="F18" s="41" t="s">
        <v>569</v>
      </c>
      <c r="G18" s="41" t="s">
        <v>570</v>
      </c>
      <c r="H18" s="41" t="s">
        <v>320</v>
      </c>
      <c r="I18" s="41" t="s">
        <v>321</v>
      </c>
      <c r="J18" s="41" t="s">
        <v>322</v>
      </c>
      <c r="K18" s="41" t="s">
        <v>323</v>
      </c>
      <c r="L18" s="41" t="s">
        <v>324</v>
      </c>
      <c r="M18" s="41" t="s">
        <v>325</v>
      </c>
      <c r="N18" s="41" t="s">
        <v>326</v>
      </c>
      <c r="O18" s="41" t="s">
        <v>327</v>
      </c>
      <c r="P18" s="41" t="s">
        <v>328</v>
      </c>
      <c r="Q18" s="41" t="s">
        <v>571</v>
      </c>
      <c r="R18" s="41" t="s">
        <v>572</v>
      </c>
      <c r="S18" s="41" t="s">
        <v>310</v>
      </c>
      <c r="T18" s="41" t="s">
        <v>43</v>
      </c>
      <c r="U18" s="41" t="s">
        <v>353</v>
      </c>
      <c r="V18" s="41" t="s">
        <v>353</v>
      </c>
    </row>
    <row r="19" customFormat="false" ht="15" hidden="false" customHeight="false" outlineLevel="0" collapsed="false">
      <c r="A19" s="25" t="s">
        <v>573</v>
      </c>
      <c r="H19" s="25" t="n">
        <v>1</v>
      </c>
      <c r="I19" s="25" t="n">
        <v>2</v>
      </c>
      <c r="J19" s="25" t="n">
        <v>3</v>
      </c>
      <c r="K19" s="25" t="n">
        <v>4</v>
      </c>
      <c r="L19" s="25" t="n">
        <v>5</v>
      </c>
      <c r="M19" s="25" t="n">
        <v>6</v>
      </c>
      <c r="N19" s="25" t="n">
        <v>7</v>
      </c>
      <c r="O19" s="25" t="n">
        <v>8</v>
      </c>
      <c r="P19" s="25" t="n">
        <v>9</v>
      </c>
      <c r="Q19" s="25" t="n">
        <v>10</v>
      </c>
    </row>
    <row r="20" customFormat="false" ht="15" hidden="false" customHeight="false" outlineLevel="0" collapsed="false">
      <c r="A20" s="36" t="s">
        <v>574</v>
      </c>
      <c r="B20" s="44" t="n">
        <f aca="false">'3. Assumptions'!$B$4</f>
        <v>0.968</v>
      </c>
      <c r="C20" s="51" t="n">
        <f aca="false">'3. Assumptions'!$B$35</f>
        <v>0.031</v>
      </c>
      <c r="D20" s="51" t="n">
        <f aca="false">'3. Assumptions'!$B$36</f>
        <v>0.028</v>
      </c>
      <c r="E20" s="51" t="n">
        <f aca="false">'3. Assumptions'!$B$33</f>
        <v>0.0595</v>
      </c>
      <c r="F20" s="49" t="n">
        <f aca="false">'3. Assumptions'!$B$30</f>
        <v>3</v>
      </c>
      <c r="G20" s="49" t="n">
        <v>0</v>
      </c>
      <c r="H20" s="46" t="n">
        <f aca="false">(($B$4*$B20+$B$5)-IF(OR(MOD(H$19+$F20,$B$14)=0,AND($G20=1,H$19=$B$15)),1,0)*$B$5)*(1+$C20)^(H$19-1)*(1-$B$10)-($B$7-IF(OR(MOD(H$19+$F20,$B$14)=0,AND($G20=1,H$19=$B$15)),1,0)*$B$6+$B$8+IF(OR(MOD(H$19+$F20,$B$14)=0,AND($G20=1,H$19=$B$15)),1,0)*$B$9)*(1+$D20)^(H$19-1)</f>
        <v>2574859.16593639</v>
      </c>
      <c r="I20" s="46" t="n">
        <f aca="false">(($B$4*$B20+$B$5)-IF(OR(MOD(I$19+$F20,$B$14)=0,AND($G20=1,I$19=$B$15)),1,0)*$B$5)*(1+$C20)^(I$19-1)*(1-$B$10)-($B$7-IF(OR(MOD(I$19+$F20,$B$14)=0,AND($G20=1,I$19=$B$15)),1,0)*$B$6+$B$8+IF(OR(MOD(I$19+$F20,$B$14)=0,AND($G20=1,I$19=$B$15)),1,0)*$B$9)*(1+$D20)^(I$19-1)</f>
        <v>2658840.87990625</v>
      </c>
      <c r="J20" s="46" t="n">
        <f aca="false">(($B$4*$B20+$B$5)-IF(OR(MOD(J$19+$F20,$B$14)=0,AND($G20=1,J$19=$B$15)),1,0)*$B$5)*(1+$C20)^(J$19-1)*(1-$B$10)-($B$7-IF(OR(MOD(J$19+$F20,$B$14)=0,AND($G20=1,J$19=$B$15)),1,0)*$B$6+$B$8+IF(OR(MOD(J$19+$F20,$B$14)=0,AND($G20=1,J$19=$B$15)),1,0)*$B$9)*(1+$D20)^(J$19-1)</f>
        <v>2745542.5372443</v>
      </c>
      <c r="K20" s="46" t="n">
        <f aca="false">(($B$4*$B20+$B$5)-IF(OR(MOD(K$19+$F20,$B$14)=0,AND($G20=1,K$19=$B$15)),1,0)*$B$5)*(1+$C20)^(K$19-1)*(1-$B$10)-($B$7-IF(OR(MOD(K$19+$F20,$B$14)=0,AND($G20=1,K$19=$B$15)),1,0)*$B$6+$B$8+IF(OR(MOD(K$19+$F20,$B$14)=0,AND($G20=1,K$19=$B$15)),1,0)*$B$9)*(1+$D20)^(K$19-1)</f>
        <v>895025.931563568</v>
      </c>
      <c r="L20" s="46" t="n">
        <f aca="false">(($B$4*$B20+$B$5)-IF(OR(MOD(L$19+$F20,$B$14)=0,AND($G20=1,L$19=$B$15)),1,0)*$B$5)*(1+$C20)^(L$19-1)*(1-$B$10)-($B$7-IF(OR(MOD(L$19+$F20,$B$14)=0,AND($G20=1,L$19=$B$15)),1,0)*$B$6+$B$8+IF(OR(MOD(L$19+$F20,$B$14)=0,AND($G20=1,L$19=$B$15)),1,0)*$B$9)*(1+$D20)^(L$19-1)</f>
        <v>2927458.81048944</v>
      </c>
      <c r="M20" s="46" t="n">
        <f aca="false">(($B$4*$B20+$B$5)-IF(OR(MOD(M$19+$F20,$B$14)=0,AND($G20=1,M$19=$B$15)),1,0)*$B$5)*(1+$C20)^(M$19-1)*(1-$B$10)-($B$7-IF(OR(MOD(M$19+$F20,$B$14)=0,AND($G20=1,M$19=$B$15)),1,0)*$B$6+$B$8+IF(OR(MOD(M$19+$F20,$B$14)=0,AND($G20=1,M$19=$B$15)),1,0)*$B$9)*(1+$D20)^(M$19-1)</f>
        <v>3022857.09603417</v>
      </c>
      <c r="N20" s="46" t="n">
        <f aca="false">(($B$4*$B20+$B$5)-IF(OR(MOD(N$19+$F20,$B$14)=0,AND($G20=1,N$19=$B$15)),1,0)*$B$5)*(1+$C20)^(N$19-1)*(1-$B$10)-($B$7-IF(OR(MOD(N$19+$F20,$B$14)=0,AND($G20=1,N$19=$B$15)),1,0)*$B$6+$B$8+IF(OR(MOD(N$19+$F20,$B$14)=0,AND($G20=1,N$19=$B$15)),1,0)*$B$9)*(1+$D20)^(N$19-1)</f>
        <v>3121342.84617854</v>
      </c>
      <c r="O20" s="46" t="n">
        <f aca="false">(($B$4*$B20+$B$5)-IF(OR(MOD(O$19+$F20,$B$14)=0,AND($G20=1,O$19=$B$15)),1,0)*$B$5)*(1+$C20)^(O$19-1)*(1-$B$10)-($B$7-IF(OR(MOD(O$19+$F20,$B$14)=0,AND($G20=1,O$19=$B$15)),1,0)*$B$6+$B$8+IF(OR(MOD(O$19+$F20,$B$14)=0,AND($G20=1,O$19=$B$15)),1,0)*$B$9)*(1+$D20)^(O$19-1)</f>
        <v>3223015.41562206</v>
      </c>
      <c r="P20" s="46" t="n">
        <f aca="false">(($B$4*$B20+$B$5)-IF(OR(MOD(P$19+$F20,$B$14)=0,AND($G20=1,P$19=$B$15)),1,0)*$B$5)*(1+$C20)^(P$19-1)*(1-$B$10)-($B$7-IF(OR(MOD(P$19+$F20,$B$14)=0,AND($G20=1,P$19=$B$15)),1,0)*$B$6+$B$8+IF(OR(MOD(P$19+$F20,$B$14)=0,AND($G20=1,P$19=$B$15)),1,0)*$B$9)*(1+$D20)^(P$19-1)</f>
        <v>3327977.34107227</v>
      </c>
      <c r="Q20" s="46" t="n">
        <f aca="false">(($B$4*$B20+$B$5)-IF(OR(MOD(Q$19+$F20,$B$14)=0,AND($G20=1,Q$19=$B$15)),1,0)*$B$5)*(1+$C20)^(Q$19-1)*(1-$B$10)-($B$7-IF(OR(MOD(Q$19+$F20,$B$14)=0,AND($G20=1,Q$19=$B$15)),1,0)*$B$6+$B$8+IF(OR(MOD(Q$19+$F20,$B$14)=0,AND($G20=1,Q$19=$B$15)),1,0)*$B$9)*(1+$D20)^(Q$19-1)</f>
        <v>3436334.44274328</v>
      </c>
      <c r="R20" s="46" t="n">
        <f aca="false">($B$4*$B20+$B$5)*(1+$C20)^$B$15*(1-$B$10)-$B$7*(1+$D20)^$B$15</f>
        <v>3711317.51956215</v>
      </c>
      <c r="S20" s="46" t="n">
        <f aca="false">R20/$E20/(1+$B$12)*(1-$B$13)-IF($G20=1,0,MOD($F20+$B$15,$B$14)/$B$14*$B$9*(1+$D20)^$B$15)/(1+$B$12)</f>
        <v>55992423.443845</v>
      </c>
      <c r="T20" s="46" t="n">
        <f aca="false">(NPV($B$11,H20:Q20)+S20/(1+$B$11)^$B$15)/(1+$B$12)</f>
        <v>41728378.3258468</v>
      </c>
      <c r="U20" s="46" t="n">
        <f aca="false">T20-$T$20</f>
        <v>0</v>
      </c>
      <c r="V20" s="45" t="n">
        <f aca="false">T20/$T$20-1</f>
        <v>0</v>
      </c>
    </row>
    <row r="21" customFormat="false" ht="15" hidden="false" customHeight="false" outlineLevel="0" collapsed="false">
      <c r="A21" s="36" t="s">
        <v>575</v>
      </c>
      <c r="B21" s="44" t="n">
        <f aca="false">$B$20*(1-'3. Assumptions'!$B$76)</f>
        <v>0.9438</v>
      </c>
      <c r="C21" s="51" t="n">
        <f aca="false">$C$20</f>
        <v>0.031</v>
      </c>
      <c r="D21" s="51" t="n">
        <f aca="false">$D$20</f>
        <v>0.028</v>
      </c>
      <c r="E21" s="51" t="n">
        <f aca="false">$E$20</f>
        <v>0.0595</v>
      </c>
      <c r="F21" s="49" t="n">
        <f aca="false">$F$20</f>
        <v>3</v>
      </c>
      <c r="G21" s="49" t="n">
        <v>0</v>
      </c>
      <c r="H21" s="46" t="n">
        <f aca="false">(($B$4*$B21+$B$5)-IF(OR(MOD(H$19+$F21,$B$14)=0,AND($G21=1,H$19=$B$15)),1,0)*$B$5)*(1+$C21)^(H$19-1)*(1-$B$10)-($B$7-IF(OR(MOD(H$19+$F21,$B$14)=0,AND($G21=1,H$19=$B$15)),1,0)*$B$6+$B$8+IF(OR(MOD(H$19+$F21,$B$14)=0,AND($G21=1,H$19=$B$15)),1,0)*$B$9)*(1+$D21)^(H$19-1)</f>
        <v>2479027.97031213</v>
      </c>
      <c r="I21" s="46" t="n">
        <f aca="false">(($B$4*$B21+$B$5)-IF(OR(MOD(I$19+$F21,$B$14)=0,AND($G21=1,I$19=$B$15)),1,0)*$B$5)*(1+$C21)^(I$19-1)*(1-$B$10)-($B$7-IF(OR(MOD(I$19+$F21,$B$14)=0,AND($G21=1,I$19=$B$15)),1,0)*$B$6+$B$8+IF(OR(MOD(I$19+$F21,$B$14)=0,AND($G21=1,I$19=$B$15)),1,0)*$B$9)*(1+$D21)^(I$19-1)</f>
        <v>2560038.91721764</v>
      </c>
      <c r="J21" s="46" t="n">
        <f aca="false">(($B$4*$B21+$B$5)-IF(OR(MOD(J$19+$F21,$B$14)=0,AND($G21=1,J$19=$B$15)),1,0)*$B$5)*(1+$C21)^(J$19-1)*(1-$B$10)-($B$7-IF(OR(MOD(J$19+$F21,$B$14)=0,AND($G21=1,J$19=$B$15)),1,0)*$B$6+$B$8+IF(OR(MOD(J$19+$F21,$B$14)=0,AND($G21=1,J$19=$B$15)),1,0)*$B$9)*(1+$D21)^(J$19-1)</f>
        <v>2643677.71371235</v>
      </c>
      <c r="K21" s="46" t="n">
        <f aca="false">(($B$4*$B21+$B$5)-IF(OR(MOD(K$19+$F21,$B$14)=0,AND($G21=1,K$19=$B$15)),1,0)*$B$5)*(1+$C21)^(K$19-1)*(1-$B$10)-($B$7-IF(OR(MOD(K$19+$F21,$B$14)=0,AND($G21=1,K$19=$B$15)),1,0)*$B$6+$B$8+IF(OR(MOD(K$19+$F21,$B$14)=0,AND($G21=1,K$19=$B$15)),1,0)*$B$9)*(1+$D21)^(K$19-1)</f>
        <v>790003.298502126</v>
      </c>
      <c r="L21" s="46" t="n">
        <f aca="false">(($B$4*$B21+$B$5)-IF(OR(MOD(L$19+$F21,$B$14)=0,AND($G21=1,L$19=$B$15)),1,0)*$B$5)*(1+$C21)^(L$19-1)*(1-$B$10)-($B$7-IF(OR(MOD(L$19+$F21,$B$14)=0,AND($G21=1,L$19=$B$15)),1,0)*$B$6+$B$8+IF(OR(MOD(L$19+$F21,$B$14)=0,AND($G21=1,L$19=$B$15)),1,0)*$B$9)*(1+$D21)^(L$19-1)</f>
        <v>2819180.4758031</v>
      </c>
      <c r="M21" s="46" t="n">
        <f aca="false">(($B$4*$B21+$B$5)-IF(OR(MOD(M$19+$F21,$B$14)=0,AND($G21=1,M$19=$B$15)),1,0)*$B$5)*(1+$C21)^(M$19-1)*(1-$B$10)-($B$7-IF(OR(MOD(M$19+$F21,$B$14)=0,AND($G21=1,M$19=$B$15)),1,0)*$B$6+$B$8+IF(OR(MOD(M$19+$F21,$B$14)=0,AND($G21=1,M$19=$B$15)),1,0)*$B$9)*(1+$D21)^(M$19-1)</f>
        <v>2911222.13297255</v>
      </c>
      <c r="N21" s="46" t="n">
        <f aca="false">(($B$4*$B21+$B$5)-IF(OR(MOD(N$19+$F21,$B$14)=0,AND($G21=1,N$19=$B$15)),1,0)*$B$5)*(1+$C21)^(N$19-1)*(1-$B$10)-($B$7-IF(OR(MOD(N$19+$F21,$B$14)=0,AND($G21=1,N$19=$B$15)),1,0)*$B$6+$B$8+IF(OR(MOD(N$19+$F21,$B$14)=0,AND($G21=1,N$19=$B$15)),1,0)*$B$9)*(1+$D21)^(N$19-1)</f>
        <v>3006247.199262</v>
      </c>
      <c r="O21" s="46" t="n">
        <f aca="false">(($B$4*$B21+$B$5)-IF(OR(MOD(O$19+$F21,$B$14)=0,AND($G21=1,O$19=$B$15)),1,0)*$B$5)*(1+$C21)^(O$19-1)*(1-$B$10)-($B$7-IF(OR(MOD(O$19+$F21,$B$14)=0,AND($G21=1,O$19=$B$15)),1,0)*$B$6+$B$8+IF(OR(MOD(O$19+$F21,$B$14)=0,AND($G21=1,O$19=$B$15)),1,0)*$B$9)*(1+$D21)^(O$19-1)</f>
        <v>3104351.80365112</v>
      </c>
      <c r="P21" s="46" t="n">
        <f aca="false">(($B$4*$B21+$B$5)-IF(OR(MOD(P$19+$F21,$B$14)=0,AND($G21=1,P$19=$B$15)),1,0)*$B$5)*(1+$C21)^(P$19-1)*(1-$B$10)-($B$7-IF(OR(MOD(P$19+$F21,$B$14)=0,AND($G21=1,P$19=$B$15)),1,0)*$B$6+$B$8+IF(OR(MOD(P$19+$F21,$B$14)=0,AND($G21=1,P$19=$B$15)),1,0)*$B$9)*(1+$D21)^(P$19-1)</f>
        <v>3205635.15713023</v>
      </c>
      <c r="Q21" s="46" t="n">
        <f aca="false">(($B$4*$B21+$B$5)-IF(OR(MOD(Q$19+$F21,$B$14)=0,AND($G21=1,Q$19=$B$15)),1,0)*$B$5)*(1+$C21)^(Q$19-1)*(1-$B$10)-($B$7-IF(OR(MOD(Q$19+$F21,$B$14)=0,AND($G21=1,Q$19=$B$15)),1,0)*$B$6+$B$8+IF(OR(MOD(Q$19+$F21,$B$14)=0,AND($G21=1,Q$19=$B$15)),1,0)*$B$9)*(1+$D21)^(Q$19-1)</f>
        <v>3310199.65109903</v>
      </c>
      <c r="R21" s="46" t="n">
        <f aca="false">($B$4*$B21+$B$5)*(1+$C21)^$B$15*(1-$B$10)-$B$7*(1+$D21)^$B$15</f>
        <v>3581272.54937693</v>
      </c>
      <c r="S21" s="46" t="n">
        <f aca="false">R21/$E21/(1+$B$12)*(1-$B$13)-IF($G21=1,0,MOD($F21+$B$15,$B$14)/$B$14*$B$9*(1+$D21)^$B$15)/(1+$B$12)</f>
        <v>53966717.8209557</v>
      </c>
      <c r="T21" s="46" t="n">
        <f aca="false">(NPV($B$11,H21:Q21)+S21/(1+$B$11)^$B$15)/(1+$B$12)</f>
        <v>40155288.3643148</v>
      </c>
      <c r="U21" s="46" t="n">
        <f aca="false">T21-$T$20</f>
        <v>-1573089.96153196</v>
      </c>
      <c r="V21" s="45" t="n">
        <f aca="false">T21/$T$20-1</f>
        <v>-0.0376983248485738</v>
      </c>
    </row>
    <row r="22" customFormat="false" ht="15" hidden="false" customHeight="false" outlineLevel="0" collapsed="false">
      <c r="A22" s="36" t="s">
        <v>576</v>
      </c>
      <c r="B22" s="44" t="n">
        <f aca="false">$B$20*(1+'3. Assumptions'!$B$76)</f>
        <v>0.9922</v>
      </c>
      <c r="C22" s="51" t="n">
        <f aca="false">$C$20</f>
        <v>0.031</v>
      </c>
      <c r="D22" s="51" t="n">
        <f aca="false">$D$20</f>
        <v>0.028</v>
      </c>
      <c r="E22" s="51" t="n">
        <f aca="false">$E$20</f>
        <v>0.0595</v>
      </c>
      <c r="F22" s="49" t="n">
        <f aca="false">$F$20</f>
        <v>3</v>
      </c>
      <c r="G22" s="49" t="n">
        <v>0</v>
      </c>
      <c r="H22" s="46" t="n">
        <f aca="false">(($B$4*$B22+$B$5)-IF(OR(MOD(H$19+$F22,$B$14)=0,AND($G22=1,H$19=$B$15)),1,0)*$B$5)*(1+$C22)^(H$19-1)*(1-$B$10)-($B$7-IF(OR(MOD(H$19+$F22,$B$14)=0,AND($G22=1,H$19=$B$15)),1,0)*$B$6+$B$8+IF(OR(MOD(H$19+$F22,$B$14)=0,AND($G22=1,H$19=$B$15)),1,0)*$B$9)*(1+$D22)^(H$19-1)</f>
        <v>2670690.36156064</v>
      </c>
      <c r="I22" s="46" t="n">
        <f aca="false">(($B$4*$B22+$B$5)-IF(OR(MOD(I$19+$F22,$B$14)=0,AND($G22=1,I$19=$B$15)),1,0)*$B$5)*(1+$C22)^(I$19-1)*(1-$B$10)-($B$7-IF(OR(MOD(I$19+$F22,$B$14)=0,AND($G22=1,I$19=$B$15)),1,0)*$B$6+$B$8+IF(OR(MOD(I$19+$F22,$B$14)=0,AND($G22=1,I$19=$B$15)),1,0)*$B$9)*(1+$D22)^(I$19-1)</f>
        <v>2757642.84259485</v>
      </c>
      <c r="J22" s="46" t="n">
        <f aca="false">(($B$4*$B22+$B$5)-IF(OR(MOD(J$19+$F22,$B$14)=0,AND($G22=1,J$19=$B$15)),1,0)*$B$5)*(1+$C22)^(J$19-1)*(1-$B$10)-($B$7-IF(OR(MOD(J$19+$F22,$B$14)=0,AND($G22=1,J$19=$B$15)),1,0)*$B$6+$B$8+IF(OR(MOD(J$19+$F22,$B$14)=0,AND($G22=1,J$19=$B$15)),1,0)*$B$9)*(1+$D22)^(J$19-1)</f>
        <v>2847407.36077625</v>
      </c>
      <c r="K22" s="46" t="n">
        <f aca="false">(($B$4*$B22+$B$5)-IF(OR(MOD(K$19+$F22,$B$14)=0,AND($G22=1,K$19=$B$15)),1,0)*$B$5)*(1+$C22)^(K$19-1)*(1-$B$10)-($B$7-IF(OR(MOD(K$19+$F22,$B$14)=0,AND($G22=1,K$19=$B$15)),1,0)*$B$6+$B$8+IF(OR(MOD(K$19+$F22,$B$14)=0,AND($G22=1,K$19=$B$15)),1,0)*$B$9)*(1+$D22)^(K$19-1)</f>
        <v>1000048.56462501</v>
      </c>
      <c r="L22" s="46" t="n">
        <f aca="false">(($B$4*$B22+$B$5)-IF(OR(MOD(L$19+$F22,$B$14)=0,AND($G22=1,L$19=$B$15)),1,0)*$B$5)*(1+$C22)^(L$19-1)*(1-$B$10)-($B$7-IF(OR(MOD(L$19+$F22,$B$14)=0,AND($G22=1,L$19=$B$15)),1,0)*$B$6+$B$8+IF(OR(MOD(L$19+$F22,$B$14)=0,AND($G22=1,L$19=$B$15)),1,0)*$B$9)*(1+$D22)^(L$19-1)</f>
        <v>3035737.14517579</v>
      </c>
      <c r="M22" s="46" t="n">
        <f aca="false">(($B$4*$B22+$B$5)-IF(OR(MOD(M$19+$F22,$B$14)=0,AND($G22=1,M$19=$B$15)),1,0)*$B$5)*(1+$C22)^(M$19-1)*(1-$B$10)-($B$7-IF(OR(MOD(M$19+$F22,$B$14)=0,AND($G22=1,M$19=$B$15)),1,0)*$B$6+$B$8+IF(OR(MOD(M$19+$F22,$B$14)=0,AND($G22=1,M$19=$B$15)),1,0)*$B$9)*(1+$D22)^(M$19-1)</f>
        <v>3134492.05909579</v>
      </c>
      <c r="N22" s="46" t="n">
        <f aca="false">(($B$4*$B22+$B$5)-IF(OR(MOD(N$19+$F22,$B$14)=0,AND($G22=1,N$19=$B$15)),1,0)*$B$5)*(1+$C22)^(N$19-1)*(1-$B$10)-($B$7-IF(OR(MOD(N$19+$F22,$B$14)=0,AND($G22=1,N$19=$B$15)),1,0)*$B$6+$B$8+IF(OR(MOD(N$19+$F22,$B$14)=0,AND($G22=1,N$19=$B$15)),1,0)*$B$9)*(1+$D22)^(N$19-1)</f>
        <v>3236438.49309507</v>
      </c>
      <c r="O22" s="46" t="n">
        <f aca="false">(($B$4*$B22+$B$5)-IF(OR(MOD(O$19+$F22,$B$14)=0,AND($G22=1,O$19=$B$15)),1,0)*$B$5)*(1+$C22)^(O$19-1)*(1-$B$10)-($B$7-IF(OR(MOD(O$19+$F22,$B$14)=0,AND($G22=1,O$19=$B$15)),1,0)*$B$6+$B$8+IF(OR(MOD(O$19+$F22,$B$14)=0,AND($G22=1,O$19=$B$15)),1,0)*$B$9)*(1+$D22)^(O$19-1)</f>
        <v>3341679.02759301</v>
      </c>
      <c r="P22" s="46" t="n">
        <f aca="false">(($B$4*$B22+$B$5)-IF(OR(MOD(P$19+$F22,$B$14)=0,AND($G22=1,P$19=$B$15)),1,0)*$B$5)*(1+$C22)^(P$19-1)*(1-$B$10)-($B$7-IF(OR(MOD(P$19+$F22,$B$14)=0,AND($G22=1,P$19=$B$15)),1,0)*$B$6+$B$8+IF(OR(MOD(P$19+$F22,$B$14)=0,AND($G22=1,P$19=$B$15)),1,0)*$B$9)*(1+$D22)^(P$19-1)</f>
        <v>3450319.52501432</v>
      </c>
      <c r="Q22" s="46" t="n">
        <f aca="false">(($B$4*$B22+$B$5)-IF(OR(MOD(Q$19+$F22,$B$14)=0,AND($G22=1,Q$19=$B$15)),1,0)*$B$5)*(1+$C22)^(Q$19-1)*(1-$B$10)-($B$7-IF(OR(MOD(Q$19+$F22,$B$14)=0,AND($G22=1,Q$19=$B$15)),1,0)*$B$6+$B$8+IF(OR(MOD(Q$19+$F22,$B$14)=0,AND($G22=1,Q$19=$B$15)),1,0)*$B$9)*(1+$D22)^(Q$19-1)</f>
        <v>3562469.23438753</v>
      </c>
      <c r="R22" s="46" t="n">
        <f aca="false">($B$4*$B22+$B$5)*(1+$C22)^$B$15*(1-$B$10)-$B$7*(1+$D22)^$B$15</f>
        <v>3841362.48974737</v>
      </c>
      <c r="S22" s="46" t="n">
        <f aca="false">R22/$E22/(1+$B$12)*(1-$B$13)-IF($G22=1,0,MOD($F22+$B$15,$B$14)/$B$14*$B$9*(1+$D22)^$B$15)/(1+$B$12)</f>
        <v>58018129.0667343</v>
      </c>
      <c r="T22" s="46" t="n">
        <f aca="false">(NPV($B$11,H22:Q22)+S22/(1+$B$11)^$B$15)/(1+$B$12)</f>
        <v>43301468.2873788</v>
      </c>
      <c r="U22" s="46" t="n">
        <f aca="false">T22-$T$20</f>
        <v>1573089.96153198</v>
      </c>
      <c r="V22" s="45" t="n">
        <f aca="false">T22/$T$20-1</f>
        <v>0.0376983248485743</v>
      </c>
    </row>
    <row r="23" customFormat="false" ht="15" hidden="false" customHeight="false" outlineLevel="0" collapsed="false">
      <c r="A23" s="36" t="s">
        <v>577</v>
      </c>
      <c r="B23" s="44" t="n">
        <f aca="false">$B$20</f>
        <v>0.968</v>
      </c>
      <c r="C23" s="51" t="n">
        <f aca="false">$C$20</f>
        <v>0.031</v>
      </c>
      <c r="D23" s="51" t="n">
        <f aca="false">$D$20</f>
        <v>0.028</v>
      </c>
      <c r="E23" s="51" t="n">
        <f aca="false">$E$20*(1-'3. Assumptions'!$B$76)</f>
        <v>0.0580125</v>
      </c>
      <c r="F23" s="49" t="n">
        <f aca="false">$F$20</f>
        <v>3</v>
      </c>
      <c r="G23" s="49" t="n">
        <v>0</v>
      </c>
      <c r="H23" s="46" t="n">
        <f aca="false">(($B$4*$B23+$B$5)-IF(OR(MOD(H$19+$F23,$B$14)=0,AND($G23=1,H$19=$B$15)),1,0)*$B$5)*(1+$C23)^(H$19-1)*(1-$B$10)-($B$7-IF(OR(MOD(H$19+$F23,$B$14)=0,AND($G23=1,H$19=$B$15)),1,0)*$B$6+$B$8+IF(OR(MOD(H$19+$F23,$B$14)=0,AND($G23=1,H$19=$B$15)),1,0)*$B$9)*(1+$D23)^(H$19-1)</f>
        <v>2574859.16593639</v>
      </c>
      <c r="I23" s="46" t="n">
        <f aca="false">(($B$4*$B23+$B$5)-IF(OR(MOD(I$19+$F23,$B$14)=0,AND($G23=1,I$19=$B$15)),1,0)*$B$5)*(1+$C23)^(I$19-1)*(1-$B$10)-($B$7-IF(OR(MOD(I$19+$F23,$B$14)=0,AND($G23=1,I$19=$B$15)),1,0)*$B$6+$B$8+IF(OR(MOD(I$19+$F23,$B$14)=0,AND($G23=1,I$19=$B$15)),1,0)*$B$9)*(1+$D23)^(I$19-1)</f>
        <v>2658840.87990625</v>
      </c>
      <c r="J23" s="46" t="n">
        <f aca="false">(($B$4*$B23+$B$5)-IF(OR(MOD(J$19+$F23,$B$14)=0,AND($G23=1,J$19=$B$15)),1,0)*$B$5)*(1+$C23)^(J$19-1)*(1-$B$10)-($B$7-IF(OR(MOD(J$19+$F23,$B$14)=0,AND($G23=1,J$19=$B$15)),1,0)*$B$6+$B$8+IF(OR(MOD(J$19+$F23,$B$14)=0,AND($G23=1,J$19=$B$15)),1,0)*$B$9)*(1+$D23)^(J$19-1)</f>
        <v>2745542.5372443</v>
      </c>
      <c r="K23" s="46" t="n">
        <f aca="false">(($B$4*$B23+$B$5)-IF(OR(MOD(K$19+$F23,$B$14)=0,AND($G23=1,K$19=$B$15)),1,0)*$B$5)*(1+$C23)^(K$19-1)*(1-$B$10)-($B$7-IF(OR(MOD(K$19+$F23,$B$14)=0,AND($G23=1,K$19=$B$15)),1,0)*$B$6+$B$8+IF(OR(MOD(K$19+$F23,$B$14)=0,AND($G23=1,K$19=$B$15)),1,0)*$B$9)*(1+$D23)^(K$19-1)</f>
        <v>895025.931563568</v>
      </c>
      <c r="L23" s="46" t="n">
        <f aca="false">(($B$4*$B23+$B$5)-IF(OR(MOD(L$19+$F23,$B$14)=0,AND($G23=1,L$19=$B$15)),1,0)*$B$5)*(1+$C23)^(L$19-1)*(1-$B$10)-($B$7-IF(OR(MOD(L$19+$F23,$B$14)=0,AND($G23=1,L$19=$B$15)),1,0)*$B$6+$B$8+IF(OR(MOD(L$19+$F23,$B$14)=0,AND($G23=1,L$19=$B$15)),1,0)*$B$9)*(1+$D23)^(L$19-1)</f>
        <v>2927458.81048944</v>
      </c>
      <c r="M23" s="46" t="n">
        <f aca="false">(($B$4*$B23+$B$5)-IF(OR(MOD(M$19+$F23,$B$14)=0,AND($G23=1,M$19=$B$15)),1,0)*$B$5)*(1+$C23)^(M$19-1)*(1-$B$10)-($B$7-IF(OR(MOD(M$19+$F23,$B$14)=0,AND($G23=1,M$19=$B$15)),1,0)*$B$6+$B$8+IF(OR(MOD(M$19+$F23,$B$14)=0,AND($G23=1,M$19=$B$15)),1,0)*$B$9)*(1+$D23)^(M$19-1)</f>
        <v>3022857.09603417</v>
      </c>
      <c r="N23" s="46" t="n">
        <f aca="false">(($B$4*$B23+$B$5)-IF(OR(MOD(N$19+$F23,$B$14)=0,AND($G23=1,N$19=$B$15)),1,0)*$B$5)*(1+$C23)^(N$19-1)*(1-$B$10)-($B$7-IF(OR(MOD(N$19+$F23,$B$14)=0,AND($G23=1,N$19=$B$15)),1,0)*$B$6+$B$8+IF(OR(MOD(N$19+$F23,$B$14)=0,AND($G23=1,N$19=$B$15)),1,0)*$B$9)*(1+$D23)^(N$19-1)</f>
        <v>3121342.84617854</v>
      </c>
      <c r="O23" s="46" t="n">
        <f aca="false">(($B$4*$B23+$B$5)-IF(OR(MOD(O$19+$F23,$B$14)=0,AND($G23=1,O$19=$B$15)),1,0)*$B$5)*(1+$C23)^(O$19-1)*(1-$B$10)-($B$7-IF(OR(MOD(O$19+$F23,$B$14)=0,AND($G23=1,O$19=$B$15)),1,0)*$B$6+$B$8+IF(OR(MOD(O$19+$F23,$B$14)=0,AND($G23=1,O$19=$B$15)),1,0)*$B$9)*(1+$D23)^(O$19-1)</f>
        <v>3223015.41562206</v>
      </c>
      <c r="P23" s="46" t="n">
        <f aca="false">(($B$4*$B23+$B$5)-IF(OR(MOD(P$19+$F23,$B$14)=0,AND($G23=1,P$19=$B$15)),1,0)*$B$5)*(1+$C23)^(P$19-1)*(1-$B$10)-($B$7-IF(OR(MOD(P$19+$F23,$B$14)=0,AND($G23=1,P$19=$B$15)),1,0)*$B$6+$B$8+IF(OR(MOD(P$19+$F23,$B$14)=0,AND($G23=1,P$19=$B$15)),1,0)*$B$9)*(1+$D23)^(P$19-1)</f>
        <v>3327977.34107227</v>
      </c>
      <c r="Q23" s="46" t="n">
        <f aca="false">(($B$4*$B23+$B$5)-IF(OR(MOD(Q$19+$F23,$B$14)=0,AND($G23=1,Q$19=$B$15)),1,0)*$B$5)*(1+$C23)^(Q$19-1)*(1-$B$10)-($B$7-IF(OR(MOD(Q$19+$F23,$B$14)=0,AND($G23=1,Q$19=$B$15)),1,0)*$B$6+$B$8+IF(OR(MOD(Q$19+$F23,$B$14)=0,AND($G23=1,Q$19=$B$15)),1,0)*$B$9)*(1+$D23)^(Q$19-1)</f>
        <v>3436334.44274328</v>
      </c>
      <c r="R23" s="46" t="n">
        <f aca="false">($B$4*$B23+$B$5)*(1+$C23)^$B$15*(1-$B$10)-$B$7*(1+$D23)^$B$15</f>
        <v>3711317.51956215</v>
      </c>
      <c r="S23" s="46" t="n">
        <f aca="false">R23/$E23/(1+$B$12)*(1-$B$13)-IF($G23=1,0,MOD($F23+$B$15,$B$14)/$B$14*$B$9*(1+$D23)^$B$15)/(1+$B$12)</f>
        <v>57474758.1566472</v>
      </c>
      <c r="T23" s="46" t="n">
        <f aca="false">(NPV($B$11,H23:Q23)+S23/(1+$B$11)^$B$15)/(1+$B$12)</f>
        <v>42378470.0350018</v>
      </c>
      <c r="U23" s="46" t="n">
        <f aca="false">T23-$T$20</f>
        <v>650091.709154986</v>
      </c>
      <c r="V23" s="45" t="n">
        <f aca="false">T23/$T$20-1</f>
        <v>0.01557912708897</v>
      </c>
    </row>
    <row r="24" customFormat="false" ht="15" hidden="false" customHeight="false" outlineLevel="0" collapsed="false">
      <c r="A24" s="36" t="s">
        <v>578</v>
      </c>
      <c r="B24" s="44" t="n">
        <f aca="false">$B$20</f>
        <v>0.968</v>
      </c>
      <c r="C24" s="51" t="n">
        <f aca="false">$C$20</f>
        <v>0.031</v>
      </c>
      <c r="D24" s="51" t="n">
        <f aca="false">$D$20</f>
        <v>0.028</v>
      </c>
      <c r="E24" s="51" t="n">
        <f aca="false">$E$20*(1+'3. Assumptions'!$B$76)</f>
        <v>0.0609875</v>
      </c>
      <c r="F24" s="49" t="n">
        <f aca="false">$F$20</f>
        <v>3</v>
      </c>
      <c r="G24" s="49" t="n">
        <v>0</v>
      </c>
      <c r="H24" s="46" t="n">
        <f aca="false">(($B$4*$B24+$B$5)-IF(OR(MOD(H$19+$F24,$B$14)=0,AND($G24=1,H$19=$B$15)),1,0)*$B$5)*(1+$C24)^(H$19-1)*(1-$B$10)-($B$7-IF(OR(MOD(H$19+$F24,$B$14)=0,AND($G24=1,H$19=$B$15)),1,0)*$B$6+$B$8+IF(OR(MOD(H$19+$F24,$B$14)=0,AND($G24=1,H$19=$B$15)),1,0)*$B$9)*(1+$D24)^(H$19-1)</f>
        <v>2574859.16593639</v>
      </c>
      <c r="I24" s="46" t="n">
        <f aca="false">(($B$4*$B24+$B$5)-IF(OR(MOD(I$19+$F24,$B$14)=0,AND($G24=1,I$19=$B$15)),1,0)*$B$5)*(1+$C24)^(I$19-1)*(1-$B$10)-($B$7-IF(OR(MOD(I$19+$F24,$B$14)=0,AND($G24=1,I$19=$B$15)),1,0)*$B$6+$B$8+IF(OR(MOD(I$19+$F24,$B$14)=0,AND($G24=1,I$19=$B$15)),1,0)*$B$9)*(1+$D24)^(I$19-1)</f>
        <v>2658840.87990625</v>
      </c>
      <c r="J24" s="46" t="n">
        <f aca="false">(($B$4*$B24+$B$5)-IF(OR(MOD(J$19+$F24,$B$14)=0,AND($G24=1,J$19=$B$15)),1,0)*$B$5)*(1+$C24)^(J$19-1)*(1-$B$10)-($B$7-IF(OR(MOD(J$19+$F24,$B$14)=0,AND($G24=1,J$19=$B$15)),1,0)*$B$6+$B$8+IF(OR(MOD(J$19+$F24,$B$14)=0,AND($G24=1,J$19=$B$15)),1,0)*$B$9)*(1+$D24)^(J$19-1)</f>
        <v>2745542.5372443</v>
      </c>
      <c r="K24" s="46" t="n">
        <f aca="false">(($B$4*$B24+$B$5)-IF(OR(MOD(K$19+$F24,$B$14)=0,AND($G24=1,K$19=$B$15)),1,0)*$B$5)*(1+$C24)^(K$19-1)*(1-$B$10)-($B$7-IF(OR(MOD(K$19+$F24,$B$14)=0,AND($G24=1,K$19=$B$15)),1,0)*$B$6+$B$8+IF(OR(MOD(K$19+$F24,$B$14)=0,AND($G24=1,K$19=$B$15)),1,0)*$B$9)*(1+$D24)^(K$19-1)</f>
        <v>895025.931563568</v>
      </c>
      <c r="L24" s="46" t="n">
        <f aca="false">(($B$4*$B24+$B$5)-IF(OR(MOD(L$19+$F24,$B$14)=0,AND($G24=1,L$19=$B$15)),1,0)*$B$5)*(1+$C24)^(L$19-1)*(1-$B$10)-($B$7-IF(OR(MOD(L$19+$F24,$B$14)=0,AND($G24=1,L$19=$B$15)),1,0)*$B$6+$B$8+IF(OR(MOD(L$19+$F24,$B$14)=0,AND($G24=1,L$19=$B$15)),1,0)*$B$9)*(1+$D24)^(L$19-1)</f>
        <v>2927458.81048944</v>
      </c>
      <c r="M24" s="46" t="n">
        <f aca="false">(($B$4*$B24+$B$5)-IF(OR(MOD(M$19+$F24,$B$14)=0,AND($G24=1,M$19=$B$15)),1,0)*$B$5)*(1+$C24)^(M$19-1)*(1-$B$10)-($B$7-IF(OR(MOD(M$19+$F24,$B$14)=0,AND($G24=1,M$19=$B$15)),1,0)*$B$6+$B$8+IF(OR(MOD(M$19+$F24,$B$14)=0,AND($G24=1,M$19=$B$15)),1,0)*$B$9)*(1+$D24)^(M$19-1)</f>
        <v>3022857.09603417</v>
      </c>
      <c r="N24" s="46" t="n">
        <f aca="false">(($B$4*$B24+$B$5)-IF(OR(MOD(N$19+$F24,$B$14)=0,AND($G24=1,N$19=$B$15)),1,0)*$B$5)*(1+$C24)^(N$19-1)*(1-$B$10)-($B$7-IF(OR(MOD(N$19+$F24,$B$14)=0,AND($G24=1,N$19=$B$15)),1,0)*$B$6+$B$8+IF(OR(MOD(N$19+$F24,$B$14)=0,AND($G24=1,N$19=$B$15)),1,0)*$B$9)*(1+$D24)^(N$19-1)</f>
        <v>3121342.84617854</v>
      </c>
      <c r="O24" s="46" t="n">
        <f aca="false">(($B$4*$B24+$B$5)-IF(OR(MOD(O$19+$F24,$B$14)=0,AND($G24=1,O$19=$B$15)),1,0)*$B$5)*(1+$C24)^(O$19-1)*(1-$B$10)-($B$7-IF(OR(MOD(O$19+$F24,$B$14)=0,AND($G24=1,O$19=$B$15)),1,0)*$B$6+$B$8+IF(OR(MOD(O$19+$F24,$B$14)=0,AND($G24=1,O$19=$B$15)),1,0)*$B$9)*(1+$D24)^(O$19-1)</f>
        <v>3223015.41562206</v>
      </c>
      <c r="P24" s="46" t="n">
        <f aca="false">(($B$4*$B24+$B$5)-IF(OR(MOD(P$19+$F24,$B$14)=0,AND($G24=1,P$19=$B$15)),1,0)*$B$5)*(1+$C24)^(P$19-1)*(1-$B$10)-($B$7-IF(OR(MOD(P$19+$F24,$B$14)=0,AND($G24=1,P$19=$B$15)),1,0)*$B$6+$B$8+IF(OR(MOD(P$19+$F24,$B$14)=0,AND($G24=1,P$19=$B$15)),1,0)*$B$9)*(1+$D24)^(P$19-1)</f>
        <v>3327977.34107227</v>
      </c>
      <c r="Q24" s="46" t="n">
        <f aca="false">(($B$4*$B24+$B$5)-IF(OR(MOD(Q$19+$F24,$B$14)=0,AND($G24=1,Q$19=$B$15)),1,0)*$B$5)*(1+$C24)^(Q$19-1)*(1-$B$10)-($B$7-IF(OR(MOD(Q$19+$F24,$B$14)=0,AND($G24=1,Q$19=$B$15)),1,0)*$B$6+$B$8+IF(OR(MOD(Q$19+$F24,$B$14)=0,AND($G24=1,Q$19=$B$15)),1,0)*$B$9)*(1+$D24)^(Q$19-1)</f>
        <v>3436334.44274328</v>
      </c>
      <c r="R24" s="46" t="n">
        <f aca="false">($B$4*$B24+$B$5)*(1+$C24)^$B$15*(1-$B$10)-$B$7*(1+$D24)^$B$15</f>
        <v>3711317.51956215</v>
      </c>
      <c r="S24" s="46" t="n">
        <f aca="false">R24/$E24/(1+$B$12)*(1-$B$13)-IF($G24=1,0,MOD($F24+$B$15,$B$14)/$B$14*$B$9*(1+$D24)^$B$15)/(1+$B$12)</f>
        <v>54582397.7414234</v>
      </c>
      <c r="T24" s="46" t="n">
        <f aca="false">(NPV($B$11,H24:Q24)+S24/(1+$B$11)^$B$15)/(1+$B$12)</f>
        <v>41109998.4073823</v>
      </c>
      <c r="U24" s="46" t="n">
        <f aca="false">T24-$T$20</f>
        <v>-618379.918464474</v>
      </c>
      <c r="V24" s="45" t="n">
        <f aca="false">T24/$T$20-1</f>
        <v>-0.0148191696699952</v>
      </c>
    </row>
    <row r="25" customFormat="false" ht="15" hidden="false" customHeight="false" outlineLevel="0" collapsed="false">
      <c r="A25" s="36" t="s">
        <v>579</v>
      </c>
      <c r="B25" s="44" t="n">
        <f aca="false">$B$20</f>
        <v>0.968</v>
      </c>
      <c r="C25" s="51" t="n">
        <f aca="false">$C$20*(1-'3. Assumptions'!$B$76)</f>
        <v>0.030225</v>
      </c>
      <c r="D25" s="51" t="n">
        <f aca="false">$D$20</f>
        <v>0.028</v>
      </c>
      <c r="E25" s="51" t="n">
        <f aca="false">$E$20</f>
        <v>0.0595</v>
      </c>
      <c r="F25" s="49" t="n">
        <f aca="false">$F$20</f>
        <v>3</v>
      </c>
      <c r="G25" s="49" t="n">
        <v>0</v>
      </c>
      <c r="H25" s="46" t="n">
        <f aca="false">(($B$4*$B25+$B$5)-IF(OR(MOD(H$19+$F25,$B$14)=0,AND($G25=1,H$19=$B$15)),1,0)*$B$5)*(1+$C25)^(H$19-1)*(1-$B$10)-($B$7-IF(OR(MOD(H$19+$F25,$B$14)=0,AND($G25=1,H$19=$B$15)),1,0)*$B$6+$B$8+IF(OR(MOD(H$19+$F25,$B$14)=0,AND($G25=1,H$19=$B$15)),1,0)*$B$9)*(1+$D25)^(H$19-1)</f>
        <v>2574859.16593639</v>
      </c>
      <c r="I25" s="46" t="n">
        <f aca="false">(($B$4*$B25+$B$5)-IF(OR(MOD(I$19+$F25,$B$14)=0,AND($G25=1,I$19=$B$15)),1,0)*$B$5)*(1+$C25)^(I$19-1)*(1-$B$10)-($B$7-IF(OR(MOD(I$19+$F25,$B$14)=0,AND($G25=1,I$19=$B$15)),1,0)*$B$6+$B$8+IF(OR(MOD(I$19+$F25,$B$14)=0,AND($G25=1,I$19=$B$15)),1,0)*$B$9)*(1+$D25)^(I$19-1)</f>
        <v>2655770.41843097</v>
      </c>
      <c r="J25" s="46" t="n">
        <f aca="false">(($B$4*$B25+$B$5)-IF(OR(MOD(J$19+$F25,$B$14)=0,AND($G25=1,J$19=$B$15)),1,0)*$B$5)*(1+$C25)^(J$19-1)*(1-$B$10)-($B$7-IF(OR(MOD(J$19+$F25,$B$14)=0,AND($G25=1,J$19=$B$15)),1,0)*$B$6+$B$8+IF(OR(MOD(J$19+$F25,$B$14)=0,AND($G25=1,J$19=$B$15)),1,0)*$B$9)*(1+$D25)^(J$19-1)</f>
        <v>2739213.62528993</v>
      </c>
      <c r="K25" s="46" t="n">
        <f aca="false">(($B$4*$B25+$B$5)-IF(OR(MOD(K$19+$F25,$B$14)=0,AND($G25=1,K$19=$B$15)),1,0)*$B$5)*(1+$C25)^(K$19-1)*(1-$B$10)-($B$7-IF(OR(MOD(K$19+$F25,$B$14)=0,AND($G25=1,K$19=$B$15)),1,0)*$B$6+$B$8+IF(OR(MOD(K$19+$F25,$B$14)=0,AND($G25=1,K$19=$B$15)),1,0)*$B$9)*(1+$D25)^(K$19-1)</f>
        <v>885559.62234224</v>
      </c>
      <c r="L25" s="46" t="n">
        <f aca="false">(($B$4*$B25+$B$5)-IF(OR(MOD(L$19+$F25,$B$14)=0,AND($G25=1,L$19=$B$15)),1,0)*$B$5)*(1+$C25)^(L$19-1)*(1-$B$10)-($B$7-IF(OR(MOD(L$19+$F25,$B$14)=0,AND($G25=1,L$19=$B$15)),1,0)*$B$6+$B$8+IF(OR(MOD(L$19+$F25,$B$14)=0,AND($G25=1,L$19=$B$15)),1,0)*$B$9)*(1+$D25)^(L$19-1)</f>
        <v>2914014.14744602</v>
      </c>
      <c r="M25" s="46" t="n">
        <f aca="false">(($B$4*$B25+$B$5)-IF(OR(MOD(M$19+$F25,$B$14)=0,AND($G25=1,M$19=$B$15)),1,0)*$B$5)*(1+$C25)^(M$19-1)*(1-$B$10)-($B$7-IF(OR(MOD(M$19+$F25,$B$14)=0,AND($G25=1,M$19=$B$15)),1,0)*$B$6+$B$8+IF(OR(MOD(M$19+$F25,$B$14)=0,AND($G25=1,M$19=$B$15)),1,0)*$B$9)*(1+$D25)^(M$19-1)</f>
        <v>3005536.79634709</v>
      </c>
      <c r="N25" s="46" t="n">
        <f aca="false">(($B$4*$B25+$B$5)-IF(OR(MOD(N$19+$F25,$B$14)=0,AND($G25=1,N$19=$B$15)),1,0)*$B$5)*(1+$C25)^(N$19-1)*(1-$B$10)-($B$7-IF(OR(MOD(N$19+$F25,$B$14)=0,AND($G25=1,N$19=$B$15)),1,0)*$B$6+$B$8+IF(OR(MOD(N$19+$F25,$B$14)=0,AND($G25=1,N$19=$B$15)),1,0)*$B$9)*(1+$D25)^(N$19-1)</f>
        <v>3099922.22130743</v>
      </c>
      <c r="O25" s="46" t="n">
        <f aca="false">(($B$4*$B25+$B$5)-IF(OR(MOD(O$19+$F25,$B$14)=0,AND($G25=1,O$19=$B$15)),1,0)*$B$5)*(1+$C25)^(O$19-1)*(1-$B$10)-($B$7-IF(OR(MOD(O$19+$F25,$B$14)=0,AND($G25=1,O$19=$B$15)),1,0)*$B$6+$B$8+IF(OR(MOD(O$19+$F25,$B$14)=0,AND($G25=1,O$19=$B$15)),1,0)*$B$9)*(1+$D25)^(O$19-1)</f>
        <v>3197259.65184534</v>
      </c>
      <c r="P25" s="46" t="n">
        <f aca="false">(($B$4*$B25+$B$5)-IF(OR(MOD(P$19+$F25,$B$14)=0,AND($G25=1,P$19=$B$15)),1,0)*$B$5)*(1+$C25)^(P$19-1)*(1-$B$10)-($B$7-IF(OR(MOD(P$19+$F25,$B$14)=0,AND($G25=1,P$19=$B$15)),1,0)*$B$6+$B$8+IF(OR(MOD(P$19+$F25,$B$14)=0,AND($G25=1,P$19=$B$15)),1,0)*$B$9)*(1+$D25)^(P$19-1)</f>
        <v>3297641.09010042</v>
      </c>
      <c r="Q25" s="46" t="n">
        <f aca="false">(($B$4*$B25+$B$5)-IF(OR(MOD(Q$19+$F25,$B$14)=0,AND($G25=1,Q$19=$B$15)),1,0)*$B$5)*(1+$C25)^(Q$19-1)*(1-$B$10)-($B$7-IF(OR(MOD(Q$19+$F25,$B$14)=0,AND($G25=1,Q$19=$B$15)),1,0)*$B$6+$B$8+IF(OR(MOD(Q$19+$F25,$B$14)=0,AND($G25=1,Q$19=$B$15)),1,0)*$B$9)*(1+$D25)^(Q$19-1)</f>
        <v>3401161.39675456</v>
      </c>
      <c r="R25" s="46" t="n">
        <f aca="false">($B$4*$B25+$B$5)*(1+$C25)^$B$15*(1-$B$10)-$B$7*(1+$D25)^$B$15</f>
        <v>3671039.97009039</v>
      </c>
      <c r="S25" s="46" t="n">
        <f aca="false">R25/$E25/(1+$B$12)*(1-$B$13)-IF($G25=1,0,MOD($F25+$B$15,$B$14)/$B$14*$B$9*(1+$D25)^$B$15)/(1+$B$12)</f>
        <v>55365021.5664411</v>
      </c>
      <c r="T25" s="46" t="n">
        <f aca="false">(NPV($B$11,H25:Q25)+S25/(1+$B$11)^$B$15)/(1+$B$12)</f>
        <v>41365821.6799245</v>
      </c>
      <c r="U25" s="46" t="n">
        <f aca="false">T25-$T$20</f>
        <v>-362556.645922296</v>
      </c>
      <c r="V25" s="45" t="n">
        <f aca="false">T25/$T$20-1</f>
        <v>-0.00868849115321901</v>
      </c>
    </row>
    <row r="26" customFormat="false" ht="15" hidden="false" customHeight="false" outlineLevel="0" collapsed="false">
      <c r="A26" s="36" t="s">
        <v>580</v>
      </c>
      <c r="B26" s="44" t="n">
        <f aca="false">$B$20</f>
        <v>0.968</v>
      </c>
      <c r="C26" s="51" t="n">
        <f aca="false">$C$20*(1+'3. Assumptions'!$B$76)</f>
        <v>0.031775</v>
      </c>
      <c r="D26" s="51" t="n">
        <f aca="false">$D$20</f>
        <v>0.028</v>
      </c>
      <c r="E26" s="51" t="n">
        <f aca="false">$E$20</f>
        <v>0.0595</v>
      </c>
      <c r="F26" s="49" t="n">
        <f aca="false">$F$20</f>
        <v>3</v>
      </c>
      <c r="G26" s="49" t="n">
        <v>0</v>
      </c>
      <c r="H26" s="46" t="n">
        <f aca="false">(($B$4*$B26+$B$5)-IF(OR(MOD(H$19+$F26,$B$14)=0,AND($G26=1,H$19=$B$15)),1,0)*$B$5)*(1+$C26)^(H$19-1)*(1-$B$10)-($B$7-IF(OR(MOD(H$19+$F26,$B$14)=0,AND($G26=1,H$19=$B$15)),1,0)*$B$6+$B$8+IF(OR(MOD(H$19+$F26,$B$14)=0,AND($G26=1,H$19=$B$15)),1,0)*$B$9)*(1+$D26)^(H$19-1)</f>
        <v>2574859.16593639</v>
      </c>
      <c r="I26" s="46" t="n">
        <f aca="false">(($B$4*$B26+$B$5)-IF(OR(MOD(I$19+$F26,$B$14)=0,AND($G26=1,I$19=$B$15)),1,0)*$B$5)*(1+$C26)^(I$19-1)*(1-$B$10)-($B$7-IF(OR(MOD(I$19+$F26,$B$14)=0,AND($G26=1,I$19=$B$15)),1,0)*$B$6+$B$8+IF(OR(MOD(I$19+$F26,$B$14)=0,AND($G26=1,I$19=$B$15)),1,0)*$B$9)*(1+$D26)^(I$19-1)</f>
        <v>2661911.34138152</v>
      </c>
      <c r="J26" s="46" t="n">
        <f aca="false">(($B$4*$B26+$B$5)-IF(OR(MOD(J$19+$F26,$B$14)=0,AND($G26=1,J$19=$B$15)),1,0)*$B$5)*(1+$C26)^(J$19-1)*(1-$B$10)-($B$7-IF(OR(MOD(J$19+$F26,$B$14)=0,AND($G26=1,J$19=$B$15)),1,0)*$B$6+$B$8+IF(OR(MOD(J$19+$F26,$B$14)=0,AND($G26=1,J$19=$B$15)),1,0)*$B$9)*(1+$D26)^(J$19-1)</f>
        <v>2751876.20841396</v>
      </c>
      <c r="K26" s="46" t="n">
        <f aca="false">(($B$4*$B26+$B$5)-IF(OR(MOD(K$19+$F26,$B$14)=0,AND($G26=1,K$19=$B$15)),1,0)*$B$5)*(1+$C26)^(K$19-1)*(1-$B$10)-($B$7-IF(OR(MOD(K$19+$F26,$B$14)=0,AND($G26=1,K$19=$B$15)),1,0)*$B$6+$B$8+IF(OR(MOD(K$19+$F26,$B$14)=0,AND($G26=1,K$19=$B$15)),1,0)*$B$9)*(1+$D26)^(K$19-1)</f>
        <v>904506.48308782</v>
      </c>
      <c r="L26" s="46" t="n">
        <f aca="false">(($B$4*$B26+$B$5)-IF(OR(MOD(L$19+$F26,$B$14)=0,AND($G26=1,L$19=$B$15)),1,0)*$B$5)*(1+$C26)^(L$19-1)*(1-$B$10)-($B$7-IF(OR(MOD(L$19+$F26,$B$14)=0,AND($G26=1,L$19=$B$15)),1,0)*$B$6+$B$8+IF(OR(MOD(L$19+$F26,$B$14)=0,AND($G26=1,L$19=$B$15)),1,0)*$B$9)*(1+$D26)^(L$19-1)</f>
        <v>2940933.82669716</v>
      </c>
      <c r="M26" s="46" t="n">
        <f aca="false">(($B$4*$B26+$B$5)-IF(OR(MOD(M$19+$F26,$B$14)=0,AND($G26=1,M$19=$B$15)),1,0)*$B$5)*(1+$C26)^(M$19-1)*(1-$B$10)-($B$7-IF(OR(MOD(M$19+$F26,$B$14)=0,AND($G26=1,M$19=$B$15)),1,0)*$B$6+$B$8+IF(OR(MOD(M$19+$F26,$B$14)=0,AND($G26=1,M$19=$B$15)),1,0)*$B$9)*(1+$D26)^(M$19-1)</f>
        <v>3040229.55258508</v>
      </c>
      <c r="N26" s="46" t="n">
        <f aca="false">(($B$4*$B26+$B$5)-IF(OR(MOD(N$19+$F26,$B$14)=0,AND($G26=1,N$19=$B$15)),1,0)*$B$5)*(1+$C26)^(N$19-1)*(1-$B$10)-($B$7-IF(OR(MOD(N$19+$F26,$B$14)=0,AND($G26=1,N$19=$B$15)),1,0)*$B$6+$B$8+IF(OR(MOD(N$19+$F26,$B$14)=0,AND($G26=1,N$19=$B$15)),1,0)*$B$9)*(1+$D26)^(N$19-1)</f>
        <v>3142844.13166233</v>
      </c>
      <c r="O26" s="46" t="n">
        <f aca="false">(($B$4*$B26+$B$5)-IF(OR(MOD(O$19+$F26,$B$14)=0,AND($G26=1,O$19=$B$15)),1,0)*$B$5)*(1+$C26)^(O$19-1)*(1-$B$10)-($B$7-IF(OR(MOD(O$19+$F26,$B$14)=0,AND($G26=1,O$19=$B$15)),1,0)*$B$6+$B$8+IF(OR(MOD(O$19+$F26,$B$14)=0,AND($G26=1,O$19=$B$15)),1,0)*$B$9)*(1+$D26)^(O$19-1)</f>
        <v>3248887.60497099</v>
      </c>
      <c r="P26" s="46" t="n">
        <f aca="false">(($B$4*$B26+$B$5)-IF(OR(MOD(P$19+$F26,$B$14)=0,AND($G26=1,P$19=$B$15)),1,0)*$B$5)*(1+$C26)^(P$19-1)*(1-$B$10)-($B$7-IF(OR(MOD(P$19+$F26,$B$14)=0,AND($G26=1,P$19=$B$15)),1,0)*$B$6+$B$8+IF(OR(MOD(P$19+$F26,$B$14)=0,AND($G26=1,P$19=$B$15)),1,0)*$B$9)*(1+$D26)^(P$19-1)</f>
        <v>3358473.63847273</v>
      </c>
      <c r="Q26" s="46" t="n">
        <f aca="false">(($B$4*$B26+$B$5)-IF(OR(MOD(Q$19+$F26,$B$14)=0,AND($G26=1,Q$19=$B$15)),1,0)*$B$5)*(1+$C26)^(Q$19-1)*(1-$B$10)-($B$7-IF(OR(MOD(Q$19+$F26,$B$14)=0,AND($G26=1,Q$19=$B$15)),1,0)*$B$6+$B$8+IF(OR(MOD(Q$19+$F26,$B$14)=0,AND($G26=1,Q$19=$B$15)),1,0)*$B$9)*(1+$D26)^(Q$19-1)</f>
        <v>3471719.6418249</v>
      </c>
      <c r="R26" s="46" t="n">
        <f aca="false">($B$4*$B26+$B$5)*(1+$C26)^$B$15*(1-$B$10)-$B$7*(1+$D26)^$B$15</f>
        <v>3751868.48151261</v>
      </c>
      <c r="S26" s="46" t="n">
        <f aca="false">R26/$E26/(1+$B$12)*(1-$B$13)-IF($G26=1,0,MOD($F26+$B$15,$B$14)/$B$14*$B$9*(1+$D26)^$B$15)/(1+$B$12)</f>
        <v>56624084.2571746</v>
      </c>
      <c r="T26" s="46" t="n">
        <f aca="false">(NPV($B$11,H26:Q26)+S26/(1+$B$11)^$B$15)/(1+$B$12)</f>
        <v>42093139.3121305</v>
      </c>
      <c r="U26" s="46" t="n">
        <f aca="false">T26-$T$20</f>
        <v>364760.986283705</v>
      </c>
      <c r="V26" s="45" t="n">
        <f aca="false">T26/$T$20-1</f>
        <v>0.00874131708247505</v>
      </c>
    </row>
    <row r="27" customFormat="false" ht="15" hidden="false" customHeight="false" outlineLevel="0" collapsed="false">
      <c r="A27" s="36" t="s">
        <v>581</v>
      </c>
      <c r="B27" s="44" t="n">
        <f aca="false">$B$20</f>
        <v>0.968</v>
      </c>
      <c r="C27" s="51" t="n">
        <f aca="false">$C$20</f>
        <v>0.031</v>
      </c>
      <c r="D27" s="51" t="n">
        <f aca="false">$D$20*(1-'3. Assumptions'!$B$76)</f>
        <v>0.0273</v>
      </c>
      <c r="E27" s="51" t="n">
        <f aca="false">$E$20</f>
        <v>0.0595</v>
      </c>
      <c r="F27" s="49" t="n">
        <f aca="false">$F$20</f>
        <v>3</v>
      </c>
      <c r="G27" s="49" t="n">
        <v>0</v>
      </c>
      <c r="H27" s="46" t="n">
        <f aca="false">(($B$4*$B27+$B$5)-IF(OR(MOD(H$19+$F27,$B$14)=0,AND($G27=1,H$19=$B$15)),1,0)*$B$5)*(1+$C27)^(H$19-1)*(1-$B$10)-($B$7-IF(OR(MOD(H$19+$F27,$B$14)=0,AND($G27=1,H$19=$B$15)),1,0)*$B$6+$B$8+IF(OR(MOD(H$19+$F27,$B$14)=0,AND($G27=1,H$19=$B$15)),1,0)*$B$9)*(1+$D27)^(H$19-1)</f>
        <v>2574859.16593639</v>
      </c>
      <c r="I27" s="46" t="n">
        <f aca="false">(($B$4*$B27+$B$5)-IF(OR(MOD(I$19+$F27,$B$14)=0,AND($G27=1,I$19=$B$15)),1,0)*$B$5)*(1+$C27)^(I$19-1)*(1-$B$10)-($B$7-IF(OR(MOD(I$19+$F27,$B$14)=0,AND($G27=1,I$19=$B$15)),1,0)*$B$6+$B$8+IF(OR(MOD(I$19+$F27,$B$14)=0,AND($G27=1,I$19=$B$15)),1,0)*$B$9)*(1+$D27)^(I$19-1)</f>
        <v>2659811.79853228</v>
      </c>
      <c r="J27" s="46" t="n">
        <f aca="false">(($B$4*$B27+$B$5)-IF(OR(MOD(J$19+$F27,$B$14)=0,AND($G27=1,J$19=$B$15)),1,0)*$B$5)*(1+$C27)^(J$19-1)*(1-$B$10)-($B$7-IF(OR(MOD(J$19+$F27,$B$14)=0,AND($G27=1,J$19=$B$15)),1,0)*$B$6+$B$8+IF(OR(MOD(J$19+$F27,$B$14)=0,AND($G27=1,J$19=$B$15)),1,0)*$B$9)*(1+$D27)^(J$19-1)</f>
        <v>2747538.06629637</v>
      </c>
      <c r="K27" s="46" t="n">
        <f aca="false">(($B$4*$B27+$B$5)-IF(OR(MOD(K$19+$F27,$B$14)=0,AND($G27=1,K$19=$B$15)),1,0)*$B$5)*(1+$C27)^(K$19-1)*(1-$B$10)-($B$7-IF(OR(MOD(K$19+$F27,$B$14)=0,AND($G27=1,K$19=$B$15)),1,0)*$B$6+$B$8+IF(OR(MOD(K$19+$F27,$B$14)=0,AND($G27=1,K$19=$B$15)),1,0)*$B$9)*(1+$D27)^(K$19-1)</f>
        <v>901774.58965206</v>
      </c>
      <c r="L27" s="46" t="n">
        <f aca="false">(($B$4*$B27+$B$5)-IF(OR(MOD(L$19+$F27,$B$14)=0,AND($G27=1,L$19=$B$15)),1,0)*$B$5)*(1+$C27)^(L$19-1)*(1-$B$10)-($B$7-IF(OR(MOD(L$19+$F27,$B$14)=0,AND($G27=1,L$19=$B$15)),1,0)*$B$6+$B$8+IF(OR(MOD(L$19+$F27,$B$14)=0,AND($G27=1,L$19=$B$15)),1,0)*$B$9)*(1+$D27)^(L$19-1)</f>
        <v>2931673.62584938</v>
      </c>
      <c r="M27" s="46" t="n">
        <f aca="false">(($B$4*$B27+$B$5)-IF(OR(MOD(M$19+$F27,$B$14)=0,AND($G27=1,M$19=$B$15)),1,0)*$B$5)*(1+$C27)^(M$19-1)*(1-$B$10)-($B$7-IF(OR(MOD(M$19+$F27,$B$14)=0,AND($G27=1,M$19=$B$15)),1,0)*$B$6+$B$8+IF(OR(MOD(M$19+$F27,$B$14)=0,AND($G27=1,M$19=$B$15)),1,0)*$B$9)*(1+$D27)^(M$19-1)</f>
        <v>3028271.29041799</v>
      </c>
      <c r="N27" s="46" t="n">
        <f aca="false">(($B$4*$B27+$B$5)-IF(OR(MOD(N$19+$F27,$B$14)=0,AND($G27=1,N$19=$B$15)),1,0)*$B$5)*(1+$C27)^(N$19-1)*(1-$B$10)-($B$7-IF(OR(MOD(N$19+$F27,$B$14)=0,AND($G27=1,N$19=$B$15)),1,0)*$B$6+$B$8+IF(OR(MOD(N$19+$F27,$B$14)=0,AND($G27=1,N$19=$B$15)),1,0)*$B$9)*(1+$D27)^(N$19-1)</f>
        <v>3128019.52344141</v>
      </c>
      <c r="O27" s="46" t="n">
        <f aca="false">(($B$4*$B27+$B$5)-IF(OR(MOD(O$19+$F27,$B$14)=0,AND($G27=1,O$19=$B$15)),1,0)*$B$5)*(1+$C27)^(O$19-1)*(1-$B$10)-($B$7-IF(OR(MOD(O$19+$F27,$B$14)=0,AND($G27=1,O$19=$B$15)),1,0)*$B$6+$B$8+IF(OR(MOD(O$19+$F27,$B$14)=0,AND($G27=1,O$19=$B$15)),1,0)*$B$9)*(1+$D27)^(O$19-1)</f>
        <v>3231020.25245701</v>
      </c>
      <c r="P27" s="46" t="n">
        <f aca="false">(($B$4*$B27+$B$5)-IF(OR(MOD(P$19+$F27,$B$14)=0,AND($G27=1,P$19=$B$15)),1,0)*$B$5)*(1+$C27)^(P$19-1)*(1-$B$10)-($B$7-IF(OR(MOD(P$19+$F27,$B$14)=0,AND($G27=1,P$19=$B$15)),1,0)*$B$6+$B$8+IF(OR(MOD(P$19+$F27,$B$14)=0,AND($G27=1,P$19=$B$15)),1,0)*$B$9)*(1+$D27)^(P$19-1)</f>
        <v>3337378.68105153</v>
      </c>
      <c r="Q27" s="46" t="n">
        <f aca="false">(($B$4*$B27+$B$5)-IF(OR(MOD(Q$19+$F27,$B$14)=0,AND($G27=1,Q$19=$B$15)),1,0)*$B$5)*(1+$C27)^(Q$19-1)*(1-$B$10)-($B$7-IF(OR(MOD(Q$19+$F27,$B$14)=0,AND($G27=1,Q$19=$B$15)),1,0)*$B$6+$B$8+IF(OR(MOD(Q$19+$F27,$B$14)=0,AND($G27=1,Q$19=$B$15)),1,0)*$B$9)*(1+$D27)^(Q$19-1)</f>
        <v>3447203.39359345</v>
      </c>
      <c r="R27" s="46" t="n">
        <f aca="false">($B$4*$B27+$B$5)*(1+$C27)^$B$15*(1-$B$10)-$B$7*(1+$D27)^$B$15</f>
        <v>3722620.7010406</v>
      </c>
      <c r="S27" s="46" t="n">
        <f aca="false">R27/$E27/(1+$B$12)*(1-$B$13)-IF($G27=1,0,MOD($F27+$B$15,$B$14)/$B$14*$B$9*(1+$D27)^$B$15)/(1+$B$12)</f>
        <v>56180838.4702659</v>
      </c>
      <c r="T27" s="46" t="n">
        <f aca="false">(NPV($B$11,H27:Q27)+S27/(1+$B$11)^$B$15)/(1+$B$12)</f>
        <v>41840855.4588002</v>
      </c>
      <c r="U27" s="46" t="n">
        <f aca="false">T27-$T$20</f>
        <v>112477.13295345</v>
      </c>
      <c r="V27" s="45" t="n">
        <f aca="false">T27/$T$20-1</f>
        <v>0.00269545900095003</v>
      </c>
    </row>
    <row r="28" customFormat="false" ht="15" hidden="false" customHeight="false" outlineLevel="0" collapsed="false">
      <c r="A28" s="36" t="s">
        <v>582</v>
      </c>
      <c r="B28" s="44" t="n">
        <f aca="false">$B$20</f>
        <v>0.968</v>
      </c>
      <c r="C28" s="51" t="n">
        <f aca="false">$C$20</f>
        <v>0.031</v>
      </c>
      <c r="D28" s="51" t="n">
        <f aca="false">$D$20*(1+'3. Assumptions'!$B$76)</f>
        <v>0.0287</v>
      </c>
      <c r="E28" s="51" t="n">
        <f aca="false">$E$20</f>
        <v>0.0595</v>
      </c>
      <c r="F28" s="49" t="n">
        <f aca="false">$F$20</f>
        <v>3</v>
      </c>
      <c r="G28" s="49" t="n">
        <v>0</v>
      </c>
      <c r="H28" s="46" t="n">
        <f aca="false">(($B$4*$B28+$B$5)-IF(OR(MOD(H$19+$F28,$B$14)=0,AND($G28=1,H$19=$B$15)),1,0)*$B$5)*(1+$C28)^(H$19-1)*(1-$B$10)-($B$7-IF(OR(MOD(H$19+$F28,$B$14)=0,AND($G28=1,H$19=$B$15)),1,0)*$B$6+$B$8+IF(OR(MOD(H$19+$F28,$B$14)=0,AND($G28=1,H$19=$B$15)),1,0)*$B$9)*(1+$D28)^(H$19-1)</f>
        <v>2574859.16593639</v>
      </c>
      <c r="I28" s="46" t="n">
        <f aca="false">(($B$4*$B28+$B$5)-IF(OR(MOD(I$19+$F28,$B$14)=0,AND($G28=1,I$19=$B$15)),1,0)*$B$5)*(1+$C28)^(I$19-1)*(1-$B$10)-($B$7-IF(OR(MOD(I$19+$F28,$B$14)=0,AND($G28=1,I$19=$B$15)),1,0)*$B$6+$B$8+IF(OR(MOD(I$19+$F28,$B$14)=0,AND($G28=1,I$19=$B$15)),1,0)*$B$9)*(1+$D28)^(I$19-1)</f>
        <v>2657869.96128022</v>
      </c>
      <c r="J28" s="46" t="n">
        <f aca="false">(($B$4*$B28+$B$5)-IF(OR(MOD(J$19+$F28,$B$14)=0,AND($G28=1,J$19=$B$15)),1,0)*$B$5)*(1+$C28)^(J$19-1)*(1-$B$10)-($B$7-IF(OR(MOD(J$19+$F28,$B$14)=0,AND($G28=1,J$19=$B$15)),1,0)*$B$6+$B$8+IF(OR(MOD(J$19+$F28,$B$14)=0,AND($G28=1,J$19=$B$15)),1,0)*$B$9)*(1+$D28)^(J$19-1)</f>
        <v>2743545.64890615</v>
      </c>
      <c r="K28" s="46" t="n">
        <f aca="false">(($B$4*$B28+$B$5)-IF(OR(MOD(K$19+$F28,$B$14)=0,AND($G28=1,K$19=$B$15)),1,0)*$B$5)*(1+$C28)^(K$19-1)*(1-$B$10)-($B$7-IF(OR(MOD(K$19+$F28,$B$14)=0,AND($G28=1,K$19=$B$15)),1,0)*$B$6+$B$8+IF(OR(MOD(K$19+$F28,$B$14)=0,AND($G28=1,K$19=$B$15)),1,0)*$B$9)*(1+$D28)^(K$19-1)</f>
        <v>888268.076434423</v>
      </c>
      <c r="L28" s="46" t="n">
        <f aca="false">(($B$4*$B28+$B$5)-IF(OR(MOD(L$19+$F28,$B$14)=0,AND($G28=1,L$19=$B$15)),1,0)*$B$5)*(1+$C28)^(L$19-1)*(1-$B$10)-($B$7-IF(OR(MOD(L$19+$F28,$B$14)=0,AND($G28=1,L$19=$B$15)),1,0)*$B$6+$B$8+IF(OR(MOD(L$19+$F28,$B$14)=0,AND($G28=1,L$19=$B$15)),1,0)*$B$9)*(1+$D28)^(L$19-1)</f>
        <v>2923235.37629818</v>
      </c>
      <c r="M28" s="46" t="n">
        <f aca="false">(($B$4*$B28+$B$5)-IF(OR(MOD(M$19+$F28,$B$14)=0,AND($G28=1,M$19=$B$15)),1,0)*$B$5)*(1+$C28)^(M$19-1)*(1-$B$10)-($B$7-IF(OR(MOD(M$19+$F28,$B$14)=0,AND($G28=1,M$19=$B$15)),1,0)*$B$6+$B$8+IF(OR(MOD(M$19+$F28,$B$14)=0,AND($G28=1,M$19=$B$15)),1,0)*$B$9)*(1+$D28)^(M$19-1)</f>
        <v>3017428.13471706</v>
      </c>
      <c r="N28" s="46" t="n">
        <f aca="false">(($B$4*$B28+$B$5)-IF(OR(MOD(N$19+$F28,$B$14)=0,AND($G28=1,N$19=$B$15)),1,0)*$B$5)*(1+$C28)^(N$19-1)*(1-$B$10)-($B$7-IF(OR(MOD(N$19+$F28,$B$14)=0,AND($G28=1,N$19=$B$15)),1,0)*$B$6+$B$8+IF(OR(MOD(N$19+$F28,$B$14)=0,AND($G28=1,N$19=$B$15)),1,0)*$B$9)*(1+$D28)^(N$19-1)</f>
        <v>3114643.39829925</v>
      </c>
      <c r="O28" s="46" t="n">
        <f aca="false">(($B$4*$B28+$B$5)-IF(OR(MOD(O$19+$F28,$B$14)=0,AND($G28=1,O$19=$B$15)),1,0)*$B$5)*(1+$C28)^(O$19-1)*(1-$B$10)-($B$7-IF(OR(MOD(O$19+$F28,$B$14)=0,AND($G28=1,O$19=$B$15)),1,0)*$B$6+$B$8+IF(OR(MOD(O$19+$F28,$B$14)=0,AND($G28=1,O$19=$B$15)),1,0)*$B$9)*(1+$D28)^(O$19-1)</f>
        <v>3214977.80730584</v>
      </c>
      <c r="P28" s="46" t="n">
        <f aca="false">(($B$4*$B28+$B$5)-IF(OR(MOD(P$19+$F28,$B$14)=0,AND($G28=1,P$19=$B$15)),1,0)*$B$5)*(1+$C28)^(P$19-1)*(1-$B$10)-($B$7-IF(OR(MOD(P$19+$F28,$B$14)=0,AND($G28=1,P$19=$B$15)),1,0)*$B$6+$B$8+IF(OR(MOD(P$19+$F28,$B$14)=0,AND($G28=1,P$19=$B$15)),1,0)*$B$9)*(1+$D28)^(P$19-1)</f>
        <v>3318531.08229866</v>
      </c>
      <c r="Q28" s="46" t="n">
        <f aca="false">(($B$4*$B28+$B$5)-IF(OR(MOD(Q$19+$F28,$B$14)=0,AND($G28=1,Q$19=$B$15)),1,0)*$B$5)*(1+$C28)^(Q$19-1)*(1-$B$10)-($B$7-IF(OR(MOD(Q$19+$F28,$B$14)=0,AND($G28=1,Q$19=$B$15)),1,0)*$B$6+$B$8+IF(OR(MOD(Q$19+$F28,$B$14)=0,AND($G28=1,Q$19=$B$15)),1,0)*$B$9)*(1+$D28)^(Q$19-1)</f>
        <v>3425406.12205339</v>
      </c>
      <c r="R28" s="46" t="n">
        <f aca="false">($B$4*$B28+$B$5)*(1+$C28)^$B$15*(1-$B$10)-$B$7*(1+$D28)^$B$15</f>
        <v>3699944.85493939</v>
      </c>
      <c r="S28" s="46" t="n">
        <f aca="false">R28/$E28/(1+$B$12)*(1-$B$13)-IF($G28=1,0,MOD($F28+$B$15,$B$14)/$B$14*$B$9*(1+$D28)^$B$15)/(1+$B$12)</f>
        <v>55802850.1887878</v>
      </c>
      <c r="T28" s="46" t="n">
        <f aca="false">(NPV($B$11,H28:Q28)+S28/(1+$B$11)^$B$15)/(1+$B$12)</f>
        <v>41615294.9837163</v>
      </c>
      <c r="U28" s="46" t="n">
        <f aca="false">T28-$T$20</f>
        <v>-113083.342130467</v>
      </c>
      <c r="V28" s="45" t="n">
        <f aca="false">T28/$T$20-1</f>
        <v>-0.00270998650480558</v>
      </c>
    </row>
    <row r="29" customFormat="false" ht="15" hidden="false" customHeight="false" outlineLevel="0" collapsed="false">
      <c r="A29" s="36" t="s">
        <v>583</v>
      </c>
      <c r="B29" s="44" t="n">
        <f aca="false">$B$20</f>
        <v>0.968</v>
      </c>
      <c r="C29" s="51" t="n">
        <f aca="false">$C$20-$G$5</f>
        <v>0.021</v>
      </c>
      <c r="D29" s="51" t="n">
        <f aca="false">$D$20</f>
        <v>0.028</v>
      </c>
      <c r="E29" s="51" t="n">
        <f aca="false">$E$20</f>
        <v>0.0595</v>
      </c>
      <c r="F29" s="49" t="n">
        <f aca="false">$F$20</f>
        <v>3</v>
      </c>
      <c r="G29" s="49" t="n">
        <v>0</v>
      </c>
      <c r="H29" s="46" t="n">
        <f aca="false">(($B$4*$B29+$B$5)-IF(OR(MOD(H$19+$F29,$B$14)=0,AND($G29=1,H$19=$B$15)),1,0)*$B$5)*(1+$C29)^(H$19-1)*(1-$B$10)-($B$7-IF(OR(MOD(H$19+$F29,$B$14)=0,AND($G29=1,H$19=$B$15)),1,0)*$B$6+$B$8+IF(OR(MOD(H$19+$F29,$B$14)=0,AND($G29=1,H$19=$B$15)),1,0)*$B$9)*(1+$D29)^(H$19-1)</f>
        <v>2574859.16593639</v>
      </c>
      <c r="I29" s="46" t="n">
        <f aca="false">(($B$4*$B29+$B$5)-IF(OR(MOD(I$19+$F29,$B$14)=0,AND($G29=1,I$19=$B$15)),1,0)*$B$5)*(1+$C29)^(I$19-1)*(1-$B$10)-($B$7-IF(OR(MOD(I$19+$F29,$B$14)=0,AND($G29=1,I$19=$B$15)),1,0)*$B$6+$B$8+IF(OR(MOD(I$19+$F29,$B$14)=0,AND($G29=1,I$19=$B$15)),1,0)*$B$9)*(1+$D29)^(I$19-1)</f>
        <v>2619222.02216077</v>
      </c>
      <c r="J29" s="46" t="n">
        <f aca="false">(($B$4*$B29+$B$5)-IF(OR(MOD(J$19+$F29,$B$14)=0,AND($G29=1,J$19=$B$15)),1,0)*$B$5)*(1+$C29)^(J$19-1)*(1-$B$10)-($B$7-IF(OR(MOD(J$19+$F29,$B$14)=0,AND($G29=1,J$19=$B$15)),1,0)*$B$6+$B$8+IF(OR(MOD(J$19+$F29,$B$14)=0,AND($G29=1,J$19=$B$15)),1,0)*$B$9)*(1+$D29)^(J$19-1)</f>
        <v>2664244.64115058</v>
      </c>
      <c r="K29" s="46" t="n">
        <f aca="false">(($B$4*$B29+$B$5)-IF(OR(MOD(K$19+$F29,$B$14)=0,AND($G29=1,K$19=$B$15)),1,0)*$B$5)*(1+$C29)^(K$19-1)*(1-$B$10)-($B$7-IF(OR(MOD(K$19+$F29,$B$14)=0,AND($G29=1,K$19=$B$15)),1,0)*$B$6+$B$8+IF(OR(MOD(K$19+$F29,$B$14)=0,AND($G29=1,K$19=$B$15)),1,0)*$B$9)*(1+$D29)^(K$19-1)</f>
        <v>773969.933629666</v>
      </c>
      <c r="L29" s="46" t="n">
        <f aca="false">(($B$4*$B29+$B$5)-IF(OR(MOD(L$19+$F29,$B$14)=0,AND($G29=1,L$19=$B$15)),1,0)*$B$5)*(1+$C29)^(L$19-1)*(1-$B$10)-($B$7-IF(OR(MOD(L$19+$F29,$B$14)=0,AND($G29=1,L$19=$B$15)),1,0)*$B$6+$B$8+IF(OR(MOD(L$19+$F29,$B$14)=0,AND($G29=1,L$19=$B$15)),1,0)*$B$9)*(1+$D29)^(L$19-1)</f>
        <v>2756294.05745793</v>
      </c>
      <c r="M29" s="46" t="n">
        <f aca="false">(($B$4*$B29+$B$5)-IF(OR(MOD(M$19+$F29,$B$14)=0,AND($G29=1,M$19=$B$15)),1,0)*$B$5)*(1+$C29)^(M$19-1)*(1-$B$10)-($B$7-IF(OR(MOD(M$19+$F29,$B$14)=0,AND($G29=1,M$19=$B$15)),1,0)*$B$6+$B$8+IF(OR(MOD(M$19+$F29,$B$14)=0,AND($G29=1,M$19=$B$15)),1,0)*$B$9)*(1+$D29)^(M$19-1)</f>
        <v>2803333.08701891</v>
      </c>
      <c r="N29" s="46" t="n">
        <f aca="false">(($B$4*$B29+$B$5)-IF(OR(MOD(N$19+$F29,$B$14)=0,AND($G29=1,N$19=$B$15)),1,0)*$B$5)*(1+$C29)^(N$19-1)*(1-$B$10)-($B$7-IF(OR(MOD(N$19+$F29,$B$14)=0,AND($G29=1,N$19=$B$15)),1,0)*$B$6+$B$8+IF(OR(MOD(N$19+$F29,$B$14)=0,AND($G29=1,N$19=$B$15)),1,0)*$B$9)*(1+$D29)^(N$19-1)</f>
        <v>2851056.3281226</v>
      </c>
      <c r="O29" s="46" t="n">
        <f aca="false">(($B$4*$B29+$B$5)-IF(OR(MOD(O$19+$F29,$B$14)=0,AND($G29=1,O$19=$B$15)),1,0)*$B$5)*(1+$C29)^(O$19-1)*(1-$B$10)-($B$7-IF(OR(MOD(O$19+$F29,$B$14)=0,AND($G29=1,O$19=$B$15)),1,0)*$B$6+$B$8+IF(OR(MOD(O$19+$F29,$B$14)=0,AND($G29=1,O$19=$B$15)),1,0)*$B$9)*(1+$D29)^(O$19-1)</f>
        <v>2899469.64818519</v>
      </c>
      <c r="P29" s="46" t="n">
        <f aca="false">(($B$4*$B29+$B$5)-IF(OR(MOD(P$19+$F29,$B$14)=0,AND($G29=1,P$19=$B$15)),1,0)*$B$5)*(1+$C29)^(P$19-1)*(1-$B$10)-($B$7-IF(OR(MOD(P$19+$F29,$B$14)=0,AND($G29=1,P$19=$B$15)),1,0)*$B$6+$B$8+IF(OR(MOD(P$19+$F29,$B$14)=0,AND($G29=1,P$19=$B$15)),1,0)*$B$9)*(1+$D29)^(P$19-1)</f>
        <v>2948578.79980992</v>
      </c>
      <c r="Q29" s="46" t="n">
        <f aca="false">(($B$4*$B29+$B$5)-IF(OR(MOD(Q$19+$F29,$B$14)=0,AND($G29=1,Q$19=$B$15)),1,0)*$B$5)*(1+$C29)^(Q$19-1)*(1-$B$10)-($B$7-IF(OR(MOD(Q$19+$F29,$B$14)=0,AND($G29=1,Q$19=$B$15)),1,0)*$B$6+$B$8+IF(OR(MOD(Q$19+$F29,$B$14)=0,AND($G29=1,Q$19=$B$15)),1,0)*$B$9)*(1+$D29)^(Q$19-1)</f>
        <v>2998389.41171113</v>
      </c>
      <c r="R29" s="46" t="n">
        <f aca="false">($B$4*$B29+$B$5)*(1+$C29)^$B$15*(1-$B$10)-$B$7*(1+$D29)^$B$15</f>
        <v>3212028.56974252</v>
      </c>
      <c r="S29" s="46" t="n">
        <f aca="false">R29/$E29/(1+$B$12)*(1-$B$13)-IF($G29=1,0,MOD($F29+$B$15,$B$14)/$B$14*$B$9*(1+$D29)^$B$15)/(1+$B$12)</f>
        <v>48215018.1996778</v>
      </c>
      <c r="T29" s="46" t="n">
        <f aca="false">(NPV($B$11,H29:Q29)+S29/(1+$B$11)^$B$15)/(1+$B$12)</f>
        <v>37215124.3640011</v>
      </c>
      <c r="U29" s="46" t="n">
        <f aca="false">T29-$T$20</f>
        <v>-4513253.96184566</v>
      </c>
      <c r="V29" s="45" t="n">
        <f aca="false">T29/$T$20-1</f>
        <v>-0.108157904594393</v>
      </c>
    </row>
    <row r="30" customFormat="false" ht="15" hidden="false" customHeight="false" outlineLevel="0" collapsed="false">
      <c r="A30" s="36" t="s">
        <v>584</v>
      </c>
      <c r="B30" s="44" t="n">
        <f aca="false">$B$20</f>
        <v>0.968</v>
      </c>
      <c r="C30" s="51" t="n">
        <f aca="false">$C$20+$G$5</f>
        <v>0.041</v>
      </c>
      <c r="D30" s="51" t="n">
        <f aca="false">$D$20</f>
        <v>0.028</v>
      </c>
      <c r="E30" s="51" t="n">
        <f aca="false">$E$20</f>
        <v>0.0595</v>
      </c>
      <c r="F30" s="49" t="n">
        <f aca="false">$F$20</f>
        <v>3</v>
      </c>
      <c r="G30" s="49" t="n">
        <v>0</v>
      </c>
      <c r="H30" s="46" t="n">
        <f aca="false">(($B$4*$B30+$B$5)-IF(OR(MOD(H$19+$F30,$B$14)=0,AND($G30=1,H$19=$B$15)),1,0)*$B$5)*(1+$C30)^(H$19-1)*(1-$B$10)-($B$7-IF(OR(MOD(H$19+$F30,$B$14)=0,AND($G30=1,H$19=$B$15)),1,0)*$B$6+$B$8+IF(OR(MOD(H$19+$F30,$B$14)=0,AND($G30=1,H$19=$B$15)),1,0)*$B$9)*(1+$D30)^(H$19-1)</f>
        <v>2574859.16593639</v>
      </c>
      <c r="I30" s="46" t="n">
        <f aca="false">(($B$4*$B30+$B$5)-IF(OR(MOD(I$19+$F30,$B$14)=0,AND($G30=1,I$19=$B$15)),1,0)*$B$5)*(1+$C30)^(I$19-1)*(1-$B$10)-($B$7-IF(OR(MOD(I$19+$F30,$B$14)=0,AND($G30=1,I$19=$B$15)),1,0)*$B$6+$B$8+IF(OR(MOD(I$19+$F30,$B$14)=0,AND($G30=1,I$19=$B$15)),1,0)*$B$9)*(1+$D30)^(I$19-1)</f>
        <v>2698459.73765172</v>
      </c>
      <c r="J30" s="46" t="n">
        <f aca="false">(($B$4*$B30+$B$5)-IF(OR(MOD(J$19+$F30,$B$14)=0,AND($G30=1,J$19=$B$15)),1,0)*$B$5)*(1+$C30)^(J$19-1)*(1-$B$10)-($B$7-IF(OR(MOD(J$19+$F30,$B$14)=0,AND($G30=1,J$19=$B$15)),1,0)*$B$6+$B$8+IF(OR(MOD(J$19+$F30,$B$14)=0,AND($G30=1,J$19=$B$15)),1,0)*$B$9)*(1+$D30)^(J$19-1)</f>
        <v>2827632.81049293</v>
      </c>
      <c r="K30" s="46" t="n">
        <f aca="false">(($B$4*$B30+$B$5)-IF(OR(MOD(K$19+$F30,$B$14)=0,AND($G30=1,K$19=$B$15)),1,0)*$B$5)*(1+$C30)^(K$19-1)*(1-$B$10)-($B$7-IF(OR(MOD(K$19+$F30,$B$14)=0,AND($G30=1,K$19=$B$15)),1,0)*$B$6+$B$8+IF(OR(MOD(K$19+$F30,$B$14)=0,AND($G30=1,K$19=$B$15)),1,0)*$B$9)*(1+$D30)^(K$19-1)</f>
        <v>1018453.176602</v>
      </c>
      <c r="L30" s="46" t="n">
        <f aca="false">(($B$4*$B30+$B$5)-IF(OR(MOD(L$19+$F30,$B$14)=0,AND($G30=1,L$19=$B$15)),1,0)*$B$5)*(1+$C30)^(L$19-1)*(1-$B$10)-($B$7-IF(OR(MOD(L$19+$F30,$B$14)=0,AND($G30=1,L$19=$B$15)),1,0)*$B$6+$B$8+IF(OR(MOD(L$19+$F30,$B$14)=0,AND($G30=1,L$19=$B$15)),1,0)*$B$9)*(1+$D30)^(L$19-1)</f>
        <v>3103677.23883642</v>
      </c>
      <c r="M30" s="46" t="n">
        <f aca="false">(($B$4*$B30+$B$5)-IF(OR(MOD(M$19+$F30,$B$14)=0,AND($G30=1,M$19=$B$15)),1,0)*$B$5)*(1+$C30)^(M$19-1)*(1-$B$10)-($B$7-IF(OR(MOD(M$19+$F30,$B$14)=0,AND($G30=1,M$19=$B$15)),1,0)*$B$6+$B$8+IF(OR(MOD(M$19+$F30,$B$14)=0,AND($G30=1,M$19=$B$15)),1,0)*$B$9)*(1+$D30)^(M$19-1)</f>
        <v>3251065.27611347</v>
      </c>
      <c r="N30" s="46" t="n">
        <f aca="false">(($B$4*$B30+$B$5)-IF(OR(MOD(N$19+$F30,$B$14)=0,AND($G30=1,N$19=$B$15)),1,0)*$B$5)*(1+$C30)^(N$19-1)*(1-$B$10)-($B$7-IF(OR(MOD(N$19+$F30,$B$14)=0,AND($G30=1,N$19=$B$15)),1,0)*$B$6+$B$8+IF(OR(MOD(N$19+$F30,$B$14)=0,AND($G30=1,N$19=$B$15)),1,0)*$B$9)*(1+$D30)^(N$19-1)</f>
        <v>3405060.06649245</v>
      </c>
      <c r="O30" s="46" t="n">
        <f aca="false">(($B$4*$B30+$B$5)-IF(OR(MOD(O$19+$F30,$B$14)=0,AND($G30=1,O$19=$B$15)),1,0)*$B$5)*(1+$C30)^(O$19-1)*(1-$B$10)-($B$7-IF(OR(MOD(O$19+$F30,$B$14)=0,AND($G30=1,O$19=$B$15)),1,0)*$B$6+$B$8+IF(OR(MOD(O$19+$F30,$B$14)=0,AND($G30=1,O$19=$B$15)),1,0)*$B$9)*(1+$D30)^(O$19-1)</f>
        <v>3565948.27447059</v>
      </c>
      <c r="P30" s="46" t="n">
        <f aca="false">(($B$4*$B30+$B$5)-IF(OR(MOD(P$19+$F30,$B$14)=0,AND($G30=1,P$19=$B$15)),1,0)*$B$5)*(1+$C30)^(P$19-1)*(1-$B$10)-($B$7-IF(OR(MOD(P$19+$F30,$B$14)=0,AND($G30=1,P$19=$B$15)),1,0)*$B$6+$B$8+IF(OR(MOD(P$19+$F30,$B$14)=0,AND($G30=1,P$19=$B$15)),1,0)*$B$9)*(1+$D30)^(P$19-1)</f>
        <v>3734028.7598429</v>
      </c>
      <c r="Q30" s="46" t="n">
        <f aca="false">(($B$4*$B30+$B$5)-IF(OR(MOD(Q$19+$F30,$B$14)=0,AND($G30=1,Q$19=$B$15)),1,0)*$B$5)*(1+$C30)^(Q$19-1)*(1-$B$10)-($B$7-IF(OR(MOD(Q$19+$F30,$B$14)=0,AND($G30=1,Q$19=$B$15)),1,0)*$B$6+$B$8+IF(OR(MOD(Q$19+$F30,$B$14)=0,AND($G30=1,Q$19=$B$15)),1,0)*$B$9)*(1+$D30)^(Q$19-1)</f>
        <v>3909613.0900868</v>
      </c>
      <c r="R30" s="46" t="n">
        <f aca="false">($B$4*$B30+$B$5)*(1+$C30)^$B$15*(1-$B$10)-$B$7*(1+$D30)^$B$15</f>
        <v>4256147.66458255</v>
      </c>
      <c r="S30" s="46" t="n">
        <f aca="false">R30/$E30/(1+$B$12)*(1-$B$13)-IF($G30=1,0,MOD($F30+$B$15,$B$14)/$B$14*$B$9*(1+$D30)^$B$15)/(1+$B$12)</f>
        <v>64479222.1775098</v>
      </c>
      <c r="T30" s="46" t="n">
        <f aca="false">(NPV($B$11,H30:Q30)+S30/(1+$B$11)^$B$15)/(1+$B$12)</f>
        <v>46608786.3111893</v>
      </c>
      <c r="U30" s="46" t="n">
        <f aca="false">T30-$T$20</f>
        <v>4880407.9853425</v>
      </c>
      <c r="V30" s="45" t="n">
        <f aca="false">T30/$T$20-1</f>
        <v>0.116956569633082</v>
      </c>
    </row>
    <row r="31" customFormat="false" ht="15" hidden="false" customHeight="false" outlineLevel="0" collapsed="false">
      <c r="A31" s="36" t="s">
        <v>585</v>
      </c>
      <c r="B31" s="44" t="n">
        <f aca="false">$B$20</f>
        <v>0.968</v>
      </c>
      <c r="C31" s="51" t="n">
        <f aca="false">$C$20</f>
        <v>0.031</v>
      </c>
      <c r="D31" s="51" t="n">
        <f aca="false">$D$20</f>
        <v>0.028</v>
      </c>
      <c r="E31" s="51" t="n">
        <f aca="false">$E$20-$G$6</f>
        <v>0.0545</v>
      </c>
      <c r="F31" s="49" t="n">
        <f aca="false">$F$20</f>
        <v>3</v>
      </c>
      <c r="G31" s="49" t="n">
        <v>0</v>
      </c>
      <c r="H31" s="46" t="n">
        <f aca="false">(($B$4*$B31+$B$5)-IF(OR(MOD(H$19+$F31,$B$14)=0,AND($G31=1,H$19=$B$15)),1,0)*$B$5)*(1+$C31)^(H$19-1)*(1-$B$10)-($B$7-IF(OR(MOD(H$19+$F31,$B$14)=0,AND($G31=1,H$19=$B$15)),1,0)*$B$6+$B$8+IF(OR(MOD(H$19+$F31,$B$14)=0,AND($G31=1,H$19=$B$15)),1,0)*$B$9)*(1+$D31)^(H$19-1)</f>
        <v>2574859.16593639</v>
      </c>
      <c r="I31" s="46" t="n">
        <f aca="false">(($B$4*$B31+$B$5)-IF(OR(MOD(I$19+$F31,$B$14)=0,AND($G31=1,I$19=$B$15)),1,0)*$B$5)*(1+$C31)^(I$19-1)*(1-$B$10)-($B$7-IF(OR(MOD(I$19+$F31,$B$14)=0,AND($G31=1,I$19=$B$15)),1,0)*$B$6+$B$8+IF(OR(MOD(I$19+$F31,$B$14)=0,AND($G31=1,I$19=$B$15)),1,0)*$B$9)*(1+$D31)^(I$19-1)</f>
        <v>2658840.87990625</v>
      </c>
      <c r="J31" s="46" t="n">
        <f aca="false">(($B$4*$B31+$B$5)-IF(OR(MOD(J$19+$F31,$B$14)=0,AND($G31=1,J$19=$B$15)),1,0)*$B$5)*(1+$C31)^(J$19-1)*(1-$B$10)-($B$7-IF(OR(MOD(J$19+$F31,$B$14)=0,AND($G31=1,J$19=$B$15)),1,0)*$B$6+$B$8+IF(OR(MOD(J$19+$F31,$B$14)=0,AND($G31=1,J$19=$B$15)),1,0)*$B$9)*(1+$D31)^(J$19-1)</f>
        <v>2745542.5372443</v>
      </c>
      <c r="K31" s="46" t="n">
        <f aca="false">(($B$4*$B31+$B$5)-IF(OR(MOD(K$19+$F31,$B$14)=0,AND($G31=1,K$19=$B$15)),1,0)*$B$5)*(1+$C31)^(K$19-1)*(1-$B$10)-($B$7-IF(OR(MOD(K$19+$F31,$B$14)=0,AND($G31=1,K$19=$B$15)),1,0)*$B$6+$B$8+IF(OR(MOD(K$19+$F31,$B$14)=0,AND($G31=1,K$19=$B$15)),1,0)*$B$9)*(1+$D31)^(K$19-1)</f>
        <v>895025.931563568</v>
      </c>
      <c r="L31" s="46" t="n">
        <f aca="false">(($B$4*$B31+$B$5)-IF(OR(MOD(L$19+$F31,$B$14)=0,AND($G31=1,L$19=$B$15)),1,0)*$B$5)*(1+$C31)^(L$19-1)*(1-$B$10)-($B$7-IF(OR(MOD(L$19+$F31,$B$14)=0,AND($G31=1,L$19=$B$15)),1,0)*$B$6+$B$8+IF(OR(MOD(L$19+$F31,$B$14)=0,AND($G31=1,L$19=$B$15)),1,0)*$B$9)*(1+$D31)^(L$19-1)</f>
        <v>2927458.81048944</v>
      </c>
      <c r="M31" s="46" t="n">
        <f aca="false">(($B$4*$B31+$B$5)-IF(OR(MOD(M$19+$F31,$B$14)=0,AND($G31=1,M$19=$B$15)),1,0)*$B$5)*(1+$C31)^(M$19-1)*(1-$B$10)-($B$7-IF(OR(MOD(M$19+$F31,$B$14)=0,AND($G31=1,M$19=$B$15)),1,0)*$B$6+$B$8+IF(OR(MOD(M$19+$F31,$B$14)=0,AND($G31=1,M$19=$B$15)),1,0)*$B$9)*(1+$D31)^(M$19-1)</f>
        <v>3022857.09603417</v>
      </c>
      <c r="N31" s="46" t="n">
        <f aca="false">(($B$4*$B31+$B$5)-IF(OR(MOD(N$19+$F31,$B$14)=0,AND($G31=1,N$19=$B$15)),1,0)*$B$5)*(1+$C31)^(N$19-1)*(1-$B$10)-($B$7-IF(OR(MOD(N$19+$F31,$B$14)=0,AND($G31=1,N$19=$B$15)),1,0)*$B$6+$B$8+IF(OR(MOD(N$19+$F31,$B$14)=0,AND($G31=1,N$19=$B$15)),1,0)*$B$9)*(1+$D31)^(N$19-1)</f>
        <v>3121342.84617854</v>
      </c>
      <c r="O31" s="46" t="n">
        <f aca="false">(($B$4*$B31+$B$5)-IF(OR(MOD(O$19+$F31,$B$14)=0,AND($G31=1,O$19=$B$15)),1,0)*$B$5)*(1+$C31)^(O$19-1)*(1-$B$10)-($B$7-IF(OR(MOD(O$19+$F31,$B$14)=0,AND($G31=1,O$19=$B$15)),1,0)*$B$6+$B$8+IF(OR(MOD(O$19+$F31,$B$14)=0,AND($G31=1,O$19=$B$15)),1,0)*$B$9)*(1+$D31)^(O$19-1)</f>
        <v>3223015.41562206</v>
      </c>
      <c r="P31" s="46" t="n">
        <f aca="false">(($B$4*$B31+$B$5)-IF(OR(MOD(P$19+$F31,$B$14)=0,AND($G31=1,P$19=$B$15)),1,0)*$B$5)*(1+$C31)^(P$19-1)*(1-$B$10)-($B$7-IF(OR(MOD(P$19+$F31,$B$14)=0,AND($G31=1,P$19=$B$15)),1,0)*$B$6+$B$8+IF(OR(MOD(P$19+$F31,$B$14)=0,AND($G31=1,P$19=$B$15)),1,0)*$B$9)*(1+$D31)^(P$19-1)</f>
        <v>3327977.34107227</v>
      </c>
      <c r="Q31" s="46" t="n">
        <f aca="false">(($B$4*$B31+$B$5)-IF(OR(MOD(Q$19+$F31,$B$14)=0,AND($G31=1,Q$19=$B$15)),1,0)*$B$5)*(1+$C31)^(Q$19-1)*(1-$B$10)-($B$7-IF(OR(MOD(Q$19+$F31,$B$14)=0,AND($G31=1,Q$19=$B$15)),1,0)*$B$6+$B$8+IF(OR(MOD(Q$19+$F31,$B$14)=0,AND($G31=1,Q$19=$B$15)),1,0)*$B$9)*(1+$D31)^(Q$19-1)</f>
        <v>3436334.44274328</v>
      </c>
      <c r="R31" s="46" t="n">
        <f aca="false">($B$4*$B31+$B$5)*(1+$C31)^$B$15*(1-$B$10)-$B$7*(1+$D31)^$B$15</f>
        <v>3711317.51956215</v>
      </c>
      <c r="S31" s="46" t="n">
        <f aca="false">R31/$E31/(1+$B$12)*(1-$B$13)-IF($G31=1,0,MOD($F31+$B$15,$B$14)/$B$14*$B$9*(1+$D31)^$B$15)/(1+$B$12)</f>
        <v>61296189.8474493</v>
      </c>
      <c r="T31" s="46" t="n">
        <f aca="false">(NPV($B$11,H31:Q31)+S31/(1+$B$11)^$B$15)/(1+$B$12)</f>
        <v>44054394.532915</v>
      </c>
      <c r="U31" s="46" t="n">
        <f aca="false">T31-$T$20</f>
        <v>2326016.20706826</v>
      </c>
      <c r="V31" s="45" t="n">
        <f aca="false">T31/$T$20-1</f>
        <v>0.0557418308687907</v>
      </c>
    </row>
    <row r="32" customFormat="false" ht="15" hidden="false" customHeight="false" outlineLevel="0" collapsed="false">
      <c r="A32" s="36" t="s">
        <v>586</v>
      </c>
      <c r="B32" s="44" t="n">
        <f aca="false">$B$20</f>
        <v>0.968</v>
      </c>
      <c r="C32" s="51" t="n">
        <f aca="false">$C$20</f>
        <v>0.031</v>
      </c>
      <c r="D32" s="51" t="n">
        <f aca="false">$D$20</f>
        <v>0.028</v>
      </c>
      <c r="E32" s="51" t="n">
        <f aca="false">$E$20+$G$6</f>
        <v>0.0645</v>
      </c>
      <c r="F32" s="49" t="n">
        <f aca="false">$F$20</f>
        <v>3</v>
      </c>
      <c r="G32" s="49" t="n">
        <v>0</v>
      </c>
      <c r="H32" s="46" t="n">
        <f aca="false">(($B$4*$B32+$B$5)-IF(OR(MOD(H$19+$F32,$B$14)=0,AND($G32=1,H$19=$B$15)),1,0)*$B$5)*(1+$C32)^(H$19-1)*(1-$B$10)-($B$7-IF(OR(MOD(H$19+$F32,$B$14)=0,AND($G32=1,H$19=$B$15)),1,0)*$B$6+$B$8+IF(OR(MOD(H$19+$F32,$B$14)=0,AND($G32=1,H$19=$B$15)),1,0)*$B$9)*(1+$D32)^(H$19-1)</f>
        <v>2574859.16593639</v>
      </c>
      <c r="I32" s="46" t="n">
        <f aca="false">(($B$4*$B32+$B$5)-IF(OR(MOD(I$19+$F32,$B$14)=0,AND($G32=1,I$19=$B$15)),1,0)*$B$5)*(1+$C32)^(I$19-1)*(1-$B$10)-($B$7-IF(OR(MOD(I$19+$F32,$B$14)=0,AND($G32=1,I$19=$B$15)),1,0)*$B$6+$B$8+IF(OR(MOD(I$19+$F32,$B$14)=0,AND($G32=1,I$19=$B$15)),1,0)*$B$9)*(1+$D32)^(I$19-1)</f>
        <v>2658840.87990625</v>
      </c>
      <c r="J32" s="46" t="n">
        <f aca="false">(($B$4*$B32+$B$5)-IF(OR(MOD(J$19+$F32,$B$14)=0,AND($G32=1,J$19=$B$15)),1,0)*$B$5)*(1+$C32)^(J$19-1)*(1-$B$10)-($B$7-IF(OR(MOD(J$19+$F32,$B$14)=0,AND($G32=1,J$19=$B$15)),1,0)*$B$6+$B$8+IF(OR(MOD(J$19+$F32,$B$14)=0,AND($G32=1,J$19=$B$15)),1,0)*$B$9)*(1+$D32)^(J$19-1)</f>
        <v>2745542.5372443</v>
      </c>
      <c r="K32" s="46" t="n">
        <f aca="false">(($B$4*$B32+$B$5)-IF(OR(MOD(K$19+$F32,$B$14)=0,AND($G32=1,K$19=$B$15)),1,0)*$B$5)*(1+$C32)^(K$19-1)*(1-$B$10)-($B$7-IF(OR(MOD(K$19+$F32,$B$14)=0,AND($G32=1,K$19=$B$15)),1,0)*$B$6+$B$8+IF(OR(MOD(K$19+$F32,$B$14)=0,AND($G32=1,K$19=$B$15)),1,0)*$B$9)*(1+$D32)^(K$19-1)</f>
        <v>895025.931563568</v>
      </c>
      <c r="L32" s="46" t="n">
        <f aca="false">(($B$4*$B32+$B$5)-IF(OR(MOD(L$19+$F32,$B$14)=0,AND($G32=1,L$19=$B$15)),1,0)*$B$5)*(1+$C32)^(L$19-1)*(1-$B$10)-($B$7-IF(OR(MOD(L$19+$F32,$B$14)=0,AND($G32=1,L$19=$B$15)),1,0)*$B$6+$B$8+IF(OR(MOD(L$19+$F32,$B$14)=0,AND($G32=1,L$19=$B$15)),1,0)*$B$9)*(1+$D32)^(L$19-1)</f>
        <v>2927458.81048944</v>
      </c>
      <c r="M32" s="46" t="n">
        <f aca="false">(($B$4*$B32+$B$5)-IF(OR(MOD(M$19+$F32,$B$14)=0,AND($G32=1,M$19=$B$15)),1,0)*$B$5)*(1+$C32)^(M$19-1)*(1-$B$10)-($B$7-IF(OR(MOD(M$19+$F32,$B$14)=0,AND($G32=1,M$19=$B$15)),1,0)*$B$6+$B$8+IF(OR(MOD(M$19+$F32,$B$14)=0,AND($G32=1,M$19=$B$15)),1,0)*$B$9)*(1+$D32)^(M$19-1)</f>
        <v>3022857.09603417</v>
      </c>
      <c r="N32" s="46" t="n">
        <f aca="false">(($B$4*$B32+$B$5)-IF(OR(MOD(N$19+$F32,$B$14)=0,AND($G32=1,N$19=$B$15)),1,0)*$B$5)*(1+$C32)^(N$19-1)*(1-$B$10)-($B$7-IF(OR(MOD(N$19+$F32,$B$14)=0,AND($G32=1,N$19=$B$15)),1,0)*$B$6+$B$8+IF(OR(MOD(N$19+$F32,$B$14)=0,AND($G32=1,N$19=$B$15)),1,0)*$B$9)*(1+$D32)^(N$19-1)</f>
        <v>3121342.84617854</v>
      </c>
      <c r="O32" s="46" t="n">
        <f aca="false">(($B$4*$B32+$B$5)-IF(OR(MOD(O$19+$F32,$B$14)=0,AND($G32=1,O$19=$B$15)),1,0)*$B$5)*(1+$C32)^(O$19-1)*(1-$B$10)-($B$7-IF(OR(MOD(O$19+$F32,$B$14)=0,AND($G32=1,O$19=$B$15)),1,0)*$B$6+$B$8+IF(OR(MOD(O$19+$F32,$B$14)=0,AND($G32=1,O$19=$B$15)),1,0)*$B$9)*(1+$D32)^(O$19-1)</f>
        <v>3223015.41562206</v>
      </c>
      <c r="P32" s="46" t="n">
        <f aca="false">(($B$4*$B32+$B$5)-IF(OR(MOD(P$19+$F32,$B$14)=0,AND($G32=1,P$19=$B$15)),1,0)*$B$5)*(1+$C32)^(P$19-1)*(1-$B$10)-($B$7-IF(OR(MOD(P$19+$F32,$B$14)=0,AND($G32=1,P$19=$B$15)),1,0)*$B$6+$B$8+IF(OR(MOD(P$19+$F32,$B$14)=0,AND($G32=1,P$19=$B$15)),1,0)*$B$9)*(1+$D32)^(P$19-1)</f>
        <v>3327977.34107227</v>
      </c>
      <c r="Q32" s="46" t="n">
        <f aca="false">(($B$4*$B32+$B$5)-IF(OR(MOD(Q$19+$F32,$B$14)=0,AND($G32=1,Q$19=$B$15)),1,0)*$B$5)*(1+$C32)^(Q$19-1)*(1-$B$10)-($B$7-IF(OR(MOD(Q$19+$F32,$B$14)=0,AND($G32=1,Q$19=$B$15)),1,0)*$B$6+$B$8+IF(OR(MOD(Q$19+$F32,$B$14)=0,AND($G32=1,Q$19=$B$15)),1,0)*$B$9)*(1+$D32)^(Q$19-1)</f>
        <v>3436334.44274328</v>
      </c>
      <c r="R32" s="46" t="n">
        <f aca="false">($B$4*$B32+$B$5)*(1+$C32)^$B$15*(1-$B$10)-$B$7*(1+$D32)^$B$15</f>
        <v>3711317.51956215</v>
      </c>
      <c r="S32" s="46" t="n">
        <f aca="false">R32/$E32/(1+$B$12)*(1-$B$13)-IF($G32=1,0,MOD($F32+$B$15,$B$14)/$B$14*$B$9*(1+$D32)^$B$15)/(1+$B$12)</f>
        <v>51510946.4051406</v>
      </c>
      <c r="T32" s="46" t="n">
        <f aca="false">(NPV($B$11,H32:Q32)+S32/(1+$B$11)^$B$15)/(1+$B$12)</f>
        <v>39762984.786541</v>
      </c>
      <c r="U32" s="46" t="n">
        <f aca="false">T32-$T$20</f>
        <v>-1965393.53930574</v>
      </c>
      <c r="V32" s="45" t="n">
        <f aca="false">T32/$T$20-1</f>
        <v>-0.0470996865480479</v>
      </c>
    </row>
    <row r="33" customFormat="false" ht="15" hidden="false" customHeight="false" outlineLevel="0" collapsed="false">
      <c r="A33" s="36" t="s">
        <v>587</v>
      </c>
      <c r="B33" s="44" t="n">
        <f aca="false">$B$20</f>
        <v>0.968</v>
      </c>
      <c r="C33" s="51" t="n">
        <f aca="false">$C$20</f>
        <v>0.031</v>
      </c>
      <c r="D33" s="51" t="n">
        <f aca="false">$D$20-$G$5</f>
        <v>0.018</v>
      </c>
      <c r="E33" s="51" t="n">
        <f aca="false">$E$20</f>
        <v>0.0595</v>
      </c>
      <c r="F33" s="49" t="n">
        <f aca="false">$F$20</f>
        <v>3</v>
      </c>
      <c r="G33" s="49" t="n">
        <v>0</v>
      </c>
      <c r="H33" s="46" t="n">
        <f aca="false">(($B$4*$B33+$B$5)-IF(OR(MOD(H$19+$F33,$B$14)=0,AND($G33=1,H$19=$B$15)),1,0)*$B$5)*(1+$C33)^(H$19-1)*(1-$B$10)-($B$7-IF(OR(MOD(H$19+$F33,$B$14)=0,AND($G33=1,H$19=$B$15)),1,0)*$B$6+$B$8+IF(OR(MOD(H$19+$F33,$B$14)=0,AND($G33=1,H$19=$B$15)),1,0)*$B$9)*(1+$D33)^(H$19-1)</f>
        <v>2574859.16593639</v>
      </c>
      <c r="I33" s="46" t="n">
        <f aca="false">(($B$4*$B33+$B$5)-IF(OR(MOD(I$19+$F33,$B$14)=0,AND($G33=1,I$19=$B$15)),1,0)*$B$5)*(1+$C33)^(I$19-1)*(1-$B$10)-($B$7-IF(OR(MOD(I$19+$F33,$B$14)=0,AND($G33=1,I$19=$B$15)),1,0)*$B$6+$B$8+IF(OR(MOD(I$19+$F33,$B$14)=0,AND($G33=1,I$19=$B$15)),1,0)*$B$9)*(1+$D33)^(I$19-1)</f>
        <v>2672711.14599236</v>
      </c>
      <c r="J33" s="46" t="n">
        <f aca="false">(($B$4*$B33+$B$5)-IF(OR(MOD(J$19+$F33,$B$14)=0,AND($G33=1,J$19=$B$15)),1,0)*$B$5)*(1+$C33)^(J$19-1)*(1-$B$10)-($B$7-IF(OR(MOD(J$19+$F33,$B$14)=0,AND($G33=1,J$19=$B$15)),1,0)*$B$6+$B$8+IF(OR(MOD(J$19+$F33,$B$14)=0,AND($G33=1,J$19=$B$15)),1,0)*$B$9)*(1+$D33)^(J$19-1)</f>
        <v>2773921.10165649</v>
      </c>
      <c r="K33" s="46" t="n">
        <f aca="false">(($B$4*$B33+$B$5)-IF(OR(MOD(K$19+$F33,$B$14)=0,AND($G33=1,K$19=$B$15)),1,0)*$B$5)*(1+$C33)^(K$19-1)*(1-$B$10)-($B$7-IF(OR(MOD(K$19+$F33,$B$14)=0,AND($G33=1,K$19=$B$15)),1,0)*$B$6+$B$8+IF(OR(MOD(K$19+$F33,$B$14)=0,AND($G33=1,K$19=$B$15)),1,0)*$B$9)*(1+$D33)^(K$19-1)</f>
        <v>990565.580568368</v>
      </c>
      <c r="L33" s="46" t="n">
        <f aca="false">(($B$4*$B33+$B$5)-IF(OR(MOD(L$19+$F33,$B$14)=0,AND($G33=1,L$19=$B$15)),1,0)*$B$5)*(1+$C33)^(L$19-1)*(1-$B$10)-($B$7-IF(OR(MOD(L$19+$F33,$B$14)=0,AND($G33=1,L$19=$B$15)),1,0)*$B$6+$B$8+IF(OR(MOD(L$19+$F33,$B$14)=0,AND($G33=1,L$19=$B$15)),1,0)*$B$9)*(1+$D33)^(L$19-1)</f>
        <v>2986858.21068911</v>
      </c>
      <c r="M33" s="46" t="n">
        <f aca="false">(($B$4*$B33+$B$5)-IF(OR(MOD(M$19+$F33,$B$14)=0,AND($G33=1,M$19=$B$15)),1,0)*$B$5)*(1+$C33)^(M$19-1)*(1-$B$10)-($B$7-IF(OR(MOD(M$19+$F33,$B$14)=0,AND($G33=1,M$19=$B$15)),1,0)*$B$6+$B$8+IF(OR(MOD(M$19+$F33,$B$14)=0,AND($G33=1,M$19=$B$15)),1,0)*$B$9)*(1+$D33)^(M$19-1)</f>
        <v>3098815.89350262</v>
      </c>
      <c r="N33" s="46" t="n">
        <f aca="false">(($B$4*$B33+$B$5)-IF(OR(MOD(N$19+$F33,$B$14)=0,AND($G33=1,N$19=$B$15)),1,0)*$B$5)*(1+$C33)^(N$19-1)*(1-$B$10)-($B$7-IF(OR(MOD(N$19+$F33,$B$14)=0,AND($G33=1,N$19=$B$15)),1,0)*$B$6+$B$8+IF(OR(MOD(N$19+$F33,$B$14)=0,AND($G33=1,N$19=$B$15)),1,0)*$B$9)*(1+$D33)^(N$19-1)</f>
        <v>3214592.83589244</v>
      </c>
      <c r="O33" s="46" t="n">
        <f aca="false">(($B$4*$B33+$B$5)-IF(OR(MOD(O$19+$F33,$B$14)=0,AND($G33=1,O$19=$B$15)),1,0)*$B$5)*(1+$C33)^(O$19-1)*(1-$B$10)-($B$7-IF(OR(MOD(O$19+$F33,$B$14)=0,AND($G33=1,O$19=$B$15)),1,0)*$B$6+$B$8+IF(OR(MOD(O$19+$F33,$B$14)=0,AND($G33=1,O$19=$B$15)),1,0)*$B$9)*(1+$D33)^(O$19-1)</f>
        <v>3334313.70919078</v>
      </c>
      <c r="P33" s="46" t="n">
        <f aca="false">(($B$4*$B33+$B$5)-IF(OR(MOD(P$19+$F33,$B$14)=0,AND($G33=1,P$19=$B$15)),1,0)*$B$5)*(1+$C33)^(P$19-1)*(1-$B$10)-($B$7-IF(OR(MOD(P$19+$F33,$B$14)=0,AND($G33=1,P$19=$B$15)),1,0)*$B$6+$B$8+IF(OR(MOD(P$19+$F33,$B$14)=0,AND($G33=1,P$19=$B$15)),1,0)*$B$9)*(1+$D33)^(P$19-1)</f>
        <v>3458107.16247832</v>
      </c>
      <c r="Q33" s="46" t="n">
        <f aca="false">(($B$4*$B33+$B$5)-IF(OR(MOD(Q$19+$F33,$B$14)=0,AND($G33=1,Q$19=$B$15)),1,0)*$B$5)*(1+$C33)^(Q$19-1)*(1-$B$10)-($B$7-IF(OR(MOD(Q$19+$F33,$B$14)=0,AND($G33=1,Q$19=$B$15)),1,0)*$B$6+$B$8+IF(OR(MOD(Q$19+$F33,$B$14)=0,AND($G33=1,Q$19=$B$15)),1,0)*$B$9)*(1+$D33)^(Q$19-1)</f>
        <v>3586105.94792721</v>
      </c>
      <c r="R33" s="46" t="n">
        <f aca="false">($B$4*$B33+$B$5)*(1+$C33)^$B$15*(1-$B$10)-$B$7*(1+$D33)^$B$15</f>
        <v>3866377.67117315</v>
      </c>
      <c r="S33" s="46" t="n">
        <f aca="false">R33/$E33/(1+$B$12)*(1-$B$13)-IF($G33=1,0,MOD($F33+$B$15,$B$14)/$B$14*$B$9*(1+$D33)^$B$15)/(1+$B$12)</f>
        <v>58577152.5856615</v>
      </c>
      <c r="T33" s="46" t="n">
        <f aca="false">(NPV($B$11,H33:Q33)+S33/(1+$B$11)^$B$15)/(1+$B$12)</f>
        <v>43279140.5935953</v>
      </c>
      <c r="U33" s="46" t="n">
        <f aca="false">T33-$T$20</f>
        <v>1550762.26774848</v>
      </c>
      <c r="V33" s="45" t="n">
        <f aca="false">T33/$T$20-1</f>
        <v>0.0371632526823582</v>
      </c>
    </row>
    <row r="34" customFormat="false" ht="15" hidden="false" customHeight="false" outlineLevel="0" collapsed="false">
      <c r="A34" s="36" t="s">
        <v>588</v>
      </c>
      <c r="B34" s="44" t="n">
        <f aca="false">$B$20</f>
        <v>0.968</v>
      </c>
      <c r="C34" s="51" t="n">
        <f aca="false">$C$20</f>
        <v>0.031</v>
      </c>
      <c r="D34" s="51" t="n">
        <f aca="false">$D$20+$G$5</f>
        <v>0.038</v>
      </c>
      <c r="E34" s="51" t="n">
        <f aca="false">$E$20</f>
        <v>0.0595</v>
      </c>
      <c r="F34" s="49" t="n">
        <f aca="false">$F$20</f>
        <v>3</v>
      </c>
      <c r="G34" s="49" t="n">
        <v>0</v>
      </c>
      <c r="H34" s="46" t="n">
        <f aca="false">(($B$4*$B34+$B$5)-IF(OR(MOD(H$19+$F34,$B$14)=0,AND($G34=1,H$19=$B$15)),1,0)*$B$5)*(1+$C34)^(H$19-1)*(1-$B$10)-($B$7-IF(OR(MOD(H$19+$F34,$B$14)=0,AND($G34=1,H$19=$B$15)),1,0)*$B$6+$B$8+IF(OR(MOD(H$19+$F34,$B$14)=0,AND($G34=1,H$19=$B$15)),1,0)*$B$9)*(1+$D34)^(H$19-1)</f>
        <v>2574859.16593639</v>
      </c>
      <c r="I34" s="46" t="n">
        <f aca="false">(($B$4*$B34+$B$5)-IF(OR(MOD(I$19+$F34,$B$14)=0,AND($G34=1,I$19=$B$15)),1,0)*$B$5)*(1+$C34)^(I$19-1)*(1-$B$10)-($B$7-IF(OR(MOD(I$19+$F34,$B$14)=0,AND($G34=1,I$19=$B$15)),1,0)*$B$6+$B$8+IF(OR(MOD(I$19+$F34,$B$14)=0,AND($G34=1,I$19=$B$15)),1,0)*$B$9)*(1+$D34)^(I$19-1)</f>
        <v>2644970.61382013</v>
      </c>
      <c r="J34" s="46" t="n">
        <f aca="false">(($B$4*$B34+$B$5)-IF(OR(MOD(J$19+$F34,$B$14)=0,AND($G34=1,J$19=$B$15)),1,0)*$B$5)*(1+$C34)^(J$19-1)*(1-$B$10)-($B$7-IF(OR(MOD(J$19+$F34,$B$14)=0,AND($G34=1,J$19=$B$15)),1,0)*$B$6+$B$8+IF(OR(MOD(J$19+$F34,$B$14)=0,AND($G34=1,J$19=$B$15)),1,0)*$B$9)*(1+$D34)^(J$19-1)</f>
        <v>2716886.56751039</v>
      </c>
      <c r="K34" s="46" t="n">
        <f aca="false">(($B$4*$B34+$B$5)-IF(OR(MOD(K$19+$F34,$B$14)=0,AND($G34=1,K$19=$B$15)),1,0)*$B$5)*(1+$C34)^(K$19-1)*(1-$B$10)-($B$7-IF(OR(MOD(K$19+$F34,$B$14)=0,AND($G34=1,K$19=$B$15)),1,0)*$B$6+$B$8+IF(OR(MOD(K$19+$F34,$B$14)=0,AND($G34=1,K$19=$B$15)),1,0)*$B$9)*(1+$D34)^(K$19-1)</f>
        <v>797609.335486768</v>
      </c>
      <c r="L34" s="46" t="n">
        <f aca="false">(($B$4*$B34+$B$5)-IF(OR(MOD(L$19+$F34,$B$14)=0,AND($G34=1,L$19=$B$15)),1,0)*$B$5)*(1+$C34)^(L$19-1)*(1-$B$10)-($B$7-IF(OR(MOD(L$19+$F34,$B$14)=0,AND($G34=1,L$19=$B$15)),1,0)*$B$6+$B$8+IF(OR(MOD(L$19+$F34,$B$14)=0,AND($G34=1,L$19=$B$15)),1,0)*$B$9)*(1+$D34)^(L$19-1)</f>
        <v>2866300.43751618</v>
      </c>
      <c r="M34" s="46" t="n">
        <f aca="false">(($B$4*$B34+$B$5)-IF(OR(MOD(M$19+$F34,$B$14)=0,AND($G34=1,M$19=$B$15)),1,0)*$B$5)*(1+$C34)^(M$19-1)*(1-$B$10)-($B$7-IF(OR(MOD(M$19+$F34,$B$14)=0,AND($G34=1,M$19=$B$15)),1,0)*$B$6+$B$8+IF(OR(MOD(M$19+$F34,$B$14)=0,AND($G34=1,M$19=$B$15)),1,0)*$B$9)*(1+$D34)^(M$19-1)</f>
        <v>2943884.49682273</v>
      </c>
      <c r="N34" s="46" t="n">
        <f aca="false">(($B$4*$B34+$B$5)-IF(OR(MOD(N$19+$F34,$B$14)=0,AND($G34=1,N$19=$B$15)),1,0)*$B$5)*(1+$C34)^(N$19-1)*(1-$B$10)-($B$7-IF(OR(MOD(N$19+$F34,$B$14)=0,AND($G34=1,N$19=$B$15)),1,0)*$B$6+$B$8+IF(OR(MOD(N$19+$F34,$B$14)=0,AND($G34=1,N$19=$B$15)),1,0)*$B$9)*(1+$D34)^(N$19-1)</f>
        <v>3023445.35430604</v>
      </c>
      <c r="O34" s="46" t="n">
        <f aca="false">(($B$4*$B34+$B$5)-IF(OR(MOD(O$19+$F34,$B$14)=0,AND($G34=1,O$19=$B$15)),1,0)*$B$5)*(1+$C34)^(O$19-1)*(1-$B$10)-($B$7-IF(OR(MOD(O$19+$F34,$B$14)=0,AND($G34=1,O$19=$B$15)),1,0)*$B$6+$B$8+IF(OR(MOD(O$19+$F34,$B$14)=0,AND($G34=1,O$19=$B$15)),1,0)*$B$9)*(1+$D34)^(O$19-1)</f>
        <v>3105028.01501844</v>
      </c>
      <c r="P34" s="46" t="n">
        <f aca="false">(($B$4*$B34+$B$5)-IF(OR(MOD(P$19+$F34,$B$14)=0,AND($G34=1,P$19=$B$15)),1,0)*$B$5)*(1+$C34)^(P$19-1)*(1-$B$10)-($B$7-IF(OR(MOD(P$19+$F34,$B$14)=0,AND($G34=1,P$19=$B$15)),1,0)*$B$6+$B$8+IF(OR(MOD(P$19+$F34,$B$14)=0,AND($G34=1,P$19=$B$15)),1,0)*$B$9)*(1+$D34)^(P$19-1)</f>
        <v>3188678.26069263</v>
      </c>
      <c r="Q34" s="46" t="n">
        <f aca="false">(($B$4*$B34+$B$5)-IF(OR(MOD(Q$19+$F34,$B$14)=0,AND($G34=1,Q$19=$B$15)),1,0)*$B$5)*(1+$C34)^(Q$19-1)*(1-$B$10)-($B$7-IF(OR(MOD(Q$19+$F34,$B$14)=0,AND($G34=1,Q$19=$B$15)),1,0)*$B$6+$B$8+IF(OR(MOD(Q$19+$F34,$B$14)=0,AND($G34=1,Q$19=$B$15)),1,0)*$B$9)*(1+$D34)^(Q$19-1)</f>
        <v>3274442.65031664</v>
      </c>
      <c r="R34" s="46" t="n">
        <f aca="false">($B$4*$B34+$B$5)*(1+$C34)^$B$15*(1-$B$10)-$B$7*(1+$D34)^$B$15</f>
        <v>3542070.90265565</v>
      </c>
      <c r="S34" s="46" t="n">
        <f aca="false">R34/$E34/(1+$B$12)*(1-$B$13)-IF($G34=1,0,MOD($F34+$B$15,$B$14)/$B$14*$B$9*(1+$D34)^$B$15)/(1+$B$12)</f>
        <v>53171217.232403</v>
      </c>
      <c r="T34" s="46" t="n">
        <f aca="false">(NPV($B$11,H34:Q34)+S34/(1+$B$11)^$B$15)/(1+$B$12)</f>
        <v>40053850.6909903</v>
      </c>
      <c r="U34" s="46" t="n">
        <f aca="false">T34-$T$20</f>
        <v>-1674527.6348565</v>
      </c>
      <c r="V34" s="45" t="n">
        <f aca="false">T34/$T$20-1</f>
        <v>-0.0401292286458036</v>
      </c>
    </row>
    <row r="35" customFormat="false" ht="15" hidden="false" customHeight="false" outlineLevel="0" collapsed="false">
      <c r="A35" s="36" t="s">
        <v>589</v>
      </c>
      <c r="B35" s="44" t="n">
        <f aca="false">$B$20-$G$4</f>
        <v>0.948</v>
      </c>
      <c r="C35" s="51" t="n">
        <f aca="false">$C$20</f>
        <v>0.031</v>
      </c>
      <c r="D35" s="51" t="n">
        <f aca="false">$D$20</f>
        <v>0.028</v>
      </c>
      <c r="E35" s="51" t="n">
        <f aca="false">$E$20</f>
        <v>0.0595</v>
      </c>
      <c r="F35" s="49" t="n">
        <f aca="false">$F$20</f>
        <v>3</v>
      </c>
      <c r="G35" s="49" t="n">
        <v>0</v>
      </c>
      <c r="H35" s="46" t="n">
        <f aca="false">(($B$4*$B35+$B$5)-IF(OR(MOD(H$19+$F35,$B$14)=0,AND($G35=1,H$19=$B$15)),1,0)*$B$5)*(1+$C35)^(H$19-1)*(1-$B$10)-($B$7-IF(OR(MOD(H$19+$F35,$B$14)=0,AND($G35=1,H$19=$B$15)),1,0)*$B$6+$B$8+IF(OR(MOD(H$19+$F35,$B$14)=0,AND($G35=1,H$19=$B$15)),1,0)*$B$9)*(1+$D35)^(H$19-1)</f>
        <v>2495659.83070973</v>
      </c>
      <c r="I35" s="46" t="n">
        <f aca="false">(($B$4*$B35+$B$5)-IF(OR(MOD(I$19+$F35,$B$14)=0,AND($G35=1,I$19=$B$15)),1,0)*$B$5)*(1+$C35)^(I$19-1)*(1-$B$10)-($B$7-IF(OR(MOD(I$19+$F35,$B$14)=0,AND($G35=1,I$19=$B$15)),1,0)*$B$6+$B$8+IF(OR(MOD(I$19+$F35,$B$14)=0,AND($G35=1,I$19=$B$15)),1,0)*$B$9)*(1+$D35)^(I$19-1)</f>
        <v>2577186.36528757</v>
      </c>
      <c r="J35" s="46" t="n">
        <f aca="false">(($B$4*$B35+$B$5)-IF(OR(MOD(J$19+$F35,$B$14)=0,AND($G35=1,J$19=$B$15)),1,0)*$B$5)*(1+$C35)^(J$19-1)*(1-$B$10)-($B$7-IF(OR(MOD(J$19+$F35,$B$14)=0,AND($G35=1,J$19=$B$15)),1,0)*$B$6+$B$8+IF(OR(MOD(J$19+$F35,$B$14)=0,AND($G35=1,J$19=$B$15)),1,0)*$B$9)*(1+$D35)^(J$19-1)</f>
        <v>2661356.73267244</v>
      </c>
      <c r="K35" s="46" t="n">
        <f aca="false">(($B$4*$B35+$B$5)-IF(OR(MOD(K$19+$F35,$B$14)=0,AND($G35=1,K$19=$B$15)),1,0)*$B$5)*(1+$C35)^(K$19-1)*(1-$B$10)-($B$7-IF(OR(MOD(K$19+$F35,$B$14)=0,AND($G35=1,K$19=$B$15)),1,0)*$B$6+$B$8+IF(OR(MOD(K$19+$F35,$B$14)=0,AND($G35=1,K$19=$B$15)),1,0)*$B$9)*(1+$D35)^(K$19-1)</f>
        <v>808230.36704998</v>
      </c>
      <c r="L35" s="46" t="n">
        <f aca="false">(($B$4*$B35+$B$5)-IF(OR(MOD(L$19+$F35,$B$14)=0,AND($G35=1,L$19=$B$15)),1,0)*$B$5)*(1+$C35)^(L$19-1)*(1-$B$10)-($B$7-IF(OR(MOD(L$19+$F35,$B$14)=0,AND($G35=1,L$19=$B$15)),1,0)*$B$6+$B$8+IF(OR(MOD(L$19+$F35,$B$14)=0,AND($G35=1,L$19=$B$15)),1,0)*$B$9)*(1+$D35)^(L$19-1)</f>
        <v>2837972.58347593</v>
      </c>
      <c r="M35" s="46" t="n">
        <f aca="false">(($B$4*$B35+$B$5)-IF(OR(MOD(M$19+$F35,$B$14)=0,AND($G35=1,M$19=$B$15)),1,0)*$B$5)*(1+$C35)^(M$19-1)*(1-$B$10)-($B$7-IF(OR(MOD(M$19+$F35,$B$14)=0,AND($G35=1,M$19=$B$15)),1,0)*$B$6+$B$8+IF(OR(MOD(M$19+$F35,$B$14)=0,AND($G35=1,M$19=$B$15)),1,0)*$B$9)*(1+$D35)^(M$19-1)</f>
        <v>2930596.79598324</v>
      </c>
      <c r="N35" s="46" t="n">
        <f aca="false">(($B$4*$B35+$B$5)-IF(OR(MOD(N$19+$F35,$B$14)=0,AND($G35=1,N$19=$B$15)),1,0)*$B$5)*(1+$C35)^(N$19-1)*(1-$B$10)-($B$7-IF(OR(MOD(N$19+$F35,$B$14)=0,AND($G35=1,N$19=$B$15)),1,0)*$B$6+$B$8+IF(OR(MOD(N$19+$F35,$B$14)=0,AND($G35=1,N$19=$B$15)),1,0)*$B$9)*(1+$D35)^(N$19-1)</f>
        <v>3026222.47682603</v>
      </c>
      <c r="O35" s="46" t="n">
        <f aca="false">(($B$4*$B35+$B$5)-IF(OR(MOD(O$19+$F35,$B$14)=0,AND($G35=1,O$19=$B$15)),1,0)*$B$5)*(1+$C35)^(O$19-1)*(1-$B$10)-($B$7-IF(OR(MOD(O$19+$F35,$B$14)=0,AND($G35=1,O$19=$B$15)),1,0)*$B$6+$B$8+IF(OR(MOD(O$19+$F35,$B$14)=0,AND($G35=1,O$19=$B$15)),1,0)*$B$9)*(1+$D35)^(O$19-1)</f>
        <v>3124946.31481963</v>
      </c>
      <c r="P35" s="46" t="n">
        <f aca="false">(($B$4*$B35+$B$5)-IF(OR(MOD(P$19+$F35,$B$14)=0,AND($G35=1,P$19=$B$15)),1,0)*$B$5)*(1+$C35)^(P$19-1)*(1-$B$10)-($B$7-IF(OR(MOD(P$19+$F35,$B$14)=0,AND($G35=1,P$19=$B$15)),1,0)*$B$6+$B$8+IF(OR(MOD(P$19+$F35,$B$14)=0,AND($G35=1,P$19=$B$15)),1,0)*$B$9)*(1+$D35)^(P$19-1)</f>
        <v>3226868.09814496</v>
      </c>
      <c r="Q35" s="46" t="n">
        <f aca="false">(($B$4*$B35+$B$5)-IF(OR(MOD(Q$19+$F35,$B$14)=0,AND($G35=1,Q$19=$B$15)),1,0)*$B$5)*(1+$C35)^(Q$19-1)*(1-$B$10)-($B$7-IF(OR(MOD(Q$19+$F35,$B$14)=0,AND($G35=1,Q$19=$B$15)),1,0)*$B$6+$B$8+IF(OR(MOD(Q$19+$F35,$B$14)=0,AND($G35=1,Q$19=$B$15)),1,0)*$B$9)*(1+$D35)^(Q$19-1)</f>
        <v>3332090.81328523</v>
      </c>
      <c r="R35" s="46" t="n">
        <f aca="false">($B$4*$B35+$B$5)*(1+$C35)^$B$15*(1-$B$10)-$B$7*(1+$D35)^$B$15</f>
        <v>3603842.33759089</v>
      </c>
      <c r="S35" s="46" t="n">
        <f aca="false">R35/$E35/(1+$B$12)*(1-$B$13)-IF($G35=1,0,MOD($F35+$B$15,$B$14)/$B$14*$B$9*(1+$D35)^$B$15)/(1+$B$12)</f>
        <v>54318286.5654241</v>
      </c>
      <c r="T35" s="46" t="n">
        <f aca="false">(NPV($B$11,H35:Q35)+S35/(1+$B$11)^$B$15)/(1+$B$12)</f>
        <v>40428303.9774733</v>
      </c>
      <c r="U35" s="46" t="n">
        <f aca="false">T35-$T$20</f>
        <v>-1300074.34837352</v>
      </c>
      <c r="V35" s="45" t="n">
        <f aca="false">T35/$T$20-1</f>
        <v>-0.0311556403707222</v>
      </c>
    </row>
    <row r="36" customFormat="false" ht="15" hidden="false" customHeight="false" outlineLevel="0" collapsed="false">
      <c r="A36" s="36" t="s">
        <v>590</v>
      </c>
      <c r="B36" s="44" t="n">
        <f aca="false">$B$20+$G$4</f>
        <v>0.988</v>
      </c>
      <c r="C36" s="51" t="n">
        <f aca="false">$C$20</f>
        <v>0.031</v>
      </c>
      <c r="D36" s="51" t="n">
        <f aca="false">$D$20</f>
        <v>0.028</v>
      </c>
      <c r="E36" s="51" t="n">
        <f aca="false">$E$20</f>
        <v>0.0595</v>
      </c>
      <c r="F36" s="49" t="n">
        <f aca="false">$F$20</f>
        <v>3</v>
      </c>
      <c r="G36" s="49" t="n">
        <v>0</v>
      </c>
      <c r="H36" s="46" t="n">
        <f aca="false">(($B$4*$B36+$B$5)-IF(OR(MOD(H$19+$F36,$B$14)=0,AND($G36=1,H$19=$B$15)),1,0)*$B$5)*(1+$C36)^(H$19-1)*(1-$B$10)-($B$7-IF(OR(MOD(H$19+$F36,$B$14)=0,AND($G36=1,H$19=$B$15)),1,0)*$B$6+$B$8+IF(OR(MOD(H$19+$F36,$B$14)=0,AND($G36=1,H$19=$B$15)),1,0)*$B$9)*(1+$D36)^(H$19-1)</f>
        <v>2654058.50116304</v>
      </c>
      <c r="I36" s="46" t="n">
        <f aca="false">(($B$4*$B36+$B$5)-IF(OR(MOD(I$19+$F36,$B$14)=0,AND($G36=1,I$19=$B$15)),1,0)*$B$5)*(1+$C36)^(I$19-1)*(1-$B$10)-($B$7-IF(OR(MOD(I$19+$F36,$B$14)=0,AND($G36=1,I$19=$B$15)),1,0)*$B$6+$B$8+IF(OR(MOD(I$19+$F36,$B$14)=0,AND($G36=1,I$19=$B$15)),1,0)*$B$9)*(1+$D36)^(I$19-1)</f>
        <v>2740495.39452493</v>
      </c>
      <c r="J36" s="46" t="n">
        <f aca="false">(($B$4*$B36+$B$5)-IF(OR(MOD(J$19+$F36,$B$14)=0,AND($G36=1,J$19=$B$15)),1,0)*$B$5)*(1+$C36)^(J$19-1)*(1-$B$10)-($B$7-IF(OR(MOD(J$19+$F36,$B$14)=0,AND($G36=1,J$19=$B$15)),1,0)*$B$6+$B$8+IF(OR(MOD(J$19+$F36,$B$14)=0,AND($G36=1,J$19=$B$15)),1,0)*$B$9)*(1+$D36)^(J$19-1)</f>
        <v>2829728.34181616</v>
      </c>
      <c r="K36" s="46" t="n">
        <f aca="false">(($B$4*$B36+$B$5)-IF(OR(MOD(K$19+$F36,$B$14)=0,AND($G36=1,K$19=$B$15)),1,0)*$B$5)*(1+$C36)^(K$19-1)*(1-$B$10)-($B$7-IF(OR(MOD(K$19+$F36,$B$14)=0,AND($G36=1,K$19=$B$15)),1,0)*$B$6+$B$8+IF(OR(MOD(K$19+$F36,$B$14)=0,AND($G36=1,K$19=$B$15)),1,0)*$B$9)*(1+$D36)^(K$19-1)</f>
        <v>981821.496077156</v>
      </c>
      <c r="L36" s="46" t="n">
        <f aca="false">(($B$4*$B36+$B$5)-IF(OR(MOD(L$19+$F36,$B$14)=0,AND($G36=1,L$19=$B$15)),1,0)*$B$5)*(1+$C36)^(L$19-1)*(1-$B$10)-($B$7-IF(OR(MOD(L$19+$F36,$B$14)=0,AND($G36=1,L$19=$B$15)),1,0)*$B$6+$B$8+IF(OR(MOD(L$19+$F36,$B$14)=0,AND($G36=1,L$19=$B$15)),1,0)*$B$9)*(1+$D36)^(L$19-1)</f>
        <v>3016945.03750295</v>
      </c>
      <c r="M36" s="46" t="n">
        <f aca="false">(($B$4*$B36+$B$5)-IF(OR(MOD(M$19+$F36,$B$14)=0,AND($G36=1,M$19=$B$15)),1,0)*$B$5)*(1+$C36)^(M$19-1)*(1-$B$10)-($B$7-IF(OR(MOD(M$19+$F36,$B$14)=0,AND($G36=1,M$19=$B$15)),1,0)*$B$6+$B$8+IF(OR(MOD(M$19+$F36,$B$14)=0,AND($G36=1,M$19=$B$15)),1,0)*$B$9)*(1+$D36)^(M$19-1)</f>
        <v>3115117.3960851</v>
      </c>
      <c r="N36" s="46" t="n">
        <f aca="false">(($B$4*$B36+$B$5)-IF(OR(MOD(N$19+$F36,$B$14)=0,AND($G36=1,N$19=$B$15)),1,0)*$B$5)*(1+$C36)^(N$19-1)*(1-$B$10)-($B$7-IF(OR(MOD(N$19+$F36,$B$14)=0,AND($G36=1,N$19=$B$15)),1,0)*$B$6+$B$8+IF(OR(MOD(N$19+$F36,$B$14)=0,AND($G36=1,N$19=$B$15)),1,0)*$B$9)*(1+$D36)^(N$19-1)</f>
        <v>3216463.21553104</v>
      </c>
      <c r="O36" s="46" t="n">
        <f aca="false">(($B$4*$B36+$B$5)-IF(OR(MOD(O$19+$F36,$B$14)=0,AND($G36=1,O$19=$B$15)),1,0)*$B$5)*(1+$C36)^(O$19-1)*(1-$B$10)-($B$7-IF(OR(MOD(O$19+$F36,$B$14)=0,AND($G36=1,O$19=$B$15)),1,0)*$B$6+$B$8+IF(OR(MOD(O$19+$F36,$B$14)=0,AND($G36=1,O$19=$B$15)),1,0)*$B$9)*(1+$D36)^(O$19-1)</f>
        <v>3321084.51642449</v>
      </c>
      <c r="P36" s="46" t="n">
        <f aca="false">(($B$4*$B36+$B$5)-IF(OR(MOD(P$19+$F36,$B$14)=0,AND($G36=1,P$19=$B$15)),1,0)*$B$5)*(1+$C36)^(P$19-1)*(1-$B$10)-($B$7-IF(OR(MOD(P$19+$F36,$B$14)=0,AND($G36=1,P$19=$B$15)),1,0)*$B$6+$B$8+IF(OR(MOD(P$19+$F36,$B$14)=0,AND($G36=1,P$19=$B$15)),1,0)*$B$9)*(1+$D36)^(P$19-1)</f>
        <v>3429086.58399958</v>
      </c>
      <c r="Q36" s="46" t="n">
        <f aca="false">(($B$4*$B36+$B$5)-IF(OR(MOD(Q$19+$F36,$B$14)=0,AND($G36=1,Q$19=$B$15)),1,0)*$B$5)*(1+$C36)^(Q$19-1)*(1-$B$10)-($B$7-IF(OR(MOD(Q$19+$F36,$B$14)=0,AND($G36=1,Q$19=$B$15)),1,0)*$B$6+$B$8+IF(OR(MOD(Q$19+$F36,$B$14)=0,AND($G36=1,Q$19=$B$15)),1,0)*$B$9)*(1+$D36)^(Q$19-1)</f>
        <v>3540578.07220134</v>
      </c>
      <c r="R36" s="46" t="n">
        <f aca="false">($B$4*$B36+$B$5)*(1+$C36)^$B$15*(1-$B$10)-$B$7*(1+$D36)^$B$15</f>
        <v>3818792.7015334</v>
      </c>
      <c r="S36" s="46" t="n">
        <f aca="false">R36/$E36/(1+$B$12)*(1-$B$13)-IF($G36=1,0,MOD($F36+$B$15,$B$14)/$B$14*$B$9*(1+$D36)^$B$15)/(1+$B$12)</f>
        <v>57666560.3222659</v>
      </c>
      <c r="T36" s="46" t="n">
        <f aca="false">(NPV($B$11,H36:Q36)+S36/(1+$B$11)^$B$15)/(1+$B$12)</f>
        <v>43028452.6742203</v>
      </c>
      <c r="U36" s="46" t="n">
        <f aca="false">T36-$T$20</f>
        <v>1300074.34837354</v>
      </c>
      <c r="V36" s="45" t="n">
        <f aca="false">T36/$T$20-1</f>
        <v>0.0311556403707227</v>
      </c>
    </row>
    <row r="37" customFormat="false" ht="15" hidden="false" customHeight="false" outlineLevel="0" collapsed="false">
      <c r="A37" s="36" t="s">
        <v>591</v>
      </c>
      <c r="B37" s="44" t="n">
        <f aca="false">$B$20-$G$7</f>
        <v>0.918</v>
      </c>
      <c r="C37" s="51" t="n">
        <f aca="false">$C$20</f>
        <v>0.031</v>
      </c>
      <c r="D37" s="51" t="n">
        <f aca="false">$D$20</f>
        <v>0.028</v>
      </c>
      <c r="E37" s="51" t="n">
        <f aca="false">$E$20</f>
        <v>0.0595</v>
      </c>
      <c r="F37" s="49" t="n">
        <f aca="false">$F$20</f>
        <v>3</v>
      </c>
      <c r="G37" s="49" t="n">
        <v>0</v>
      </c>
      <c r="H37" s="46" t="n">
        <f aca="false">(($B$4*$B37+$B$5)-IF(OR(MOD(H$19+$F37,$B$14)=0,AND($G37=1,H$19=$B$15)),1,0)*$B$5)*(1+$C37)^(H$19-1)*(1-$B$10)-($B$7-IF(OR(MOD(H$19+$F37,$B$14)=0,AND($G37=1,H$19=$B$15)),1,0)*$B$6+$B$8+IF(OR(MOD(H$19+$F37,$B$14)=0,AND($G37=1,H$19=$B$15)),1,0)*$B$9)*(1+$D37)^(H$19-1)</f>
        <v>2376860.82786975</v>
      </c>
      <c r="I37" s="46" t="n">
        <f aca="false">(($B$4*$B37+$B$5)-IF(OR(MOD(I$19+$F37,$B$14)=0,AND($G37=1,I$19=$B$15)),1,0)*$B$5)*(1+$C37)^(I$19-1)*(1-$B$10)-($B$7-IF(OR(MOD(I$19+$F37,$B$14)=0,AND($G37=1,I$19=$B$15)),1,0)*$B$6+$B$8+IF(OR(MOD(I$19+$F37,$B$14)=0,AND($G37=1,I$19=$B$15)),1,0)*$B$9)*(1+$D37)^(I$19-1)</f>
        <v>2454704.59335955</v>
      </c>
      <c r="J37" s="46" t="n">
        <f aca="false">(($B$4*$B37+$B$5)-IF(OR(MOD(J$19+$F37,$B$14)=0,AND($G37=1,J$19=$B$15)),1,0)*$B$5)*(1+$C37)^(J$19-1)*(1-$B$10)-($B$7-IF(OR(MOD(J$19+$F37,$B$14)=0,AND($G37=1,J$19=$B$15)),1,0)*$B$6+$B$8+IF(OR(MOD(J$19+$F37,$B$14)=0,AND($G37=1,J$19=$B$15)),1,0)*$B$9)*(1+$D37)^(J$19-1)</f>
        <v>2535078.02581465</v>
      </c>
      <c r="K37" s="46" t="n">
        <f aca="false">(($B$4*$B37+$B$5)-IF(OR(MOD(K$19+$F37,$B$14)=0,AND($G37=1,K$19=$B$15)),1,0)*$B$5)*(1+$C37)^(K$19-1)*(1-$B$10)-($B$7-IF(OR(MOD(K$19+$F37,$B$14)=0,AND($G37=1,K$19=$B$15)),1,0)*$B$6+$B$8+IF(OR(MOD(K$19+$F37,$B$14)=0,AND($G37=1,K$19=$B$15)),1,0)*$B$9)*(1+$D37)^(K$19-1)</f>
        <v>678037.020279598</v>
      </c>
      <c r="L37" s="46" t="n">
        <f aca="false">(($B$4*$B37+$B$5)-IF(OR(MOD(L$19+$F37,$B$14)=0,AND($G37=1,L$19=$B$15)),1,0)*$B$5)*(1+$C37)^(L$19-1)*(1-$B$10)-($B$7-IF(OR(MOD(L$19+$F37,$B$14)=0,AND($G37=1,L$19=$B$15)),1,0)*$B$6+$B$8+IF(OR(MOD(L$19+$F37,$B$14)=0,AND($G37=1,L$19=$B$15)),1,0)*$B$9)*(1+$D37)^(L$19-1)</f>
        <v>2703743.24295567</v>
      </c>
      <c r="M37" s="46" t="n">
        <f aca="false">(($B$4*$B37+$B$5)-IF(OR(MOD(M$19+$F37,$B$14)=0,AND($G37=1,M$19=$B$15)),1,0)*$B$5)*(1+$C37)^(M$19-1)*(1-$B$10)-($B$7-IF(OR(MOD(M$19+$F37,$B$14)=0,AND($G37=1,M$19=$B$15)),1,0)*$B$6+$B$8+IF(OR(MOD(M$19+$F37,$B$14)=0,AND($G37=1,M$19=$B$15)),1,0)*$B$9)*(1+$D37)^(M$19-1)</f>
        <v>2792206.34590685</v>
      </c>
      <c r="N37" s="46" t="n">
        <f aca="false">(($B$4*$B37+$B$5)-IF(OR(MOD(N$19+$F37,$B$14)=0,AND($G37=1,N$19=$B$15)),1,0)*$B$5)*(1+$C37)^(N$19-1)*(1-$B$10)-($B$7-IF(OR(MOD(N$19+$F37,$B$14)=0,AND($G37=1,N$19=$B$15)),1,0)*$B$6+$B$8+IF(OR(MOD(N$19+$F37,$B$14)=0,AND($G37=1,N$19=$B$15)),1,0)*$B$9)*(1+$D37)^(N$19-1)</f>
        <v>2883541.92279727</v>
      </c>
      <c r="O37" s="46" t="n">
        <f aca="false">(($B$4*$B37+$B$5)-IF(OR(MOD(O$19+$F37,$B$14)=0,AND($G37=1,O$19=$B$15)),1,0)*$B$5)*(1+$C37)^(O$19-1)*(1-$B$10)-($B$7-IF(OR(MOD(O$19+$F37,$B$14)=0,AND($G37=1,O$19=$B$15)),1,0)*$B$6+$B$8+IF(OR(MOD(O$19+$F37,$B$14)=0,AND($G37=1,O$19=$B$15)),1,0)*$B$9)*(1+$D37)^(O$19-1)</f>
        <v>2977842.66361597</v>
      </c>
      <c r="P37" s="46" t="n">
        <f aca="false">(($B$4*$B37+$B$5)-IF(OR(MOD(P$19+$F37,$B$14)=0,AND($G37=1,P$19=$B$15)),1,0)*$B$5)*(1+$C37)^(P$19-1)*(1-$B$10)-($B$7-IF(OR(MOD(P$19+$F37,$B$14)=0,AND($G37=1,P$19=$B$15)),1,0)*$B$6+$B$8+IF(OR(MOD(P$19+$F37,$B$14)=0,AND($G37=1,P$19=$B$15)),1,0)*$B$9)*(1+$D37)^(P$19-1)</f>
        <v>3075204.233754</v>
      </c>
      <c r="Q37" s="46" t="n">
        <f aca="false">(($B$4*$B37+$B$5)-IF(OR(MOD(Q$19+$F37,$B$14)=0,AND($G37=1,Q$19=$B$15)),1,0)*$B$5)*(1+$C37)^(Q$19-1)*(1-$B$10)-($B$7-IF(OR(MOD(Q$19+$F37,$B$14)=0,AND($G37=1,Q$19=$B$15)),1,0)*$B$6+$B$8+IF(OR(MOD(Q$19+$F37,$B$14)=0,AND($G37=1,Q$19=$B$15)),1,0)*$B$9)*(1+$D37)^(Q$19-1)</f>
        <v>3175725.36909814</v>
      </c>
      <c r="R37" s="46" t="n">
        <f aca="false">($B$4*$B37+$B$5)*(1+$C37)^$B$15*(1-$B$10)-$B$7*(1+$D37)^$B$15</f>
        <v>3442629.56463401</v>
      </c>
      <c r="S37" s="46" t="n">
        <f aca="false">R37/$E37/(1+$B$12)*(1-$B$13)-IF($G37=1,0,MOD($F37+$B$15,$B$14)/$B$14*$B$9*(1+$D37)^$B$15)/(1+$B$12)</f>
        <v>51807081.2477928</v>
      </c>
      <c r="T37" s="46" t="n">
        <f aca="false">(NPV($B$11,H37:Q37)+S37/(1+$B$11)^$B$15)/(1+$B$12)</f>
        <v>38478192.454913</v>
      </c>
      <c r="U37" s="46" t="n">
        <f aca="false">T37-$T$20</f>
        <v>-3250185.87093381</v>
      </c>
      <c r="V37" s="45" t="n">
        <f aca="false">T37/$T$20-1</f>
        <v>-0.0778891009268057</v>
      </c>
    </row>
    <row r="38" customFormat="false" ht="15" hidden="false" customHeight="false" outlineLevel="0" collapsed="false">
      <c r="A38" s="36" t="s">
        <v>592</v>
      </c>
      <c r="B38" s="44" t="n">
        <f aca="false">$B$20</f>
        <v>0.968</v>
      </c>
      <c r="C38" s="51" t="n">
        <f aca="false">$G$8</f>
        <v>0.015</v>
      </c>
      <c r="D38" s="51" t="n">
        <f aca="false">$D$20</f>
        <v>0.028</v>
      </c>
      <c r="E38" s="51" t="n">
        <f aca="false">$E$20</f>
        <v>0.0595</v>
      </c>
      <c r="F38" s="49" t="n">
        <f aca="false">$F$20</f>
        <v>3</v>
      </c>
      <c r="G38" s="49" t="n">
        <v>0</v>
      </c>
      <c r="H38" s="46" t="n">
        <f aca="false">(($B$4*$B38+$B$5)-IF(OR(MOD(H$19+$F38,$B$14)=0,AND($G38=1,H$19=$B$15)),1,0)*$B$5)*(1+$C38)^(H$19-1)*(1-$B$10)-($B$7-IF(OR(MOD(H$19+$F38,$B$14)=0,AND($G38=1,H$19=$B$15)),1,0)*$B$6+$B$8+IF(OR(MOD(H$19+$F38,$B$14)=0,AND($G38=1,H$19=$B$15)),1,0)*$B$9)*(1+$D38)^(H$19-1)</f>
        <v>2574859.16593639</v>
      </c>
      <c r="I38" s="46" t="n">
        <f aca="false">(($B$4*$B38+$B$5)-IF(OR(MOD(I$19+$F38,$B$14)=0,AND($G38=1,I$19=$B$15)),1,0)*$B$5)*(1+$C38)^(I$19-1)*(1-$B$10)-($B$7-IF(OR(MOD(I$19+$F38,$B$14)=0,AND($G38=1,I$19=$B$15)),1,0)*$B$6+$B$8+IF(OR(MOD(I$19+$F38,$B$14)=0,AND($G38=1,I$19=$B$15)),1,0)*$B$9)*(1+$D38)^(I$19-1)</f>
        <v>2595450.70751348</v>
      </c>
      <c r="J38" s="46" t="n">
        <f aca="false">(($B$4*$B38+$B$5)-IF(OR(MOD(J$19+$F38,$B$14)=0,AND($G38=1,J$19=$B$15)),1,0)*$B$5)*(1+$C38)^(J$19-1)*(1-$B$10)-($B$7-IF(OR(MOD(J$19+$F38,$B$14)=0,AND($G38=1,J$19=$B$15)),1,0)*$B$6+$B$8+IF(OR(MOD(J$19+$F38,$B$14)=0,AND($G38=1,J$19=$B$15)),1,0)*$B$9)*(1+$D38)^(J$19-1)</f>
        <v>2615846.2445287</v>
      </c>
      <c r="K38" s="46" t="n">
        <f aca="false">(($B$4*$B38+$B$5)-IF(OR(MOD(K$19+$F38,$B$14)=0,AND($G38=1,K$19=$B$15)),1,0)*$B$5)*(1+$C38)^(K$19-1)*(1-$B$10)-($B$7-IF(OR(MOD(K$19+$F38,$B$14)=0,AND($G38=1,K$19=$B$15)),1,0)*$B$6+$B$8+IF(OR(MOD(K$19+$F38,$B$14)=0,AND($G38=1,K$19=$B$15)),1,0)*$B$9)*(1+$D38)^(K$19-1)</f>
        <v>702464.965692925</v>
      </c>
      <c r="L38" s="46" t="n">
        <f aca="false">(($B$4*$B38+$B$5)-IF(OR(MOD(L$19+$F38,$B$14)=0,AND($G38=1,L$19=$B$15)),1,0)*$B$5)*(1+$C38)^(L$19-1)*(1-$B$10)-($B$7-IF(OR(MOD(L$19+$F38,$B$14)=0,AND($G38=1,L$19=$B$15)),1,0)*$B$6+$B$8+IF(OR(MOD(L$19+$F38,$B$14)=0,AND($G38=1,L$19=$B$15)),1,0)*$B$9)*(1+$D38)^(L$19-1)</f>
        <v>2655980.34632526</v>
      </c>
      <c r="M38" s="46" t="n">
        <f aca="false">(($B$4*$B38+$B$5)-IF(OR(MOD(M$19+$F38,$B$14)=0,AND($G38=1,M$19=$B$15)),1,0)*$B$5)*(1+$C38)^(M$19-1)*(1-$B$10)-($B$7-IF(OR(MOD(M$19+$F38,$B$14)=0,AND($G38=1,M$19=$B$15)),1,0)*$B$6+$B$8+IF(OR(MOD(M$19+$F38,$B$14)=0,AND($G38=1,M$19=$B$15)),1,0)*$B$9)*(1+$D38)^(M$19-1)</f>
        <v>2675682.78103538</v>
      </c>
      <c r="N38" s="46" t="n">
        <f aca="false">(($B$4*$B38+$B$5)-IF(OR(MOD(N$19+$F38,$B$14)=0,AND($G38=1,N$19=$B$15)),1,0)*$B$5)*(1+$C38)^(N$19-1)*(1-$B$10)-($B$7-IF(OR(MOD(N$19+$F38,$B$14)=0,AND($G38=1,N$19=$B$15)),1,0)*$B$6+$B$8+IF(OR(MOD(N$19+$F38,$B$14)=0,AND($G38=1,N$19=$B$15)),1,0)*$B$9)*(1+$D38)^(N$19-1)</f>
        <v>2695116.90869259</v>
      </c>
      <c r="O38" s="46" t="n">
        <f aca="false">(($B$4*$B38+$B$5)-IF(OR(MOD(O$19+$F38,$B$14)=0,AND($G38=1,O$19=$B$15)),1,0)*$B$5)*(1+$C38)^(O$19-1)*(1-$B$10)-($B$7-IF(OR(MOD(O$19+$F38,$B$14)=0,AND($G38=1,O$19=$B$15)),1,0)*$B$6+$B$8+IF(OR(MOD(O$19+$F38,$B$14)=0,AND($G38=1,O$19=$B$15)),1,0)*$B$9)*(1+$D38)^(O$19-1)</f>
        <v>2714262.91707102</v>
      </c>
      <c r="P38" s="46" t="n">
        <f aca="false">(($B$4*$B38+$B$5)-IF(OR(MOD(P$19+$F38,$B$14)=0,AND($G38=1,P$19=$B$15)),1,0)*$B$5)*(1+$C38)^(P$19-1)*(1-$B$10)-($B$7-IF(OR(MOD(P$19+$F38,$B$14)=0,AND($G38=1,P$19=$B$15)),1,0)*$B$6+$B$8+IF(OR(MOD(P$19+$F38,$B$14)=0,AND($G38=1,P$19=$B$15)),1,0)*$B$9)*(1+$D38)^(P$19-1)</f>
        <v>2733100.25470807</v>
      </c>
      <c r="Q38" s="46" t="n">
        <f aca="false">(($B$4*$B38+$B$5)-IF(OR(MOD(Q$19+$F38,$B$14)=0,AND($G38=1,Q$19=$B$15)),1,0)*$B$5)*(1+$C38)^(Q$19-1)*(1-$B$10)-($B$7-IF(OR(MOD(Q$19+$F38,$B$14)=0,AND($G38=1,Q$19=$B$15)),1,0)*$B$6+$B$8+IF(OR(MOD(Q$19+$F38,$B$14)=0,AND($G38=1,Q$19=$B$15)),1,0)*$B$9)*(1+$D38)^(Q$19-1)</f>
        <v>2751607.60743835</v>
      </c>
      <c r="R38" s="46" t="n">
        <f aca="false">($B$4*$B38+$B$5)*(1+$C38)^$B$15*(1-$B$10)-$B$7*(1+$D38)^$B$15</f>
        <v>2932884.46471036</v>
      </c>
      <c r="S38" s="46" t="n">
        <f aca="false">R38/$E38/(1+$B$12)*(1-$B$13)-IF($G38=1,0,MOD($F38+$B$15,$B$14)/$B$14*$B$9*(1+$D38)^$B$15)/(1+$B$12)</f>
        <v>43866800.9456413</v>
      </c>
      <c r="T38" s="46" t="n">
        <f aca="false">(NPV($B$11,H38:Q38)+S38/(1+$B$11)^$B$15)/(1+$B$12)</f>
        <v>34672497.1737443</v>
      </c>
      <c r="U38" s="46" t="n">
        <f aca="false">T38-$T$20</f>
        <v>-7055881.1521025</v>
      </c>
      <c r="V38" s="45" t="n">
        <f aca="false">T38/$T$20-1</f>
        <v>-0.169090710810874</v>
      </c>
    </row>
    <row r="39" customFormat="false" ht="15" hidden="false" customHeight="false" outlineLevel="0" collapsed="false">
      <c r="A39" s="36" t="s">
        <v>593</v>
      </c>
      <c r="B39" s="44" t="n">
        <f aca="false">$B$20</f>
        <v>0.968</v>
      </c>
      <c r="C39" s="51" t="n">
        <f aca="false">$C$20</f>
        <v>0.031</v>
      </c>
      <c r="D39" s="51" t="n">
        <f aca="false">$G$9</f>
        <v>0.045</v>
      </c>
      <c r="E39" s="51" t="n">
        <f aca="false">$E$20</f>
        <v>0.0595</v>
      </c>
      <c r="F39" s="49" t="n">
        <f aca="false">$F$20</f>
        <v>3</v>
      </c>
      <c r="G39" s="49" t="n">
        <v>0</v>
      </c>
      <c r="H39" s="46" t="n">
        <f aca="false">(($B$4*$B39+$B$5)-IF(OR(MOD(H$19+$F39,$B$14)=0,AND($G39=1,H$19=$B$15)),1,0)*$B$5)*(1+$C39)^(H$19-1)*(1-$B$10)-($B$7-IF(OR(MOD(H$19+$F39,$B$14)=0,AND($G39=1,H$19=$B$15)),1,0)*$B$6+$B$8+IF(OR(MOD(H$19+$F39,$B$14)=0,AND($G39=1,H$19=$B$15)),1,0)*$B$9)*(1+$D39)^(H$19-1)</f>
        <v>2574859.16593639</v>
      </c>
      <c r="I39" s="46" t="n">
        <f aca="false">(($B$4*$B39+$B$5)-IF(OR(MOD(I$19+$F39,$B$14)=0,AND($G39=1,I$19=$B$15)),1,0)*$B$5)*(1+$C39)^(I$19-1)*(1-$B$10)-($B$7-IF(OR(MOD(I$19+$F39,$B$14)=0,AND($G39=1,I$19=$B$15)),1,0)*$B$6+$B$8+IF(OR(MOD(I$19+$F39,$B$14)=0,AND($G39=1,I$19=$B$15)),1,0)*$B$9)*(1+$D39)^(I$19-1)</f>
        <v>2635261.42755986</v>
      </c>
      <c r="J39" s="46" t="n">
        <f aca="false">(($B$4*$B39+$B$5)-IF(OR(MOD(J$19+$F39,$B$14)=0,AND($G39=1,J$19=$B$15)),1,0)*$B$5)*(1+$C39)^(J$19-1)*(1-$B$10)-($B$7-IF(OR(MOD(J$19+$F39,$B$14)=0,AND($G39=1,J$19=$B$15)),1,0)*$B$6+$B$8+IF(OR(MOD(J$19+$F39,$B$14)=0,AND($G39=1,J$19=$B$15)),1,0)*$B$9)*(1+$D39)^(J$19-1)</f>
        <v>2696662.33253023</v>
      </c>
      <c r="K39" s="46" t="n">
        <f aca="false">(($B$4*$B39+$B$5)-IF(OR(MOD(K$19+$F39,$B$14)=0,AND($G39=1,K$19=$B$15)),1,0)*$B$5)*(1+$C39)^(K$19-1)*(1-$B$10)-($B$7-IF(OR(MOD(K$19+$F39,$B$14)=0,AND($G39=1,K$19=$B$15)),1,0)*$B$6+$B$8+IF(OR(MOD(K$19+$F39,$B$14)=0,AND($G39=1,K$19=$B$15)),1,0)*$B$9)*(1+$D39)^(K$19-1)</f>
        <v>728291.157437649</v>
      </c>
      <c r="L39" s="46" t="n">
        <f aca="false">(($B$4*$B39+$B$5)-IF(OR(MOD(L$19+$F39,$B$14)=0,AND($G39=1,L$19=$B$15)),1,0)*$B$5)*(1+$C39)^(L$19-1)*(1-$B$10)-($B$7-IF(OR(MOD(L$19+$F39,$B$14)=0,AND($G39=1,L$19=$B$15)),1,0)*$B$6+$B$8+IF(OR(MOD(L$19+$F39,$B$14)=0,AND($G39=1,L$19=$B$15)),1,0)*$B$9)*(1+$D39)^(L$19-1)</f>
        <v>2822424.586678</v>
      </c>
      <c r="M39" s="46" t="n">
        <f aca="false">(($B$4*$B39+$B$5)-IF(OR(MOD(M$19+$F39,$B$14)=0,AND($G39=1,M$19=$B$15)),1,0)*$B$5)*(1+$C39)^(M$19-1)*(1-$B$10)-($B$7-IF(OR(MOD(M$19+$F39,$B$14)=0,AND($G39=1,M$19=$B$15)),1,0)*$B$6+$B$8+IF(OR(MOD(M$19+$F39,$B$14)=0,AND($G39=1,M$19=$B$15)),1,0)*$B$9)*(1+$D39)^(M$19-1)</f>
        <v>2886762.97844039</v>
      </c>
      <c r="N39" s="46" t="n">
        <f aca="false">(($B$4*$B39+$B$5)-IF(OR(MOD(N$19+$F39,$B$14)=0,AND($G39=1,N$19=$B$15)),1,0)*$B$5)*(1+$C39)^(N$19-1)*(1-$B$10)-($B$7-IF(OR(MOD(N$19+$F39,$B$14)=0,AND($G39=1,N$19=$B$15)),1,0)*$B$6+$B$8+IF(OR(MOD(N$19+$F39,$B$14)=0,AND($G39=1,N$19=$B$15)),1,0)*$B$9)*(1+$D39)^(N$19-1)</f>
        <v>2952053.8056783</v>
      </c>
      <c r="O39" s="46" t="n">
        <f aca="false">(($B$4*$B39+$B$5)-IF(OR(MOD(O$19+$F39,$B$14)=0,AND($G39=1,O$19=$B$15)),1,0)*$B$5)*(1+$C39)^(O$19-1)*(1-$B$10)-($B$7-IF(OR(MOD(O$19+$F39,$B$14)=0,AND($G39=1,O$19=$B$15)),1,0)*$B$6+$B$8+IF(OR(MOD(O$19+$F39,$B$14)=0,AND($G39=1,O$19=$B$15)),1,0)*$B$9)*(1+$D39)^(O$19-1)</f>
        <v>3018279.70143137</v>
      </c>
      <c r="P39" s="46" t="n">
        <f aca="false">(($B$4*$B39+$B$5)-IF(OR(MOD(P$19+$F39,$B$14)=0,AND($G39=1,P$19=$B$15)),1,0)*$B$5)*(1+$C39)^(P$19-1)*(1-$B$10)-($B$7-IF(OR(MOD(P$19+$F39,$B$14)=0,AND($G39=1,P$19=$B$15)),1,0)*$B$6+$B$8+IF(OR(MOD(P$19+$F39,$B$14)=0,AND($G39=1,P$19=$B$15)),1,0)*$B$9)*(1+$D39)^(P$19-1)</f>
        <v>3085420.65020275</v>
      </c>
      <c r="Q39" s="46" t="n">
        <f aca="false">(($B$4*$B39+$B$5)-IF(OR(MOD(Q$19+$F39,$B$14)=0,AND($G39=1,Q$19=$B$15)),1,0)*$B$5)*(1+$C39)^(Q$19-1)*(1-$B$10)-($B$7-IF(OR(MOD(Q$19+$F39,$B$14)=0,AND($G39=1,Q$19=$B$15)),1,0)*$B$6+$B$8+IF(OR(MOD(Q$19+$F39,$B$14)=0,AND($G39=1,Q$19=$B$15)),1,0)*$B$9)*(1+$D39)^(Q$19-1)</f>
        <v>3153453.81089726</v>
      </c>
      <c r="R39" s="46" t="n">
        <f aca="false">($B$4*$B39+$B$5)*(1+$C39)^$B$15*(1-$B$10)-$B$7*(1+$D39)^$B$15</f>
        <v>3414548.82563118</v>
      </c>
      <c r="S39" s="46" t="n">
        <f aca="false">R39/$E39/(1+$B$12)*(1-$B$13)-IF($G39=1,0,MOD($F39+$B$15,$B$14)/$B$14*$B$9*(1+$D39)^$B$15)/(1+$B$12)</f>
        <v>51045525.8456372</v>
      </c>
      <c r="T39" s="46" t="n">
        <f aca="false">(NPV($B$11,H39:Q39)+S39/(1+$B$11)^$B$15)/(1+$B$12)</f>
        <v>38803064.2151757</v>
      </c>
      <c r="U39" s="46" t="n">
        <f aca="false">T39-$T$20</f>
        <v>-2925314.11067107</v>
      </c>
      <c r="V39" s="45" t="n">
        <f aca="false">T39/$T$20-1</f>
        <v>-0.0701037094666849</v>
      </c>
    </row>
    <row r="40" customFormat="false" ht="15" hidden="false" customHeight="false" outlineLevel="0" collapsed="false">
      <c r="A40" s="36" t="s">
        <v>594</v>
      </c>
      <c r="B40" s="44" t="n">
        <f aca="false">$B$20</f>
        <v>0.968</v>
      </c>
      <c r="C40" s="51" t="n">
        <f aca="false">$C$20</f>
        <v>0.031</v>
      </c>
      <c r="D40" s="51" t="n">
        <f aca="false">$D$20</f>
        <v>0.028</v>
      </c>
      <c r="E40" s="51" t="n">
        <f aca="false">$E$20+$G$10</f>
        <v>0.067</v>
      </c>
      <c r="F40" s="49" t="n">
        <f aca="false">$F$20</f>
        <v>3</v>
      </c>
      <c r="G40" s="49" t="n">
        <v>0</v>
      </c>
      <c r="H40" s="46" t="n">
        <f aca="false">(($B$4*$B40+$B$5)-IF(OR(MOD(H$19+$F40,$B$14)=0,AND($G40=1,H$19=$B$15)),1,0)*$B$5)*(1+$C40)^(H$19-1)*(1-$B$10)-($B$7-IF(OR(MOD(H$19+$F40,$B$14)=0,AND($G40=1,H$19=$B$15)),1,0)*$B$6+$B$8+IF(OR(MOD(H$19+$F40,$B$14)=0,AND($G40=1,H$19=$B$15)),1,0)*$B$9)*(1+$D40)^(H$19-1)</f>
        <v>2574859.16593639</v>
      </c>
      <c r="I40" s="46" t="n">
        <f aca="false">(($B$4*$B40+$B$5)-IF(OR(MOD(I$19+$F40,$B$14)=0,AND($G40=1,I$19=$B$15)),1,0)*$B$5)*(1+$C40)^(I$19-1)*(1-$B$10)-($B$7-IF(OR(MOD(I$19+$F40,$B$14)=0,AND($G40=1,I$19=$B$15)),1,0)*$B$6+$B$8+IF(OR(MOD(I$19+$F40,$B$14)=0,AND($G40=1,I$19=$B$15)),1,0)*$B$9)*(1+$D40)^(I$19-1)</f>
        <v>2658840.87990625</v>
      </c>
      <c r="J40" s="46" t="n">
        <f aca="false">(($B$4*$B40+$B$5)-IF(OR(MOD(J$19+$F40,$B$14)=0,AND($G40=1,J$19=$B$15)),1,0)*$B$5)*(1+$C40)^(J$19-1)*(1-$B$10)-($B$7-IF(OR(MOD(J$19+$F40,$B$14)=0,AND($G40=1,J$19=$B$15)),1,0)*$B$6+$B$8+IF(OR(MOD(J$19+$F40,$B$14)=0,AND($G40=1,J$19=$B$15)),1,0)*$B$9)*(1+$D40)^(J$19-1)</f>
        <v>2745542.5372443</v>
      </c>
      <c r="K40" s="46" t="n">
        <f aca="false">(($B$4*$B40+$B$5)-IF(OR(MOD(K$19+$F40,$B$14)=0,AND($G40=1,K$19=$B$15)),1,0)*$B$5)*(1+$C40)^(K$19-1)*(1-$B$10)-($B$7-IF(OR(MOD(K$19+$F40,$B$14)=0,AND($G40=1,K$19=$B$15)),1,0)*$B$6+$B$8+IF(OR(MOD(K$19+$F40,$B$14)=0,AND($G40=1,K$19=$B$15)),1,0)*$B$9)*(1+$D40)^(K$19-1)</f>
        <v>895025.931563568</v>
      </c>
      <c r="L40" s="46" t="n">
        <f aca="false">(($B$4*$B40+$B$5)-IF(OR(MOD(L$19+$F40,$B$14)=0,AND($G40=1,L$19=$B$15)),1,0)*$B$5)*(1+$C40)^(L$19-1)*(1-$B$10)-($B$7-IF(OR(MOD(L$19+$F40,$B$14)=0,AND($G40=1,L$19=$B$15)),1,0)*$B$6+$B$8+IF(OR(MOD(L$19+$F40,$B$14)=0,AND($G40=1,L$19=$B$15)),1,0)*$B$9)*(1+$D40)^(L$19-1)</f>
        <v>2927458.81048944</v>
      </c>
      <c r="M40" s="46" t="n">
        <f aca="false">(($B$4*$B40+$B$5)-IF(OR(MOD(M$19+$F40,$B$14)=0,AND($G40=1,M$19=$B$15)),1,0)*$B$5)*(1+$C40)^(M$19-1)*(1-$B$10)-($B$7-IF(OR(MOD(M$19+$F40,$B$14)=0,AND($G40=1,M$19=$B$15)),1,0)*$B$6+$B$8+IF(OR(MOD(M$19+$F40,$B$14)=0,AND($G40=1,M$19=$B$15)),1,0)*$B$9)*(1+$D40)^(M$19-1)</f>
        <v>3022857.09603417</v>
      </c>
      <c r="N40" s="46" t="n">
        <f aca="false">(($B$4*$B40+$B$5)-IF(OR(MOD(N$19+$F40,$B$14)=0,AND($G40=1,N$19=$B$15)),1,0)*$B$5)*(1+$C40)^(N$19-1)*(1-$B$10)-($B$7-IF(OR(MOD(N$19+$F40,$B$14)=0,AND($G40=1,N$19=$B$15)),1,0)*$B$6+$B$8+IF(OR(MOD(N$19+$F40,$B$14)=0,AND($G40=1,N$19=$B$15)),1,0)*$B$9)*(1+$D40)^(N$19-1)</f>
        <v>3121342.84617854</v>
      </c>
      <c r="O40" s="46" t="n">
        <f aca="false">(($B$4*$B40+$B$5)-IF(OR(MOD(O$19+$F40,$B$14)=0,AND($G40=1,O$19=$B$15)),1,0)*$B$5)*(1+$C40)^(O$19-1)*(1-$B$10)-($B$7-IF(OR(MOD(O$19+$F40,$B$14)=0,AND($G40=1,O$19=$B$15)),1,0)*$B$6+$B$8+IF(OR(MOD(O$19+$F40,$B$14)=0,AND($G40=1,O$19=$B$15)),1,0)*$B$9)*(1+$D40)^(O$19-1)</f>
        <v>3223015.41562206</v>
      </c>
      <c r="P40" s="46" t="n">
        <f aca="false">(($B$4*$B40+$B$5)-IF(OR(MOD(P$19+$F40,$B$14)=0,AND($G40=1,P$19=$B$15)),1,0)*$B$5)*(1+$C40)^(P$19-1)*(1-$B$10)-($B$7-IF(OR(MOD(P$19+$F40,$B$14)=0,AND($G40=1,P$19=$B$15)),1,0)*$B$6+$B$8+IF(OR(MOD(P$19+$F40,$B$14)=0,AND($G40=1,P$19=$B$15)),1,0)*$B$9)*(1+$D40)^(P$19-1)</f>
        <v>3327977.34107227</v>
      </c>
      <c r="Q40" s="46" t="n">
        <f aca="false">(($B$4*$B40+$B$5)-IF(OR(MOD(Q$19+$F40,$B$14)=0,AND($G40=1,Q$19=$B$15)),1,0)*$B$5)*(1+$C40)^(Q$19-1)*(1-$B$10)-($B$7-IF(OR(MOD(Q$19+$F40,$B$14)=0,AND($G40=1,Q$19=$B$15)),1,0)*$B$6+$B$8+IF(OR(MOD(Q$19+$F40,$B$14)=0,AND($G40=1,Q$19=$B$15)),1,0)*$B$9)*(1+$D40)^(Q$19-1)</f>
        <v>3436334.44274328</v>
      </c>
      <c r="R40" s="46" t="n">
        <f aca="false">($B$4*$B40+$B$5)*(1+$C40)^$B$15*(1-$B$10)-$B$7*(1+$D40)^$B$15</f>
        <v>3711317.51956215</v>
      </c>
      <c r="S40" s="46" t="n">
        <f aca="false">R40/$E40/(1+$B$12)*(1-$B$13)-IF($G40=1,0,MOD($F40+$B$15,$B$14)/$B$14*$B$9*(1+$D40)^$B$15)/(1+$B$12)</f>
        <v>49521036.8245218</v>
      </c>
      <c r="T40" s="46" t="n">
        <f aca="false">(NPV($B$11,H40:Q40)+S40/(1+$B$11)^$B$15)/(1+$B$12)</f>
        <v>38890291.3866254</v>
      </c>
      <c r="U40" s="46" t="n">
        <f aca="false">T40-$T$20</f>
        <v>-2838086.93922135</v>
      </c>
      <c r="V40" s="45" t="n">
        <f aca="false">T40/$T$20-1</f>
        <v>-0.0680133533361736</v>
      </c>
    </row>
    <row r="41" customFormat="false" ht="15" hidden="false" customHeight="false" outlineLevel="0" collapsed="false">
      <c r="A41" s="36" t="s">
        <v>595</v>
      </c>
      <c r="B41" s="44" t="n">
        <f aca="false">$B$20</f>
        <v>0.968</v>
      </c>
      <c r="C41" s="51" t="n">
        <f aca="false">$D$20</f>
        <v>0.028</v>
      </c>
      <c r="D41" s="51" t="n">
        <f aca="false">$D$20</f>
        <v>0.028</v>
      </c>
      <c r="E41" s="51" t="n">
        <f aca="false">$E$20</f>
        <v>0.0595</v>
      </c>
      <c r="F41" s="49" t="n">
        <f aca="false">$F$20</f>
        <v>3</v>
      </c>
      <c r="G41" s="49" t="n">
        <v>0</v>
      </c>
      <c r="H41" s="46" t="n">
        <f aca="false">(($B$4*$B41+$B$5)-IF(OR(MOD(H$19+$F41,$B$14)=0,AND($G41=1,H$19=$B$15)),1,0)*$B$5)*(1+$C41)^(H$19-1)*(1-$B$10)-($B$7-IF(OR(MOD(H$19+$F41,$B$14)=0,AND($G41=1,H$19=$B$15)),1,0)*$B$6+$B$8+IF(OR(MOD(H$19+$F41,$B$14)=0,AND($G41=1,H$19=$B$15)),1,0)*$B$9)*(1+$D41)^(H$19-1)</f>
        <v>2574859.16593639</v>
      </c>
      <c r="I41" s="46" t="n">
        <f aca="false">(($B$4*$B41+$B$5)-IF(OR(MOD(I$19+$F41,$B$14)=0,AND($G41=1,I$19=$B$15)),1,0)*$B$5)*(1+$C41)^(I$19-1)*(1-$B$10)-($B$7-IF(OR(MOD(I$19+$F41,$B$14)=0,AND($G41=1,I$19=$B$15)),1,0)*$B$6+$B$8+IF(OR(MOD(I$19+$F41,$B$14)=0,AND($G41=1,I$19=$B$15)),1,0)*$B$9)*(1+$D41)^(I$19-1)</f>
        <v>2646955.2225826</v>
      </c>
      <c r="J41" s="46" t="n">
        <f aca="false">(($B$4*$B41+$B$5)-IF(OR(MOD(J$19+$F41,$B$14)=0,AND($G41=1,J$19=$B$15)),1,0)*$B$5)*(1+$C41)^(J$19-1)*(1-$B$10)-($B$7-IF(OR(MOD(J$19+$F41,$B$14)=0,AND($G41=1,J$19=$B$15)),1,0)*$B$6+$B$8+IF(OR(MOD(J$19+$F41,$B$14)=0,AND($G41=1,J$19=$B$15)),1,0)*$B$9)*(1+$D41)^(J$19-1)</f>
        <v>2721069.96881492</v>
      </c>
      <c r="K41" s="46" t="n">
        <f aca="false">(($B$4*$B41+$B$5)-IF(OR(MOD(K$19+$F41,$B$14)=0,AND($G41=1,K$19=$B$15)),1,0)*$B$5)*(1+$C41)^(K$19-1)*(1-$B$10)-($B$7-IF(OR(MOD(K$19+$F41,$B$14)=0,AND($G41=1,K$19=$B$15)),1,0)*$B$6+$B$8+IF(OR(MOD(K$19+$F41,$B$14)=0,AND($G41=1,K$19=$B$15)),1,0)*$B$9)*(1+$D41)^(K$19-1)</f>
        <v>858461.19771408</v>
      </c>
      <c r="L41" s="46" t="n">
        <f aca="false">(($B$4*$B41+$B$5)-IF(OR(MOD(L$19+$F41,$B$14)=0,AND($G41=1,L$19=$B$15)),1,0)*$B$5)*(1+$C41)^(L$19-1)*(1-$B$10)-($B$7-IF(OR(MOD(L$19+$F41,$B$14)=0,AND($G41=1,L$19=$B$15)),1,0)*$B$6+$B$8+IF(OR(MOD(L$19+$F41,$B$14)=0,AND($G41=1,L$19=$B$15)),1,0)*$B$9)*(1+$D41)^(L$19-1)</f>
        <v>2875583.2059241</v>
      </c>
      <c r="M41" s="46" t="n">
        <f aca="false">(($B$4*$B41+$B$5)-IF(OR(MOD(M$19+$F41,$B$14)=0,AND($G41=1,M$19=$B$15)),1,0)*$B$5)*(1+$C41)^(M$19-1)*(1-$B$10)-($B$7-IF(OR(MOD(M$19+$F41,$B$14)=0,AND($G41=1,M$19=$B$15)),1,0)*$B$6+$B$8+IF(OR(MOD(M$19+$F41,$B$14)=0,AND($G41=1,M$19=$B$15)),1,0)*$B$9)*(1+$D41)^(M$19-1)</f>
        <v>2956099.53568998</v>
      </c>
      <c r="N41" s="46" t="n">
        <f aca="false">(($B$4*$B41+$B$5)-IF(OR(MOD(N$19+$F41,$B$14)=0,AND($G41=1,N$19=$B$15)),1,0)*$B$5)*(1+$C41)^(N$19-1)*(1-$B$10)-($B$7-IF(OR(MOD(N$19+$F41,$B$14)=0,AND($G41=1,N$19=$B$15)),1,0)*$B$6+$B$8+IF(OR(MOD(N$19+$F41,$B$14)=0,AND($G41=1,N$19=$B$15)),1,0)*$B$9)*(1+$D41)^(N$19-1)</f>
        <v>3038870.3226893</v>
      </c>
      <c r="O41" s="46" t="n">
        <f aca="false">(($B$4*$B41+$B$5)-IF(OR(MOD(O$19+$F41,$B$14)=0,AND($G41=1,O$19=$B$15)),1,0)*$B$5)*(1+$C41)^(O$19-1)*(1-$B$10)-($B$7-IF(OR(MOD(O$19+$F41,$B$14)=0,AND($G41=1,O$19=$B$15)),1,0)*$B$6+$B$8+IF(OR(MOD(O$19+$F41,$B$14)=0,AND($G41=1,O$19=$B$15)),1,0)*$B$9)*(1+$D41)^(O$19-1)</f>
        <v>3123958.6917246</v>
      </c>
      <c r="P41" s="46" t="n">
        <f aca="false">(($B$4*$B41+$B$5)-IF(OR(MOD(P$19+$F41,$B$14)=0,AND($G41=1,P$19=$B$15)),1,0)*$B$5)*(1+$C41)^(P$19-1)*(1-$B$10)-($B$7-IF(OR(MOD(P$19+$F41,$B$14)=0,AND($G41=1,P$19=$B$15)),1,0)*$B$6+$B$8+IF(OR(MOD(P$19+$F41,$B$14)=0,AND($G41=1,P$19=$B$15)),1,0)*$B$9)*(1+$D41)^(P$19-1)</f>
        <v>3211429.53509289</v>
      </c>
      <c r="Q41" s="46" t="n">
        <f aca="false">(($B$4*$B41+$B$5)-IF(OR(MOD(Q$19+$F41,$B$14)=0,AND($G41=1,Q$19=$B$15)),1,0)*$B$5)*(1+$C41)^(Q$19-1)*(1-$B$10)-($B$7-IF(OR(MOD(Q$19+$F41,$B$14)=0,AND($G41=1,Q$19=$B$15)),1,0)*$B$6+$B$8+IF(OR(MOD(Q$19+$F41,$B$14)=0,AND($G41=1,Q$19=$B$15)),1,0)*$B$9)*(1+$D41)^(Q$19-1)</f>
        <v>3301349.56207549</v>
      </c>
      <c r="R41" s="46" t="n">
        <f aca="false">($B$4*$B41+$B$5)*(1+$C41)^$B$15*(1-$B$10)-$B$7*(1+$D41)^$B$15</f>
        <v>3556908.94029492</v>
      </c>
      <c r="S41" s="46" t="n">
        <f aca="false">R41/$E41/(1+$B$12)*(1-$B$13)-IF($G41=1,0,MOD($F41+$B$15,$B$14)/$B$14*$B$9*(1+$D41)^$B$15)/(1+$B$12)</f>
        <v>53587206.7961079</v>
      </c>
      <c r="T41" s="46" t="n">
        <f aca="false">(NPV($B$11,H41:Q41)+S41/(1+$B$11)^$B$15)/(1+$B$12)</f>
        <v>40337069.6629346</v>
      </c>
      <c r="U41" s="46" t="n">
        <f aca="false">T41-$T$20</f>
        <v>-1391308.66291221</v>
      </c>
      <c r="V41" s="45" t="n">
        <f aca="false">T41/$T$20-1</f>
        <v>-0.0333420257084477</v>
      </c>
    </row>
    <row r="42" customFormat="false" ht="15" hidden="false" customHeight="false" outlineLevel="0" collapsed="false">
      <c r="A42" s="36" t="s">
        <v>596</v>
      </c>
      <c r="B42" s="44" t="n">
        <f aca="false">$B$20</f>
        <v>0.968</v>
      </c>
      <c r="C42" s="51" t="n">
        <f aca="false">$C$20</f>
        <v>0.031</v>
      </c>
      <c r="D42" s="51" t="n">
        <f aca="false">$D$20</f>
        <v>0.028</v>
      </c>
      <c r="E42" s="51" t="n">
        <f aca="false">'3. Assumptions'!$B$32</f>
        <v>0.0545</v>
      </c>
      <c r="F42" s="49" t="n">
        <f aca="false">$F$20</f>
        <v>3</v>
      </c>
      <c r="G42" s="49" t="n">
        <v>0</v>
      </c>
      <c r="H42" s="46" t="n">
        <f aca="false">(($B$4*$B42+$B$5)-IF(OR(MOD(H$19+$F42,$B$14)=0,AND($G42=1,H$19=$B$15)),1,0)*$B$5)*(1+$C42)^(H$19-1)*(1-$B$10)-($B$7-IF(OR(MOD(H$19+$F42,$B$14)=0,AND($G42=1,H$19=$B$15)),1,0)*$B$6+$B$8+IF(OR(MOD(H$19+$F42,$B$14)=0,AND($G42=1,H$19=$B$15)),1,0)*$B$9)*(1+$D42)^(H$19-1)</f>
        <v>2574859.16593639</v>
      </c>
      <c r="I42" s="46" t="n">
        <f aca="false">(($B$4*$B42+$B$5)-IF(OR(MOD(I$19+$F42,$B$14)=0,AND($G42=1,I$19=$B$15)),1,0)*$B$5)*(1+$C42)^(I$19-1)*(1-$B$10)-($B$7-IF(OR(MOD(I$19+$F42,$B$14)=0,AND($G42=1,I$19=$B$15)),1,0)*$B$6+$B$8+IF(OR(MOD(I$19+$F42,$B$14)=0,AND($G42=1,I$19=$B$15)),1,0)*$B$9)*(1+$D42)^(I$19-1)</f>
        <v>2658840.87990625</v>
      </c>
      <c r="J42" s="46" t="n">
        <f aca="false">(($B$4*$B42+$B$5)-IF(OR(MOD(J$19+$F42,$B$14)=0,AND($G42=1,J$19=$B$15)),1,0)*$B$5)*(1+$C42)^(J$19-1)*(1-$B$10)-($B$7-IF(OR(MOD(J$19+$F42,$B$14)=0,AND($G42=1,J$19=$B$15)),1,0)*$B$6+$B$8+IF(OR(MOD(J$19+$F42,$B$14)=0,AND($G42=1,J$19=$B$15)),1,0)*$B$9)*(1+$D42)^(J$19-1)</f>
        <v>2745542.5372443</v>
      </c>
      <c r="K42" s="46" t="n">
        <f aca="false">(($B$4*$B42+$B$5)-IF(OR(MOD(K$19+$F42,$B$14)=0,AND($G42=1,K$19=$B$15)),1,0)*$B$5)*(1+$C42)^(K$19-1)*(1-$B$10)-($B$7-IF(OR(MOD(K$19+$F42,$B$14)=0,AND($G42=1,K$19=$B$15)),1,0)*$B$6+$B$8+IF(OR(MOD(K$19+$F42,$B$14)=0,AND($G42=1,K$19=$B$15)),1,0)*$B$9)*(1+$D42)^(K$19-1)</f>
        <v>895025.931563568</v>
      </c>
      <c r="L42" s="46" t="n">
        <f aca="false">(($B$4*$B42+$B$5)-IF(OR(MOD(L$19+$F42,$B$14)=0,AND($G42=1,L$19=$B$15)),1,0)*$B$5)*(1+$C42)^(L$19-1)*(1-$B$10)-($B$7-IF(OR(MOD(L$19+$F42,$B$14)=0,AND($G42=1,L$19=$B$15)),1,0)*$B$6+$B$8+IF(OR(MOD(L$19+$F42,$B$14)=0,AND($G42=1,L$19=$B$15)),1,0)*$B$9)*(1+$D42)^(L$19-1)</f>
        <v>2927458.81048944</v>
      </c>
      <c r="M42" s="46" t="n">
        <f aca="false">(($B$4*$B42+$B$5)-IF(OR(MOD(M$19+$F42,$B$14)=0,AND($G42=1,M$19=$B$15)),1,0)*$B$5)*(1+$C42)^(M$19-1)*(1-$B$10)-($B$7-IF(OR(MOD(M$19+$F42,$B$14)=0,AND($G42=1,M$19=$B$15)),1,0)*$B$6+$B$8+IF(OR(MOD(M$19+$F42,$B$14)=0,AND($G42=1,M$19=$B$15)),1,0)*$B$9)*(1+$D42)^(M$19-1)</f>
        <v>3022857.09603417</v>
      </c>
      <c r="N42" s="46" t="n">
        <f aca="false">(($B$4*$B42+$B$5)-IF(OR(MOD(N$19+$F42,$B$14)=0,AND($G42=1,N$19=$B$15)),1,0)*$B$5)*(1+$C42)^(N$19-1)*(1-$B$10)-($B$7-IF(OR(MOD(N$19+$F42,$B$14)=0,AND($G42=1,N$19=$B$15)),1,0)*$B$6+$B$8+IF(OR(MOD(N$19+$F42,$B$14)=0,AND($G42=1,N$19=$B$15)),1,0)*$B$9)*(1+$D42)^(N$19-1)</f>
        <v>3121342.84617854</v>
      </c>
      <c r="O42" s="46" t="n">
        <f aca="false">(($B$4*$B42+$B$5)-IF(OR(MOD(O$19+$F42,$B$14)=0,AND($G42=1,O$19=$B$15)),1,0)*$B$5)*(1+$C42)^(O$19-1)*(1-$B$10)-($B$7-IF(OR(MOD(O$19+$F42,$B$14)=0,AND($G42=1,O$19=$B$15)),1,0)*$B$6+$B$8+IF(OR(MOD(O$19+$F42,$B$14)=0,AND($G42=1,O$19=$B$15)),1,0)*$B$9)*(1+$D42)^(O$19-1)</f>
        <v>3223015.41562206</v>
      </c>
      <c r="P42" s="46" t="n">
        <f aca="false">(($B$4*$B42+$B$5)-IF(OR(MOD(P$19+$F42,$B$14)=0,AND($G42=1,P$19=$B$15)),1,0)*$B$5)*(1+$C42)^(P$19-1)*(1-$B$10)-($B$7-IF(OR(MOD(P$19+$F42,$B$14)=0,AND($G42=1,P$19=$B$15)),1,0)*$B$6+$B$8+IF(OR(MOD(P$19+$F42,$B$14)=0,AND($G42=1,P$19=$B$15)),1,0)*$B$9)*(1+$D42)^(P$19-1)</f>
        <v>3327977.34107227</v>
      </c>
      <c r="Q42" s="46" t="n">
        <f aca="false">(($B$4*$B42+$B$5)-IF(OR(MOD(Q$19+$F42,$B$14)=0,AND($G42=1,Q$19=$B$15)),1,0)*$B$5)*(1+$C42)^(Q$19-1)*(1-$B$10)-($B$7-IF(OR(MOD(Q$19+$F42,$B$14)=0,AND($G42=1,Q$19=$B$15)),1,0)*$B$6+$B$8+IF(OR(MOD(Q$19+$F42,$B$14)=0,AND($G42=1,Q$19=$B$15)),1,0)*$B$9)*(1+$D42)^(Q$19-1)</f>
        <v>3436334.44274328</v>
      </c>
      <c r="R42" s="46" t="n">
        <f aca="false">($B$4*$B42+$B$5)*(1+$C42)^$B$15*(1-$B$10)-$B$7*(1+$D42)^$B$15</f>
        <v>3711317.51956215</v>
      </c>
      <c r="S42" s="46" t="n">
        <f aca="false">R42/$E42/(1+$B$12)*(1-$B$13)-IF($G42=1,0,MOD($F42+$B$15,$B$14)/$B$14*$B$9*(1+$D42)^$B$15)/(1+$B$12)</f>
        <v>61296189.8474493</v>
      </c>
      <c r="T42" s="46" t="n">
        <f aca="false">(NPV($B$11,H42:Q42)+S42/(1+$B$11)^$B$15)/(1+$B$12)</f>
        <v>44054394.532915</v>
      </c>
      <c r="U42" s="46" t="n">
        <f aca="false">T42-$T$20</f>
        <v>2326016.20706826</v>
      </c>
      <c r="V42" s="45" t="n">
        <f aca="false">T42/$T$20-1</f>
        <v>0.0557418308687907</v>
      </c>
    </row>
    <row r="43" customFormat="false" ht="15" hidden="false" customHeight="false" outlineLevel="0" collapsed="false">
      <c r="A43" s="36" t="s">
        <v>597</v>
      </c>
      <c r="B43" s="44" t="n">
        <f aca="false">$B$20</f>
        <v>0.968</v>
      </c>
      <c r="C43" s="51" t="n">
        <f aca="false">$C$20</f>
        <v>0.031</v>
      </c>
      <c r="D43" s="51" t="n">
        <f aca="false">$D$20</f>
        <v>0.028</v>
      </c>
      <c r="E43" s="51" t="n">
        <f aca="false">$E$20</f>
        <v>0.0595</v>
      </c>
      <c r="F43" s="49" t="n">
        <f aca="false">$F$20-1</f>
        <v>2</v>
      </c>
      <c r="G43" s="49" t="n">
        <v>0</v>
      </c>
      <c r="H43" s="46" t="n">
        <f aca="false">(($B$4*$B43+$B$5)-IF(OR(MOD(H$19+$F43,$B$14)=0,AND($G43=1,H$19=$B$15)),1,0)*$B$5)*(1+$C43)^(H$19-1)*(1-$B$10)-($B$7-IF(OR(MOD(H$19+$F43,$B$14)=0,AND($G43=1,H$19=$B$15)),1,0)*$B$6+$B$8+IF(OR(MOD(H$19+$F43,$B$14)=0,AND($G43=1,H$19=$B$15)),1,0)*$B$9)*(1+$D43)^(H$19-1)</f>
        <v>2574859.16593639</v>
      </c>
      <c r="I43" s="46" t="n">
        <f aca="false">(($B$4*$B43+$B$5)-IF(OR(MOD(I$19+$F43,$B$14)=0,AND($G43=1,I$19=$B$15)),1,0)*$B$5)*(1+$C43)^(I$19-1)*(1-$B$10)-($B$7-IF(OR(MOD(I$19+$F43,$B$14)=0,AND($G43=1,I$19=$B$15)),1,0)*$B$6+$B$8+IF(OR(MOD(I$19+$F43,$B$14)=0,AND($G43=1,I$19=$B$15)),1,0)*$B$9)*(1+$D43)^(I$19-1)</f>
        <v>2658840.87990625</v>
      </c>
      <c r="J43" s="46" t="n">
        <f aca="false">(($B$4*$B43+$B$5)-IF(OR(MOD(J$19+$F43,$B$14)=0,AND($G43=1,J$19=$B$15)),1,0)*$B$5)*(1+$C43)^(J$19-1)*(1-$B$10)-($B$7-IF(OR(MOD(J$19+$F43,$B$14)=0,AND($G43=1,J$19=$B$15)),1,0)*$B$6+$B$8+IF(OR(MOD(J$19+$F43,$B$14)=0,AND($G43=1,J$19=$B$15)),1,0)*$B$9)*(1+$D43)^(J$19-1)</f>
        <v>2745542.5372443</v>
      </c>
      <c r="K43" s="46" t="n">
        <f aca="false">(($B$4*$B43+$B$5)-IF(OR(MOD(K$19+$F43,$B$14)=0,AND($G43=1,K$19=$B$15)),1,0)*$B$5)*(1+$C43)^(K$19-1)*(1-$B$10)-($B$7-IF(OR(MOD(K$19+$F43,$B$14)=0,AND($G43=1,K$19=$B$15)),1,0)*$B$6+$B$8+IF(OR(MOD(K$19+$F43,$B$14)=0,AND($G43=1,K$19=$B$15)),1,0)*$B$9)*(1+$D43)^(K$19-1)</f>
        <v>2835051.71848154</v>
      </c>
      <c r="L43" s="46" t="n">
        <f aca="false">(($B$4*$B43+$B$5)-IF(OR(MOD(L$19+$F43,$B$14)=0,AND($G43=1,L$19=$B$15)),1,0)*$B$5)*(1+$C43)^(L$19-1)*(1-$B$10)-($B$7-IF(OR(MOD(L$19+$F43,$B$14)=0,AND($G43=1,L$19=$B$15)),1,0)*$B$6+$B$8+IF(OR(MOD(L$19+$F43,$B$14)=0,AND($G43=1,L$19=$B$15)),1,0)*$B$9)*(1+$D43)^(L$19-1)</f>
        <v>932689.373614721</v>
      </c>
      <c r="M43" s="46" t="n">
        <f aca="false">(($B$4*$B43+$B$5)-IF(OR(MOD(M$19+$F43,$B$14)=0,AND($G43=1,M$19=$B$15)),1,0)*$B$5)*(1+$C43)^(M$19-1)*(1-$B$10)-($B$7-IF(OR(MOD(M$19+$F43,$B$14)=0,AND($G43=1,M$19=$B$15)),1,0)*$B$6+$B$8+IF(OR(MOD(M$19+$F43,$B$14)=0,AND($G43=1,M$19=$B$15)),1,0)*$B$9)*(1+$D43)^(M$19-1)</f>
        <v>3022857.09603417</v>
      </c>
      <c r="N43" s="46" t="n">
        <f aca="false">(($B$4*$B43+$B$5)-IF(OR(MOD(N$19+$F43,$B$14)=0,AND($G43=1,N$19=$B$15)),1,0)*$B$5)*(1+$C43)^(N$19-1)*(1-$B$10)-($B$7-IF(OR(MOD(N$19+$F43,$B$14)=0,AND($G43=1,N$19=$B$15)),1,0)*$B$6+$B$8+IF(OR(MOD(N$19+$F43,$B$14)=0,AND($G43=1,N$19=$B$15)),1,0)*$B$9)*(1+$D43)^(N$19-1)</f>
        <v>3121342.84617854</v>
      </c>
      <c r="O43" s="46" t="n">
        <f aca="false">(($B$4*$B43+$B$5)-IF(OR(MOD(O$19+$F43,$B$14)=0,AND($G43=1,O$19=$B$15)),1,0)*$B$5)*(1+$C43)^(O$19-1)*(1-$B$10)-($B$7-IF(OR(MOD(O$19+$F43,$B$14)=0,AND($G43=1,O$19=$B$15)),1,0)*$B$6+$B$8+IF(OR(MOD(O$19+$F43,$B$14)=0,AND($G43=1,O$19=$B$15)),1,0)*$B$9)*(1+$D43)^(O$19-1)</f>
        <v>3223015.41562206</v>
      </c>
      <c r="P43" s="46" t="n">
        <f aca="false">(($B$4*$B43+$B$5)-IF(OR(MOD(P$19+$F43,$B$14)=0,AND($G43=1,P$19=$B$15)),1,0)*$B$5)*(1+$C43)^(P$19-1)*(1-$B$10)-($B$7-IF(OR(MOD(P$19+$F43,$B$14)=0,AND($G43=1,P$19=$B$15)),1,0)*$B$6+$B$8+IF(OR(MOD(P$19+$F43,$B$14)=0,AND($G43=1,P$19=$B$15)),1,0)*$B$9)*(1+$D43)^(P$19-1)</f>
        <v>3327977.34107227</v>
      </c>
      <c r="Q43" s="46" t="n">
        <f aca="false">(($B$4*$B43+$B$5)-IF(OR(MOD(Q$19+$F43,$B$14)=0,AND($G43=1,Q$19=$B$15)),1,0)*$B$5)*(1+$C43)^(Q$19-1)*(1-$B$10)-($B$7-IF(OR(MOD(Q$19+$F43,$B$14)=0,AND($G43=1,Q$19=$B$15)),1,0)*$B$6+$B$8+IF(OR(MOD(Q$19+$F43,$B$14)=0,AND($G43=1,Q$19=$B$15)),1,0)*$B$9)*(1+$D43)^(Q$19-1)</f>
        <v>3436334.44274328</v>
      </c>
      <c r="R43" s="46" t="n">
        <f aca="false">($B$4*$B43+$B$5)*(1+$C43)^$B$15*(1-$B$10)-$B$7*(1+$D43)^$B$15</f>
        <v>3711317.51956215</v>
      </c>
      <c r="S43" s="46" t="n">
        <f aca="false">R43/$E43/(1+$B$12)*(1-$B$13)-IF($G43=1,0,MOD($F43+$B$15,$B$14)/$B$14*$B$9*(1+$D43)^$B$15)/(1+$B$12)</f>
        <v>56295528.5030854</v>
      </c>
      <c r="T43" s="46" t="n">
        <f aca="false">(NPV($B$11,H43:Q43)+S43/(1+$B$11)^$B$15)/(1+$B$12)</f>
        <v>41924498.531873</v>
      </c>
      <c r="U43" s="46" t="n">
        <f aca="false">T43-$T$20</f>
        <v>196120.206026196</v>
      </c>
      <c r="V43" s="45" t="n">
        <f aca="false">T43/$T$20-1</f>
        <v>0.00469992398206176</v>
      </c>
    </row>
    <row r="44" customFormat="false" ht="15" hidden="false" customHeight="false" outlineLevel="0" collapsed="false">
      <c r="A44" s="36" t="s">
        <v>598</v>
      </c>
      <c r="B44" s="44" t="n">
        <f aca="false">$B$20</f>
        <v>0.968</v>
      </c>
      <c r="C44" s="51" t="n">
        <f aca="false">$C$20</f>
        <v>0.031</v>
      </c>
      <c r="D44" s="51" t="n">
        <f aca="false">$D$20</f>
        <v>0.028</v>
      </c>
      <c r="E44" s="51" t="n">
        <f aca="false">$E$20-$G$11</f>
        <v>0.052</v>
      </c>
      <c r="F44" s="49" t="n">
        <f aca="false">$F$20</f>
        <v>3</v>
      </c>
      <c r="G44" s="49" t="n">
        <v>1</v>
      </c>
      <c r="H44" s="46" t="n">
        <f aca="false">(($B$4*$B44+$B$5)-IF(OR(MOD(H$19+$F44,$B$14)=0,AND($G44=1,H$19=$B$15)),1,0)*$B$5)*(1+$C44)^(H$19-1)*(1-$B$10)-($B$7-IF(OR(MOD(H$19+$F44,$B$14)=0,AND($G44=1,H$19=$B$15)),1,0)*$B$6+$B$8+IF(OR(MOD(H$19+$F44,$B$14)=0,AND($G44=1,H$19=$B$15)),1,0)*$B$9)*(1+$D44)^(H$19-1)</f>
        <v>2574859.16593639</v>
      </c>
      <c r="I44" s="46" t="n">
        <f aca="false">(($B$4*$B44+$B$5)-IF(OR(MOD(I$19+$F44,$B$14)=0,AND($G44=1,I$19=$B$15)),1,0)*$B$5)*(1+$C44)^(I$19-1)*(1-$B$10)-($B$7-IF(OR(MOD(I$19+$F44,$B$14)=0,AND($G44=1,I$19=$B$15)),1,0)*$B$6+$B$8+IF(OR(MOD(I$19+$F44,$B$14)=0,AND($G44=1,I$19=$B$15)),1,0)*$B$9)*(1+$D44)^(I$19-1)</f>
        <v>2658840.87990625</v>
      </c>
      <c r="J44" s="46" t="n">
        <f aca="false">(($B$4*$B44+$B$5)-IF(OR(MOD(J$19+$F44,$B$14)=0,AND($G44=1,J$19=$B$15)),1,0)*$B$5)*(1+$C44)^(J$19-1)*(1-$B$10)-($B$7-IF(OR(MOD(J$19+$F44,$B$14)=0,AND($G44=1,J$19=$B$15)),1,0)*$B$6+$B$8+IF(OR(MOD(J$19+$F44,$B$14)=0,AND($G44=1,J$19=$B$15)),1,0)*$B$9)*(1+$D44)^(J$19-1)</f>
        <v>2745542.5372443</v>
      </c>
      <c r="K44" s="46" t="n">
        <f aca="false">(($B$4*$B44+$B$5)-IF(OR(MOD(K$19+$F44,$B$14)=0,AND($G44=1,K$19=$B$15)),1,0)*$B$5)*(1+$C44)^(K$19-1)*(1-$B$10)-($B$7-IF(OR(MOD(K$19+$F44,$B$14)=0,AND($G44=1,K$19=$B$15)),1,0)*$B$6+$B$8+IF(OR(MOD(K$19+$F44,$B$14)=0,AND($G44=1,K$19=$B$15)),1,0)*$B$9)*(1+$D44)^(K$19-1)</f>
        <v>895025.931563568</v>
      </c>
      <c r="L44" s="46" t="n">
        <f aca="false">(($B$4*$B44+$B$5)-IF(OR(MOD(L$19+$F44,$B$14)=0,AND($G44=1,L$19=$B$15)),1,0)*$B$5)*(1+$C44)^(L$19-1)*(1-$B$10)-($B$7-IF(OR(MOD(L$19+$F44,$B$14)=0,AND($G44=1,L$19=$B$15)),1,0)*$B$6+$B$8+IF(OR(MOD(L$19+$F44,$B$14)=0,AND($G44=1,L$19=$B$15)),1,0)*$B$9)*(1+$D44)^(L$19-1)</f>
        <v>2927458.81048944</v>
      </c>
      <c r="M44" s="46" t="n">
        <f aca="false">(($B$4*$B44+$B$5)-IF(OR(MOD(M$19+$F44,$B$14)=0,AND($G44=1,M$19=$B$15)),1,0)*$B$5)*(1+$C44)^(M$19-1)*(1-$B$10)-($B$7-IF(OR(MOD(M$19+$F44,$B$14)=0,AND($G44=1,M$19=$B$15)),1,0)*$B$6+$B$8+IF(OR(MOD(M$19+$F44,$B$14)=0,AND($G44=1,M$19=$B$15)),1,0)*$B$9)*(1+$D44)^(M$19-1)</f>
        <v>3022857.09603417</v>
      </c>
      <c r="N44" s="46" t="n">
        <f aca="false">(($B$4*$B44+$B$5)-IF(OR(MOD(N$19+$F44,$B$14)=0,AND($G44=1,N$19=$B$15)),1,0)*$B$5)*(1+$C44)^(N$19-1)*(1-$B$10)-($B$7-IF(OR(MOD(N$19+$F44,$B$14)=0,AND($G44=1,N$19=$B$15)),1,0)*$B$6+$B$8+IF(OR(MOD(N$19+$F44,$B$14)=0,AND($G44=1,N$19=$B$15)),1,0)*$B$9)*(1+$D44)^(N$19-1)</f>
        <v>3121342.84617854</v>
      </c>
      <c r="O44" s="46" t="n">
        <f aca="false">(($B$4*$B44+$B$5)-IF(OR(MOD(O$19+$F44,$B$14)=0,AND($G44=1,O$19=$B$15)),1,0)*$B$5)*(1+$C44)^(O$19-1)*(1-$B$10)-($B$7-IF(OR(MOD(O$19+$F44,$B$14)=0,AND($G44=1,O$19=$B$15)),1,0)*$B$6+$B$8+IF(OR(MOD(O$19+$F44,$B$14)=0,AND($G44=1,O$19=$B$15)),1,0)*$B$9)*(1+$D44)^(O$19-1)</f>
        <v>3223015.41562206</v>
      </c>
      <c r="P44" s="46" t="n">
        <f aca="false">(($B$4*$B44+$B$5)-IF(OR(MOD(P$19+$F44,$B$14)=0,AND($G44=1,P$19=$B$15)),1,0)*$B$5)*(1+$C44)^(P$19-1)*(1-$B$10)-($B$7-IF(OR(MOD(P$19+$F44,$B$14)=0,AND($G44=1,P$19=$B$15)),1,0)*$B$6+$B$8+IF(OR(MOD(P$19+$F44,$B$14)=0,AND($G44=1,P$19=$B$15)),1,0)*$B$9)*(1+$D44)^(P$19-1)</f>
        <v>3327977.34107227</v>
      </c>
      <c r="Q44" s="46" t="n">
        <f aca="false">(($B$4*$B44+$B$5)-IF(OR(MOD(Q$19+$F44,$B$14)=0,AND($G44=1,Q$19=$B$15)),1,0)*$B$5)*(1+$C44)^(Q$19-1)*(1-$B$10)-($B$7-IF(OR(MOD(Q$19+$F44,$B$14)=0,AND($G44=1,Q$19=$B$15)),1,0)*$B$6+$B$8+IF(OR(MOD(Q$19+$F44,$B$14)=0,AND($G44=1,Q$19=$B$15)),1,0)*$B$9)*(1+$D44)^(Q$19-1)</f>
        <v>1143765.15963642</v>
      </c>
      <c r="R44" s="46" t="n">
        <f aca="false">($B$4*$B44+$B$5)*(1+$C44)^$B$15*(1-$B$10)-$B$7*(1+$D44)^$B$15</f>
        <v>3711317.51956215</v>
      </c>
      <c r="S44" s="46" t="n">
        <f aca="false">R44/$E44/(1+$B$12)*(1-$B$13)-IF($G44=1,0,MOD($F44+$B$15,$B$14)/$B$14*$B$9*(1+$D44)^$B$15)/(1+$B$12)</f>
        <v>66149186.5588</v>
      </c>
      <c r="T44" s="46" t="n">
        <f aca="false">(NPV($B$11,H44:Q44)+S44/(1+$B$11)^$B$15)/(1+$B$12)</f>
        <v>45177293.8542483</v>
      </c>
      <c r="U44" s="46" t="n">
        <f aca="false">T44-$T$20</f>
        <v>3448915.52840147</v>
      </c>
      <c r="V44" s="45" t="n">
        <f aca="false">T44/$T$20-1</f>
        <v>0.0826515591252965</v>
      </c>
    </row>
    <row r="45" customFormat="false" ht="15" hidden="false" customHeight="false" outlineLevel="0" collapsed="false">
      <c r="A45" s="36" t="s">
        <v>599</v>
      </c>
      <c r="B45" s="44" t="n">
        <f aca="false">$B$20</f>
        <v>0.968</v>
      </c>
      <c r="C45" s="51" t="n">
        <f aca="false">$C$20</f>
        <v>0.031</v>
      </c>
      <c r="D45" s="51" t="n">
        <f aca="false">$D$20</f>
        <v>0.028</v>
      </c>
      <c r="E45" s="51" t="n">
        <f aca="false">$E$20</f>
        <v>0.0595</v>
      </c>
      <c r="F45" s="49" t="n">
        <f aca="false">$F$20</f>
        <v>3</v>
      </c>
      <c r="G45" s="49" t="n">
        <v>1</v>
      </c>
      <c r="H45" s="46" t="n">
        <f aca="false">(($B$4*$B45+$B$5)-IF(OR(MOD(H$19+$F45,$B$14)=0,AND($G45=1,H$19=$B$15)),1,0)*$B$5)*(1+$C45)^(H$19-1)*(1-$B$10)-($B$7-IF(OR(MOD(H$19+$F45,$B$14)=0,AND($G45=1,H$19=$B$15)),1,0)*$B$6+$B$8+IF(OR(MOD(H$19+$F45,$B$14)=0,AND($G45=1,H$19=$B$15)),1,0)*$B$9)*(1+$D45)^(H$19-1)</f>
        <v>2574859.16593639</v>
      </c>
      <c r="I45" s="46" t="n">
        <f aca="false">(($B$4*$B45+$B$5)-IF(OR(MOD(I$19+$F45,$B$14)=0,AND($G45=1,I$19=$B$15)),1,0)*$B$5)*(1+$C45)^(I$19-1)*(1-$B$10)-($B$7-IF(OR(MOD(I$19+$F45,$B$14)=0,AND($G45=1,I$19=$B$15)),1,0)*$B$6+$B$8+IF(OR(MOD(I$19+$F45,$B$14)=0,AND($G45=1,I$19=$B$15)),1,0)*$B$9)*(1+$D45)^(I$19-1)</f>
        <v>2658840.87990625</v>
      </c>
      <c r="J45" s="46" t="n">
        <f aca="false">(($B$4*$B45+$B$5)-IF(OR(MOD(J$19+$F45,$B$14)=0,AND($G45=1,J$19=$B$15)),1,0)*$B$5)*(1+$C45)^(J$19-1)*(1-$B$10)-($B$7-IF(OR(MOD(J$19+$F45,$B$14)=0,AND($G45=1,J$19=$B$15)),1,0)*$B$6+$B$8+IF(OR(MOD(J$19+$F45,$B$14)=0,AND($G45=1,J$19=$B$15)),1,0)*$B$9)*(1+$D45)^(J$19-1)</f>
        <v>2745542.5372443</v>
      </c>
      <c r="K45" s="46" t="n">
        <f aca="false">(($B$4*$B45+$B$5)-IF(OR(MOD(K$19+$F45,$B$14)=0,AND($G45=1,K$19=$B$15)),1,0)*$B$5)*(1+$C45)^(K$19-1)*(1-$B$10)-($B$7-IF(OR(MOD(K$19+$F45,$B$14)=0,AND($G45=1,K$19=$B$15)),1,0)*$B$6+$B$8+IF(OR(MOD(K$19+$F45,$B$14)=0,AND($G45=1,K$19=$B$15)),1,0)*$B$9)*(1+$D45)^(K$19-1)</f>
        <v>895025.931563568</v>
      </c>
      <c r="L45" s="46" t="n">
        <f aca="false">(($B$4*$B45+$B$5)-IF(OR(MOD(L$19+$F45,$B$14)=0,AND($G45=1,L$19=$B$15)),1,0)*$B$5)*(1+$C45)^(L$19-1)*(1-$B$10)-($B$7-IF(OR(MOD(L$19+$F45,$B$14)=0,AND($G45=1,L$19=$B$15)),1,0)*$B$6+$B$8+IF(OR(MOD(L$19+$F45,$B$14)=0,AND($G45=1,L$19=$B$15)),1,0)*$B$9)*(1+$D45)^(L$19-1)</f>
        <v>2927458.81048944</v>
      </c>
      <c r="M45" s="46" t="n">
        <f aca="false">(($B$4*$B45+$B$5)-IF(OR(MOD(M$19+$F45,$B$14)=0,AND($G45=1,M$19=$B$15)),1,0)*$B$5)*(1+$C45)^(M$19-1)*(1-$B$10)-($B$7-IF(OR(MOD(M$19+$F45,$B$14)=0,AND($G45=1,M$19=$B$15)),1,0)*$B$6+$B$8+IF(OR(MOD(M$19+$F45,$B$14)=0,AND($G45=1,M$19=$B$15)),1,0)*$B$9)*(1+$D45)^(M$19-1)</f>
        <v>3022857.09603417</v>
      </c>
      <c r="N45" s="46" t="n">
        <f aca="false">(($B$4*$B45+$B$5)-IF(OR(MOD(N$19+$F45,$B$14)=0,AND($G45=1,N$19=$B$15)),1,0)*$B$5)*(1+$C45)^(N$19-1)*(1-$B$10)-($B$7-IF(OR(MOD(N$19+$F45,$B$14)=0,AND($G45=1,N$19=$B$15)),1,0)*$B$6+$B$8+IF(OR(MOD(N$19+$F45,$B$14)=0,AND($G45=1,N$19=$B$15)),1,0)*$B$9)*(1+$D45)^(N$19-1)</f>
        <v>3121342.84617854</v>
      </c>
      <c r="O45" s="46" t="n">
        <f aca="false">(($B$4*$B45+$B$5)-IF(OR(MOD(O$19+$F45,$B$14)=0,AND($G45=1,O$19=$B$15)),1,0)*$B$5)*(1+$C45)^(O$19-1)*(1-$B$10)-($B$7-IF(OR(MOD(O$19+$F45,$B$14)=0,AND($G45=1,O$19=$B$15)),1,0)*$B$6+$B$8+IF(OR(MOD(O$19+$F45,$B$14)=0,AND($G45=1,O$19=$B$15)),1,0)*$B$9)*(1+$D45)^(O$19-1)</f>
        <v>3223015.41562206</v>
      </c>
      <c r="P45" s="46" t="n">
        <f aca="false">(($B$4*$B45+$B$5)-IF(OR(MOD(P$19+$F45,$B$14)=0,AND($G45=1,P$19=$B$15)),1,0)*$B$5)*(1+$C45)^(P$19-1)*(1-$B$10)-($B$7-IF(OR(MOD(P$19+$F45,$B$14)=0,AND($G45=1,P$19=$B$15)),1,0)*$B$6+$B$8+IF(OR(MOD(P$19+$F45,$B$14)=0,AND($G45=1,P$19=$B$15)),1,0)*$B$9)*(1+$D45)^(P$19-1)</f>
        <v>3327977.34107227</v>
      </c>
      <c r="Q45" s="46" t="n">
        <f aca="false">(($B$4*$B45+$B$5)-IF(OR(MOD(Q$19+$F45,$B$14)=0,AND($G45=1,Q$19=$B$15)),1,0)*$B$5)*(1+$C45)^(Q$19-1)*(1-$B$10)-($B$7-IF(OR(MOD(Q$19+$F45,$B$14)=0,AND($G45=1,Q$19=$B$15)),1,0)*$B$6+$B$8+IF(OR(MOD(Q$19+$F45,$B$14)=0,AND($G45=1,Q$19=$B$15)),1,0)*$B$9)*(1+$D45)^(Q$19-1)</f>
        <v>1143765.15963642</v>
      </c>
      <c r="R45" s="46" t="n">
        <f aca="false">($B$4*$B45+$B$5)*(1+$C45)^$B$15*(1-$B$10)-$B$7*(1+$D45)^$B$15</f>
        <v>3711317.51956215</v>
      </c>
      <c r="S45" s="46" t="n">
        <f aca="false">R45/$E45/(1+$B$12)*(1-$B$13)-IF($G45=1,0,MOD($F45+$B$15,$B$14)/$B$14*$B$9*(1+$D45)^$B$15)/(1+$B$12)</f>
        <v>57811053.7992874</v>
      </c>
      <c r="T45" s="46" t="n">
        <f aca="false">(NPV($B$11,H45:Q45)+S45/(1+$B$11)^$B$15)/(1+$B$12)</f>
        <v>41520527.9902515</v>
      </c>
      <c r="U45" s="46" t="n">
        <f aca="false">T45-$T$20</f>
        <v>-207850.33559528</v>
      </c>
      <c r="V45" s="45" t="n">
        <f aca="false">T45/$T$20-1</f>
        <v>-0.00498103075015821</v>
      </c>
    </row>
    <row r="46" customFormat="false" ht="15" hidden="false" customHeight="false" outlineLevel="0" collapsed="false">
      <c r="A46" s="36" t="s">
        <v>600</v>
      </c>
      <c r="B46" s="44" t="n">
        <f aca="false">$B$20</f>
        <v>0.968</v>
      </c>
      <c r="C46" s="51" t="n">
        <f aca="false">$C$20+$G$12</f>
        <v>0.036</v>
      </c>
      <c r="D46" s="51" t="n">
        <f aca="false">$D$20</f>
        <v>0.028</v>
      </c>
      <c r="E46" s="51" t="n">
        <f aca="false">$E$20</f>
        <v>0.0595</v>
      </c>
      <c r="F46" s="49" t="n">
        <f aca="false">$F$20</f>
        <v>3</v>
      </c>
      <c r="G46" s="49" t="n">
        <v>0</v>
      </c>
      <c r="H46" s="46" t="n">
        <f aca="false">(($B$4*$B46+$B$5)-IF(OR(MOD(H$19+$F46,$B$14)=0,AND($G46=1,H$19=$B$15)),1,0)*$B$5)*(1+$C46)^(H$19-1)*(1-$B$10)-($B$7-IF(OR(MOD(H$19+$F46,$B$14)=0,AND($G46=1,H$19=$B$15)),1,0)*$B$6+$B$8+IF(OR(MOD(H$19+$F46,$B$14)=0,AND($G46=1,H$19=$B$15)),1,0)*$B$9)*(1+$D46)^(H$19-1)</f>
        <v>2574859.16593639</v>
      </c>
      <c r="I46" s="46" t="n">
        <f aca="false">(($B$4*$B46+$B$5)-IF(OR(MOD(I$19+$F46,$B$14)=0,AND($G46=1,I$19=$B$15)),1,0)*$B$5)*(1+$C46)^(I$19-1)*(1-$B$10)-($B$7-IF(OR(MOD(I$19+$F46,$B$14)=0,AND($G46=1,I$19=$B$15)),1,0)*$B$6+$B$8+IF(OR(MOD(I$19+$F46,$B$14)=0,AND($G46=1,I$19=$B$15)),1,0)*$B$9)*(1+$D46)^(I$19-1)</f>
        <v>2678650.30877899</v>
      </c>
      <c r="J46" s="46" t="n">
        <f aca="false">(($B$4*$B46+$B$5)-IF(OR(MOD(J$19+$F46,$B$14)=0,AND($G46=1,J$19=$B$15)),1,0)*$B$5)*(1+$C46)^(J$19-1)*(1-$B$10)-($B$7-IF(OR(MOD(J$19+$F46,$B$14)=0,AND($G46=1,J$19=$B$15)),1,0)*$B$6+$B$8+IF(OR(MOD(J$19+$F46,$B$14)=0,AND($G46=1,J$19=$B$15)),1,0)*$B$9)*(1+$D46)^(J$19-1)</f>
        <v>2786488.62672425</v>
      </c>
      <c r="K46" s="46" t="n">
        <f aca="false">(($B$4*$B46+$B$5)-IF(OR(MOD(K$19+$F46,$B$14)=0,AND($G46=1,K$19=$B$15)),1,0)*$B$5)*(1+$C46)^(K$19-1)*(1-$B$10)-($B$7-IF(OR(MOD(K$19+$F46,$B$14)=0,AND($G46=1,K$19=$B$15)),1,0)*$B$6+$B$8+IF(OR(MOD(K$19+$F46,$B$14)=0,AND($G46=1,K$19=$B$15)),1,0)*$B$9)*(1+$D46)^(K$19-1)</f>
        <v>956441.710726784</v>
      </c>
      <c r="L46" s="46" t="n">
        <f aca="false">(($B$4*$B46+$B$5)-IF(OR(MOD(L$19+$F46,$B$14)=0,AND($G46=1,L$19=$B$15)),1,0)*$B$5)*(1+$C46)^(L$19-1)*(1-$B$10)-($B$7-IF(OR(MOD(L$19+$F46,$B$14)=0,AND($G46=1,L$19=$B$15)),1,0)*$B$6+$B$8+IF(OR(MOD(L$19+$F46,$B$14)=0,AND($G46=1,L$19=$B$15)),1,0)*$B$9)*(1+$D46)^(L$19-1)</f>
        <v>3014930.18076361</v>
      </c>
      <c r="M46" s="46" t="n">
        <f aca="false">(($B$4*$B46+$B$5)-IF(OR(MOD(M$19+$F46,$B$14)=0,AND($G46=1,M$19=$B$15)),1,0)*$B$5)*(1+$C46)^(M$19-1)*(1-$B$10)-($B$7-IF(OR(MOD(M$19+$F46,$B$14)=0,AND($G46=1,M$19=$B$15)),1,0)*$B$6+$B$8+IF(OR(MOD(M$19+$F46,$B$14)=0,AND($G46=1,M$19=$B$15)),1,0)*$B$9)*(1+$D46)^(M$19-1)</f>
        <v>3135859.83372326</v>
      </c>
      <c r="N46" s="46" t="n">
        <f aca="false">(($B$4*$B46+$B$5)-IF(OR(MOD(N$19+$F46,$B$14)=0,AND($G46=1,N$19=$B$15)),1,0)*$B$5)*(1+$C46)^(N$19-1)*(1-$B$10)-($B$7-IF(OR(MOD(N$19+$F46,$B$14)=0,AND($G46=1,N$19=$B$15)),1,0)*$B$6+$B$8+IF(OR(MOD(N$19+$F46,$B$14)=0,AND($G46=1,N$19=$B$15)),1,0)*$B$9)*(1+$D46)^(N$19-1)</f>
        <v>3261489.93485011</v>
      </c>
      <c r="O46" s="46" t="n">
        <f aca="false">(($B$4*$B46+$B$5)-IF(OR(MOD(O$19+$F46,$B$14)=0,AND($G46=1,O$19=$B$15)),1,0)*$B$5)*(1+$C46)^(O$19-1)*(1-$B$10)-($B$7-IF(OR(MOD(O$19+$F46,$B$14)=0,AND($G46=1,O$19=$B$15)),1,0)*$B$6+$B$8+IF(OR(MOD(O$19+$F46,$B$14)=0,AND($G46=1,O$19=$B$15)),1,0)*$B$9)*(1+$D46)^(O$19-1)</f>
        <v>3391999.41573669</v>
      </c>
      <c r="P46" s="46" t="n">
        <f aca="false">(($B$4*$B46+$B$5)-IF(OR(MOD(P$19+$F46,$B$14)=0,AND($G46=1,P$19=$B$15)),1,0)*$B$5)*(1+$C46)^(P$19-1)*(1-$B$10)-($B$7-IF(OR(MOD(P$19+$F46,$B$14)=0,AND($G46=1,P$19=$B$15)),1,0)*$B$6+$B$8+IF(OR(MOD(P$19+$F46,$B$14)=0,AND($G46=1,P$19=$B$15)),1,0)*$B$9)*(1+$D46)^(P$19-1)</f>
        <v>3527573.92154568</v>
      </c>
      <c r="Q46" s="46" t="n">
        <f aca="false">(($B$4*$B46+$B$5)-IF(OR(MOD(Q$19+$F46,$B$14)=0,AND($G46=1,Q$19=$B$15)),1,0)*$B$5)*(1+$C46)^(Q$19-1)*(1-$B$10)-($B$7-IF(OR(MOD(Q$19+$F46,$B$14)=0,AND($G46=1,Q$19=$B$15)),1,0)*$B$6+$B$8+IF(OR(MOD(Q$19+$F46,$B$14)=0,AND($G46=1,Q$19=$B$15)),1,0)*$B$9)*(1+$D46)^(Q$19-1)</f>
        <v>3668406.06031538</v>
      </c>
      <c r="R46" s="46" t="n">
        <f aca="false">($B$4*$B46+$B$5)*(1+$C46)^$B$15*(1-$B$10)-$B$7*(1+$D46)^$B$15</f>
        <v>3977817.25193474</v>
      </c>
      <c r="S46" s="46" t="n">
        <f aca="false">R46/$E46/(1+$B$12)*(1-$B$13)-IF($G46=1,0,MOD($F46+$B$15,$B$14)/$B$14*$B$9*(1+$D46)^$B$15)/(1+$B$12)</f>
        <v>60143679.7792247</v>
      </c>
      <c r="T46" s="46" t="n">
        <f aca="false">(NPV($B$11,H46:Q46)+S46/(1+$B$11)^$B$15)/(1+$B$12)</f>
        <v>44120991.9071099</v>
      </c>
      <c r="U46" s="46" t="n">
        <f aca="false">T46-$T$20</f>
        <v>2392613.58126308</v>
      </c>
      <c r="V46" s="45" t="n">
        <f aca="false">T46/$T$20-1</f>
        <v>0.0573378040857409</v>
      </c>
    </row>
    <row r="47" customFormat="false" ht="15" hidden="false" customHeight="false" outlineLevel="0" collapsed="false">
      <c r="A47" s="36" t="s">
        <v>601</v>
      </c>
      <c r="B47" s="44" t="n">
        <f aca="false">$B$20+0.01</f>
        <v>0.978</v>
      </c>
      <c r="C47" s="51" t="n">
        <f aca="false">$C$20</f>
        <v>0.031</v>
      </c>
      <c r="D47" s="51" t="n">
        <f aca="false">$D$20</f>
        <v>0.028</v>
      </c>
      <c r="E47" s="51" t="n">
        <f aca="false">$E$20</f>
        <v>0.0595</v>
      </c>
      <c r="F47" s="49" t="n">
        <f aca="false">$F$20</f>
        <v>3</v>
      </c>
      <c r="G47" s="49" t="n">
        <v>0</v>
      </c>
      <c r="H47" s="46" t="n">
        <f aca="false">(($B$4*$B47+$B$5)-IF(OR(MOD(H$19+$F47,$B$14)=0,AND($G47=1,H$19=$B$15)),1,0)*$B$5)*(1+$C47)^(H$19-1)*(1-$B$10)-($B$7-IF(OR(MOD(H$19+$F47,$B$14)=0,AND($G47=1,H$19=$B$15)),1,0)*$B$6+$B$8+IF(OR(MOD(H$19+$F47,$B$14)=0,AND($G47=1,H$19=$B$15)),1,0)*$B$9)*(1+$D47)^(H$19-1)</f>
        <v>2614458.83354971</v>
      </c>
      <c r="I47" s="46" t="n">
        <f aca="false">(($B$4*$B47+$B$5)-IF(OR(MOD(I$19+$F47,$B$14)=0,AND($G47=1,I$19=$B$15)),1,0)*$B$5)*(1+$C47)^(I$19-1)*(1-$B$10)-($B$7-IF(OR(MOD(I$19+$F47,$B$14)=0,AND($G47=1,I$19=$B$15)),1,0)*$B$6+$B$8+IF(OR(MOD(I$19+$F47,$B$14)=0,AND($G47=1,I$19=$B$15)),1,0)*$B$9)*(1+$D47)^(I$19-1)</f>
        <v>2699668.13721559</v>
      </c>
      <c r="J47" s="46" t="n">
        <f aca="false">(($B$4*$B47+$B$5)-IF(OR(MOD(J$19+$F47,$B$14)=0,AND($G47=1,J$19=$B$15)),1,0)*$B$5)*(1+$C47)^(J$19-1)*(1-$B$10)-($B$7-IF(OR(MOD(J$19+$F47,$B$14)=0,AND($G47=1,J$19=$B$15)),1,0)*$B$6+$B$8+IF(OR(MOD(J$19+$F47,$B$14)=0,AND($G47=1,J$19=$B$15)),1,0)*$B$9)*(1+$D47)^(J$19-1)</f>
        <v>2787635.43953023</v>
      </c>
      <c r="K47" s="46" t="n">
        <f aca="false">(($B$4*$B47+$B$5)-IF(OR(MOD(K$19+$F47,$B$14)=0,AND($G47=1,K$19=$B$15)),1,0)*$B$5)*(1+$C47)^(K$19-1)*(1-$B$10)-($B$7-IF(OR(MOD(K$19+$F47,$B$14)=0,AND($G47=1,K$19=$B$15)),1,0)*$B$6+$B$8+IF(OR(MOD(K$19+$F47,$B$14)=0,AND($G47=1,K$19=$B$15)),1,0)*$B$9)*(1+$D47)^(K$19-1)</f>
        <v>938423.713820362</v>
      </c>
      <c r="L47" s="46" t="n">
        <f aca="false">(($B$4*$B47+$B$5)-IF(OR(MOD(L$19+$F47,$B$14)=0,AND($G47=1,L$19=$B$15)),1,0)*$B$5)*(1+$C47)^(L$19-1)*(1-$B$10)-($B$7-IF(OR(MOD(L$19+$F47,$B$14)=0,AND($G47=1,L$19=$B$15)),1,0)*$B$6+$B$8+IF(OR(MOD(L$19+$F47,$B$14)=0,AND($G47=1,L$19=$B$15)),1,0)*$B$9)*(1+$D47)^(L$19-1)</f>
        <v>2972201.9239962</v>
      </c>
      <c r="M47" s="46" t="n">
        <f aca="false">(($B$4*$B47+$B$5)-IF(OR(MOD(M$19+$F47,$B$14)=0,AND($G47=1,M$19=$B$15)),1,0)*$B$5)*(1+$C47)^(M$19-1)*(1-$B$10)-($B$7-IF(OR(MOD(M$19+$F47,$B$14)=0,AND($G47=1,M$19=$B$15)),1,0)*$B$6+$B$8+IF(OR(MOD(M$19+$F47,$B$14)=0,AND($G47=1,M$19=$B$15)),1,0)*$B$9)*(1+$D47)^(M$19-1)</f>
        <v>3068987.24605963</v>
      </c>
      <c r="N47" s="46" t="n">
        <f aca="false">(($B$4*$B47+$B$5)-IF(OR(MOD(N$19+$F47,$B$14)=0,AND($G47=1,N$19=$B$15)),1,0)*$B$5)*(1+$C47)^(N$19-1)*(1-$B$10)-($B$7-IF(OR(MOD(N$19+$F47,$B$14)=0,AND($G47=1,N$19=$B$15)),1,0)*$B$6+$B$8+IF(OR(MOD(N$19+$F47,$B$14)=0,AND($G47=1,N$19=$B$15)),1,0)*$B$9)*(1+$D47)^(N$19-1)</f>
        <v>3168903.03085479</v>
      </c>
      <c r="O47" s="46" t="n">
        <f aca="false">(($B$4*$B47+$B$5)-IF(OR(MOD(O$19+$F47,$B$14)=0,AND($G47=1,O$19=$B$15)),1,0)*$B$5)*(1+$C47)^(O$19-1)*(1-$B$10)-($B$7-IF(OR(MOD(O$19+$F47,$B$14)=0,AND($G47=1,O$19=$B$15)),1,0)*$B$6+$B$8+IF(OR(MOD(O$19+$F47,$B$14)=0,AND($G47=1,O$19=$B$15)),1,0)*$B$9)*(1+$D47)^(O$19-1)</f>
        <v>3272049.96602328</v>
      </c>
      <c r="P47" s="46" t="n">
        <f aca="false">(($B$4*$B47+$B$5)-IF(OR(MOD(P$19+$F47,$B$14)=0,AND($G47=1,P$19=$B$15)),1,0)*$B$5)*(1+$C47)^(P$19-1)*(1-$B$10)-($B$7-IF(OR(MOD(P$19+$F47,$B$14)=0,AND($G47=1,P$19=$B$15)),1,0)*$B$6+$B$8+IF(OR(MOD(P$19+$F47,$B$14)=0,AND($G47=1,P$19=$B$15)),1,0)*$B$9)*(1+$D47)^(P$19-1)</f>
        <v>3378531.96253592</v>
      </c>
      <c r="Q47" s="46" t="n">
        <f aca="false">(($B$4*$B47+$B$5)-IF(OR(MOD(Q$19+$F47,$B$14)=0,AND($G47=1,Q$19=$B$15)),1,0)*$B$5)*(1+$C47)^(Q$19-1)*(1-$B$10)-($B$7-IF(OR(MOD(Q$19+$F47,$B$14)=0,AND($G47=1,Q$19=$B$15)),1,0)*$B$6+$B$8+IF(OR(MOD(Q$19+$F47,$B$14)=0,AND($G47=1,Q$19=$B$15)),1,0)*$B$9)*(1+$D47)^(Q$19-1)</f>
        <v>3488456.25747231</v>
      </c>
      <c r="R47" s="46" t="n">
        <f aca="false">($B$4*$B47+$B$5)*(1+$C47)^$B$15*(1-$B$10)-$B$7*(1+$D47)^$B$15</f>
        <v>3765055.11054777</v>
      </c>
      <c r="S47" s="46" t="n">
        <f aca="false">R47/$E47/(1+$B$12)*(1-$B$13)-IF($G47=1,0,MOD($F47+$B$15,$B$14)/$B$14*$B$9*(1+$D47)^$B$15)/(1+$B$12)</f>
        <v>56829491.8830554</v>
      </c>
      <c r="T47" s="46" t="n">
        <f aca="false">(NPV($B$11,H47:Q47)+S47/(1+$B$11)^$B$15)/(1+$B$12)</f>
        <v>42378415.5000335</v>
      </c>
      <c r="U47" s="46" t="n">
        <f aca="false">T47-$T$20</f>
        <v>650037.174186766</v>
      </c>
      <c r="V47" s="45" t="n">
        <f aca="false">T47/$T$20-1</f>
        <v>0.0155778201853611</v>
      </c>
    </row>
    <row r="49" customFormat="false" ht="15" hidden="false" customHeight="false" outlineLevel="0" collapsed="false">
      <c r="A49" s="13" t="s">
        <v>602</v>
      </c>
    </row>
    <row r="50" customFormat="false" ht="28.35" hidden="false" customHeight="false" outlineLevel="0" collapsed="false">
      <c r="A50" s="41" t="s">
        <v>42</v>
      </c>
      <c r="B50" s="41" t="s">
        <v>603</v>
      </c>
      <c r="C50" s="41" t="s">
        <v>604</v>
      </c>
      <c r="D50" s="41" t="s">
        <v>605</v>
      </c>
      <c r="E50" s="41" t="s">
        <v>606</v>
      </c>
    </row>
    <row r="51" customFormat="false" ht="15" hidden="false" customHeight="false" outlineLevel="0" collapsed="false">
      <c r="A51" s="0" t="s">
        <v>607</v>
      </c>
      <c r="B51" s="46" t="n">
        <f aca="false">T21</f>
        <v>40155288.3643148</v>
      </c>
      <c r="C51" s="46" t="n">
        <f aca="false">T22</f>
        <v>43301468.2873788</v>
      </c>
      <c r="D51" s="46" t="n">
        <f aca="false">ABS(C51-B51)/2</f>
        <v>1573089.96153197</v>
      </c>
      <c r="E51" s="44" t="n">
        <f aca="false">D51/$T$20</f>
        <v>0.0376983248485741</v>
      </c>
    </row>
    <row r="52" customFormat="false" ht="15" hidden="false" customHeight="false" outlineLevel="0" collapsed="false">
      <c r="A52" s="0" t="s">
        <v>608</v>
      </c>
      <c r="B52" s="46" t="n">
        <f aca="false">T23</f>
        <v>42378470.0350018</v>
      </c>
      <c r="C52" s="46" t="n">
        <f aca="false">T24</f>
        <v>41109998.4073823</v>
      </c>
      <c r="D52" s="46" t="n">
        <f aca="false">ABS(C52-B52)/2</f>
        <v>634235.81380973</v>
      </c>
      <c r="E52" s="44" t="n">
        <f aca="false">D52/$T$20</f>
        <v>0.0151991483794826</v>
      </c>
    </row>
    <row r="53" customFormat="false" ht="15" hidden="false" customHeight="false" outlineLevel="0" collapsed="false">
      <c r="A53" s="0" t="s">
        <v>609</v>
      </c>
      <c r="B53" s="46" t="n">
        <f aca="false">T25</f>
        <v>41365821.6799245</v>
      </c>
      <c r="C53" s="46" t="n">
        <f aca="false">T26</f>
        <v>42093139.3121305</v>
      </c>
      <c r="D53" s="46" t="n">
        <f aca="false">ABS(C53-B53)/2</f>
        <v>363658.816103</v>
      </c>
      <c r="E53" s="44" t="n">
        <f aca="false">D53/$T$20</f>
        <v>0.00871490411784701</v>
      </c>
    </row>
    <row r="54" customFormat="false" ht="15" hidden="false" customHeight="false" outlineLevel="0" collapsed="false">
      <c r="A54" s="0" t="s">
        <v>610</v>
      </c>
      <c r="B54" s="46" t="n">
        <f aca="false">T27</f>
        <v>41840855.4588002</v>
      </c>
      <c r="C54" s="46" t="n">
        <f aca="false">T28</f>
        <v>41615294.9837163</v>
      </c>
      <c r="D54" s="46" t="n">
        <f aca="false">ABS(C54-B54)/2</f>
        <v>112780.237541959</v>
      </c>
      <c r="E54" s="44" t="n">
        <f aca="false">D54/$T$20</f>
        <v>0.00270272275287779</v>
      </c>
    </row>
    <row r="55" customFormat="false" ht="15" hidden="false" customHeight="false" outlineLevel="0" collapsed="false">
      <c r="A55" s="0" t="s">
        <v>611</v>
      </c>
      <c r="B55" s="46" t="n">
        <f aca="false">T29</f>
        <v>37215124.3640011</v>
      </c>
      <c r="C55" s="46" t="n">
        <f aca="false">T30</f>
        <v>46608786.3111893</v>
      </c>
      <c r="D55" s="46" t="n">
        <f aca="false">ABS(C55-B55)/2</f>
        <v>4696830.97359408</v>
      </c>
      <c r="E55" s="44" t="n">
        <f aca="false">D55/$T$20</f>
        <v>0.112557237113738</v>
      </c>
    </row>
    <row r="56" customFormat="false" ht="15" hidden="false" customHeight="false" outlineLevel="0" collapsed="false">
      <c r="A56" s="0" t="s">
        <v>557</v>
      </c>
      <c r="B56" s="46" t="n">
        <f aca="false">T31</f>
        <v>44054394.532915</v>
      </c>
      <c r="C56" s="46" t="n">
        <f aca="false">T32</f>
        <v>39762984.786541</v>
      </c>
      <c r="D56" s="46" t="n">
        <f aca="false">ABS(C56-B56)/2</f>
        <v>2145704.873187</v>
      </c>
      <c r="E56" s="44" t="n">
        <f aca="false">D56/$T$20</f>
        <v>0.0514207587084193</v>
      </c>
    </row>
    <row r="57" customFormat="false" ht="15" hidden="false" customHeight="false" outlineLevel="0" collapsed="false">
      <c r="A57" s="0" t="s">
        <v>612</v>
      </c>
      <c r="B57" s="46" t="n">
        <f aca="false">T33</f>
        <v>43279140.5935953</v>
      </c>
      <c r="C57" s="46" t="n">
        <f aca="false">T34</f>
        <v>40053850.6909903</v>
      </c>
      <c r="D57" s="46" t="n">
        <f aca="false">ABS(C57-B57)/2</f>
        <v>1612644.95130249</v>
      </c>
      <c r="E57" s="44" t="n">
        <f aca="false">D57/$T$20</f>
        <v>0.0386462406640809</v>
      </c>
    </row>
    <row r="58" customFormat="false" ht="15" hidden="false" customHeight="false" outlineLevel="0" collapsed="false">
      <c r="A58" s="0" t="s">
        <v>613</v>
      </c>
      <c r="B58" s="46" t="n">
        <f aca="false">T35</f>
        <v>40428303.9774733</v>
      </c>
      <c r="C58" s="46" t="n">
        <f aca="false">T36</f>
        <v>43028452.6742203</v>
      </c>
      <c r="D58" s="46" t="n">
        <f aca="false">ABS(C58-B58)/2</f>
        <v>1300074.34837353</v>
      </c>
      <c r="E58" s="44" t="n">
        <f aca="false">D58/$T$20</f>
        <v>0.0311556403707224</v>
      </c>
    </row>
    <row r="60" customFormat="false" ht="15" hidden="false" customHeight="false" outlineLevel="0" collapsed="false">
      <c r="A60" s="13" t="s">
        <v>614</v>
      </c>
    </row>
    <row r="61" customFormat="false" ht="15" hidden="false" customHeight="false" outlineLevel="0" collapsed="false">
      <c r="A61" s="5" t="s">
        <v>615</v>
      </c>
      <c r="B61" s="44" t="n">
        <f aca="false">$B$20+($B$16-$T$20)/($T$47-$T$20)*0.01</f>
        <v>1.04063975824719</v>
      </c>
    </row>
    <row r="62" customFormat="false" ht="15" hidden="false" customHeight="false" outlineLevel="0" collapsed="false">
      <c r="A62" s="5" t="s">
        <v>616</v>
      </c>
      <c r="B62" s="48" t="n">
        <f aca="false">MAX(0,B61-1)*'2. The tape'!$B$11</f>
        <v>21.1326742885412</v>
      </c>
    </row>
    <row r="63" customFormat="false" ht="15" hidden="false" customHeight="false" outlineLevel="0" collapsed="false">
      <c r="A63" s="5" t="s">
        <v>617</v>
      </c>
      <c r="B63" s="44" t="n">
        <f aca="false">$R$20*(1-$B$13)/(1+$B$12)/(($B$16*(1+$B$12)-NPV($B$11,H20:Q20))*(1+$B$11)^$B$15+MOD($F$20+$B$15,$B$14)/$B$14*$B$9*(1+$D$20)^$B$15/(1+$B$12))</f>
        <v>0.0501584769416179</v>
      </c>
    </row>
    <row r="64" customFormat="false" ht="15" hidden="false" customHeight="false" outlineLevel="0" collapsed="false">
      <c r="A64" s="5" t="s">
        <v>618</v>
      </c>
      <c r="B64" s="44" t="n">
        <f aca="false">C77</f>
        <v>0.0406870816052136</v>
      </c>
    </row>
    <row r="65" customFormat="false" ht="15" hidden="false" customHeight="false" outlineLevel="0" collapsed="false">
      <c r="A65" s="5" t="s">
        <v>619</v>
      </c>
      <c r="B65" s="44" t="n">
        <f aca="false">D87</f>
        <v>-0.00521993899943157</v>
      </c>
    </row>
    <row r="67" customFormat="false" ht="15" hidden="false" customHeight="false" outlineLevel="0" collapsed="false">
      <c r="A67" s="25" t="s">
        <v>620</v>
      </c>
      <c r="U67" s="25" t="s">
        <v>621</v>
      </c>
    </row>
    <row r="68" customFormat="false" ht="15" hidden="false" customHeight="false" outlineLevel="0" collapsed="false">
      <c r="A68" s="36" t="s">
        <v>622</v>
      </c>
      <c r="B68" s="44" t="n">
        <f aca="false">$B$20</f>
        <v>0.968</v>
      </c>
      <c r="C68" s="51" t="n">
        <f aca="false">$C$20</f>
        <v>0.031</v>
      </c>
      <c r="D68" s="51" t="n">
        <f aca="false">$D$20</f>
        <v>0.028</v>
      </c>
      <c r="E68" s="51" t="n">
        <f aca="false">$E$20</f>
        <v>0.0595</v>
      </c>
      <c r="F68" s="49" t="n">
        <f aca="false">$F$20</f>
        <v>3</v>
      </c>
      <c r="G68" s="49" t="n">
        <v>0</v>
      </c>
      <c r="H68" s="46" t="n">
        <f aca="false">(($B$4*$B68+$B$5)-IF(OR(MOD(H$19+$F68,$B$14)=0,AND($G68=1,H$19=$B$15)),1,0)*$B$5)*(1+$C68)^(H$19-1)*(1-$B$10)-($B$7-IF(OR(MOD(H$19+$F68,$B$14)=0,AND($G68=1,H$19=$B$15)),1,0)*$B$6+$B$8+IF(OR(MOD(H$19+$F68,$B$14)=0,AND($G68=1,H$19=$B$15)),1,0)*$B$9)*(1+$D68)^(H$19-1)</f>
        <v>2574859.16593639</v>
      </c>
      <c r="I68" s="46" t="n">
        <f aca="false">(($B$4*$B68+$B$5)-IF(OR(MOD(I$19+$F68,$B$14)=0,AND($G68=1,I$19=$B$15)),1,0)*$B$5)*(1+$C68)^(I$19-1)*(1-$B$10)-($B$7-IF(OR(MOD(I$19+$F68,$B$14)=0,AND($G68=1,I$19=$B$15)),1,0)*$B$6+$B$8+IF(OR(MOD(I$19+$F68,$B$14)=0,AND($G68=1,I$19=$B$15)),1,0)*$B$9)*(1+$D68)^(I$19-1)</f>
        <v>2658840.87990625</v>
      </c>
      <c r="J68" s="46" t="n">
        <f aca="false">(($B$4*$B68+$B$5)-IF(OR(MOD(J$19+$F68,$B$14)=0,AND($G68=1,J$19=$B$15)),1,0)*$B$5)*(1+$C68)^(J$19-1)*(1-$B$10)-($B$7-IF(OR(MOD(J$19+$F68,$B$14)=0,AND($G68=1,J$19=$B$15)),1,0)*$B$6+$B$8+IF(OR(MOD(J$19+$F68,$B$14)=0,AND($G68=1,J$19=$B$15)),1,0)*$B$9)*(1+$D68)^(J$19-1)</f>
        <v>2745542.5372443</v>
      </c>
      <c r="K68" s="46" t="n">
        <f aca="false">(($B$4*$B68+$B$5)-IF(OR(MOD(K$19+$F68,$B$14)=0,AND($G68=1,K$19=$B$15)),1,0)*$B$5)*(1+$C68)^(K$19-1)*(1-$B$10)-($B$7-IF(OR(MOD(K$19+$F68,$B$14)=0,AND($G68=1,K$19=$B$15)),1,0)*$B$6+$B$8+IF(OR(MOD(K$19+$F68,$B$14)=0,AND($G68=1,K$19=$B$15)),1,0)*$B$9)*(1+$D68)^(K$19-1)</f>
        <v>895025.931563568</v>
      </c>
      <c r="L68" s="46" t="n">
        <f aca="false">(($B$4*$B68+$B$5)-IF(OR(MOD(L$19+$F68,$B$14)=0,AND($G68=1,L$19=$B$15)),1,0)*$B$5)*(1+$C68)^(L$19-1)*(1-$B$10)-($B$7-IF(OR(MOD(L$19+$F68,$B$14)=0,AND($G68=1,L$19=$B$15)),1,0)*$B$6+$B$8+IF(OR(MOD(L$19+$F68,$B$14)=0,AND($G68=1,L$19=$B$15)),1,0)*$B$9)*(1+$D68)^(L$19-1)</f>
        <v>2927458.81048944</v>
      </c>
      <c r="M68" s="46" t="n">
        <f aca="false">(($B$4*$B68+$B$5)-IF(OR(MOD(M$19+$F68,$B$14)=0,AND($G68=1,M$19=$B$15)),1,0)*$B$5)*(1+$C68)^(M$19-1)*(1-$B$10)-($B$7-IF(OR(MOD(M$19+$F68,$B$14)=0,AND($G68=1,M$19=$B$15)),1,0)*$B$6+$B$8+IF(OR(MOD(M$19+$F68,$B$14)=0,AND($G68=1,M$19=$B$15)),1,0)*$B$9)*(1+$D68)^(M$19-1)</f>
        <v>3022857.09603417</v>
      </c>
      <c r="N68" s="46" t="n">
        <f aca="false">(($B$4*$B68+$B$5)-IF(OR(MOD(N$19+$F68,$B$14)=0,AND($G68=1,N$19=$B$15)),1,0)*$B$5)*(1+$C68)^(N$19-1)*(1-$B$10)-($B$7-IF(OR(MOD(N$19+$F68,$B$14)=0,AND($G68=1,N$19=$B$15)),1,0)*$B$6+$B$8+IF(OR(MOD(N$19+$F68,$B$14)=0,AND($G68=1,N$19=$B$15)),1,0)*$B$9)*(1+$D68)^(N$19-1)</f>
        <v>3121342.84617854</v>
      </c>
      <c r="O68" s="46" t="n">
        <f aca="false">(($B$4*$B68+$B$5)-IF(OR(MOD(O$19+$F68,$B$14)=0,AND($G68=1,O$19=$B$15)),1,0)*$B$5)*(1+$C68)^(O$19-1)*(1-$B$10)-($B$7-IF(OR(MOD(O$19+$F68,$B$14)=0,AND($G68=1,O$19=$B$15)),1,0)*$B$6+$B$8+IF(OR(MOD(O$19+$F68,$B$14)=0,AND($G68=1,O$19=$B$15)),1,0)*$B$9)*(1+$D68)^(O$19-1)</f>
        <v>3223015.41562206</v>
      </c>
      <c r="P68" s="46" t="n">
        <f aca="false">(($B$4*$B68+$B$5)-IF(OR(MOD(P$19+$F68,$B$14)=0,AND($G68=1,P$19=$B$15)),1,0)*$B$5)*(1+$C68)^(P$19-1)*(1-$B$10)-($B$7-IF(OR(MOD(P$19+$F68,$B$14)=0,AND($G68=1,P$19=$B$15)),1,0)*$B$6+$B$8+IF(OR(MOD(P$19+$F68,$B$14)=0,AND($G68=1,P$19=$B$15)),1,0)*$B$9)*(1+$D68)^(P$19-1)</f>
        <v>3327977.34107227</v>
      </c>
      <c r="Q68" s="46" t="n">
        <f aca="false">(($B$4*$B68+$B$5)-IF(OR(MOD(Q$19+$F68,$B$14)=0,AND($G68=1,Q$19=$B$15)),1,0)*$B$5)*(1+$C68)^(Q$19-1)*(1-$B$10)-($B$7-IF(OR(MOD(Q$19+$F68,$B$14)=0,AND($G68=1,Q$19=$B$15)),1,0)*$B$6+$B$8+IF(OR(MOD(Q$19+$F68,$B$14)=0,AND($G68=1,Q$19=$B$15)),1,0)*$B$9)*(1+$D68)^(Q$19-1)</f>
        <v>3436334.44274328</v>
      </c>
      <c r="R68" s="46" t="n">
        <f aca="false">($B$4*$B68+$B$5)*(1+$C68)^$B$15*(1-$B$10)-$B$7*(1+$D68)^$B$15</f>
        <v>3711317.51956215</v>
      </c>
      <c r="S68" s="46" t="n">
        <f aca="false">R68/$E68/(1+$B$12)*(1-$B$13)-IF($G68=1,0,MOD($F68+$B$15,$B$14)/$B$14*$B$9*(1+$D68)^$B$15)/(1+$B$12)</f>
        <v>55992423.443845</v>
      </c>
      <c r="T68" s="46" t="n">
        <f aca="false">(NPV($B$11,H68:Q68)+S68/(1+$B$11)^$B$15)/(1+$B$12)</f>
        <v>41728378.3258468</v>
      </c>
      <c r="U68" s="46" t="n">
        <f aca="false">T68-$B$16</f>
        <v>-4721854.31846163</v>
      </c>
      <c r="V68" s="45"/>
    </row>
    <row r="69" customFormat="false" ht="15" hidden="false" customHeight="false" outlineLevel="0" collapsed="false">
      <c r="A69" s="36" t="s">
        <v>623</v>
      </c>
      <c r="B69" s="44" t="n">
        <f aca="false">$B$20</f>
        <v>0.968</v>
      </c>
      <c r="C69" s="51" t="n">
        <f aca="false">$C$20+0.01</f>
        <v>0.041</v>
      </c>
      <c r="D69" s="51" t="n">
        <f aca="false">$D$20</f>
        <v>0.028</v>
      </c>
      <c r="E69" s="51" t="n">
        <f aca="false">$E$20</f>
        <v>0.0595</v>
      </c>
      <c r="F69" s="49" t="n">
        <f aca="false">$F$20</f>
        <v>3</v>
      </c>
      <c r="G69" s="49" t="n">
        <v>0</v>
      </c>
      <c r="H69" s="46" t="n">
        <f aca="false">(($B$4*$B69+$B$5)-IF(OR(MOD(H$19+$F69,$B$14)=0,AND($G69=1,H$19=$B$15)),1,0)*$B$5)*(1+$C69)^(H$19-1)*(1-$B$10)-($B$7-IF(OR(MOD(H$19+$F69,$B$14)=0,AND($G69=1,H$19=$B$15)),1,0)*$B$6+$B$8+IF(OR(MOD(H$19+$F69,$B$14)=0,AND($G69=1,H$19=$B$15)),1,0)*$B$9)*(1+$D69)^(H$19-1)</f>
        <v>2574859.16593639</v>
      </c>
      <c r="I69" s="46" t="n">
        <f aca="false">(($B$4*$B69+$B$5)-IF(OR(MOD(I$19+$F69,$B$14)=0,AND($G69=1,I$19=$B$15)),1,0)*$B$5)*(1+$C69)^(I$19-1)*(1-$B$10)-($B$7-IF(OR(MOD(I$19+$F69,$B$14)=0,AND($G69=1,I$19=$B$15)),1,0)*$B$6+$B$8+IF(OR(MOD(I$19+$F69,$B$14)=0,AND($G69=1,I$19=$B$15)),1,0)*$B$9)*(1+$D69)^(I$19-1)</f>
        <v>2698459.73765172</v>
      </c>
      <c r="J69" s="46" t="n">
        <f aca="false">(($B$4*$B69+$B$5)-IF(OR(MOD(J$19+$F69,$B$14)=0,AND($G69=1,J$19=$B$15)),1,0)*$B$5)*(1+$C69)^(J$19-1)*(1-$B$10)-($B$7-IF(OR(MOD(J$19+$F69,$B$14)=0,AND($G69=1,J$19=$B$15)),1,0)*$B$6+$B$8+IF(OR(MOD(J$19+$F69,$B$14)=0,AND($G69=1,J$19=$B$15)),1,0)*$B$9)*(1+$D69)^(J$19-1)</f>
        <v>2827632.81049293</v>
      </c>
      <c r="K69" s="46" t="n">
        <f aca="false">(($B$4*$B69+$B$5)-IF(OR(MOD(K$19+$F69,$B$14)=0,AND($G69=1,K$19=$B$15)),1,0)*$B$5)*(1+$C69)^(K$19-1)*(1-$B$10)-($B$7-IF(OR(MOD(K$19+$F69,$B$14)=0,AND($G69=1,K$19=$B$15)),1,0)*$B$6+$B$8+IF(OR(MOD(K$19+$F69,$B$14)=0,AND($G69=1,K$19=$B$15)),1,0)*$B$9)*(1+$D69)^(K$19-1)</f>
        <v>1018453.176602</v>
      </c>
      <c r="L69" s="46" t="n">
        <f aca="false">(($B$4*$B69+$B$5)-IF(OR(MOD(L$19+$F69,$B$14)=0,AND($G69=1,L$19=$B$15)),1,0)*$B$5)*(1+$C69)^(L$19-1)*(1-$B$10)-($B$7-IF(OR(MOD(L$19+$F69,$B$14)=0,AND($G69=1,L$19=$B$15)),1,0)*$B$6+$B$8+IF(OR(MOD(L$19+$F69,$B$14)=0,AND($G69=1,L$19=$B$15)),1,0)*$B$9)*(1+$D69)^(L$19-1)</f>
        <v>3103677.23883642</v>
      </c>
      <c r="M69" s="46" t="n">
        <f aca="false">(($B$4*$B69+$B$5)-IF(OR(MOD(M$19+$F69,$B$14)=0,AND($G69=1,M$19=$B$15)),1,0)*$B$5)*(1+$C69)^(M$19-1)*(1-$B$10)-($B$7-IF(OR(MOD(M$19+$F69,$B$14)=0,AND($G69=1,M$19=$B$15)),1,0)*$B$6+$B$8+IF(OR(MOD(M$19+$F69,$B$14)=0,AND($G69=1,M$19=$B$15)),1,0)*$B$9)*(1+$D69)^(M$19-1)</f>
        <v>3251065.27611347</v>
      </c>
      <c r="N69" s="46" t="n">
        <f aca="false">(($B$4*$B69+$B$5)-IF(OR(MOD(N$19+$F69,$B$14)=0,AND($G69=1,N$19=$B$15)),1,0)*$B$5)*(1+$C69)^(N$19-1)*(1-$B$10)-($B$7-IF(OR(MOD(N$19+$F69,$B$14)=0,AND($G69=1,N$19=$B$15)),1,0)*$B$6+$B$8+IF(OR(MOD(N$19+$F69,$B$14)=0,AND($G69=1,N$19=$B$15)),1,0)*$B$9)*(1+$D69)^(N$19-1)</f>
        <v>3405060.06649245</v>
      </c>
      <c r="O69" s="46" t="n">
        <f aca="false">(($B$4*$B69+$B$5)-IF(OR(MOD(O$19+$F69,$B$14)=0,AND($G69=1,O$19=$B$15)),1,0)*$B$5)*(1+$C69)^(O$19-1)*(1-$B$10)-($B$7-IF(OR(MOD(O$19+$F69,$B$14)=0,AND($G69=1,O$19=$B$15)),1,0)*$B$6+$B$8+IF(OR(MOD(O$19+$F69,$B$14)=0,AND($G69=1,O$19=$B$15)),1,0)*$B$9)*(1+$D69)^(O$19-1)</f>
        <v>3565948.27447059</v>
      </c>
      <c r="P69" s="46" t="n">
        <f aca="false">(($B$4*$B69+$B$5)-IF(OR(MOD(P$19+$F69,$B$14)=0,AND($G69=1,P$19=$B$15)),1,0)*$B$5)*(1+$C69)^(P$19-1)*(1-$B$10)-($B$7-IF(OR(MOD(P$19+$F69,$B$14)=0,AND($G69=1,P$19=$B$15)),1,0)*$B$6+$B$8+IF(OR(MOD(P$19+$F69,$B$14)=0,AND($G69=1,P$19=$B$15)),1,0)*$B$9)*(1+$D69)^(P$19-1)</f>
        <v>3734028.7598429</v>
      </c>
      <c r="Q69" s="46" t="n">
        <f aca="false">(($B$4*$B69+$B$5)-IF(OR(MOD(Q$19+$F69,$B$14)=0,AND($G69=1,Q$19=$B$15)),1,0)*$B$5)*(1+$C69)^(Q$19-1)*(1-$B$10)-($B$7-IF(OR(MOD(Q$19+$F69,$B$14)=0,AND($G69=1,Q$19=$B$15)),1,0)*$B$6+$B$8+IF(OR(MOD(Q$19+$F69,$B$14)=0,AND($G69=1,Q$19=$B$15)),1,0)*$B$9)*(1+$D69)^(Q$19-1)</f>
        <v>3909613.0900868</v>
      </c>
      <c r="R69" s="46" t="n">
        <f aca="false">($B$4*$B69+$B$5)*(1+$C69)^$B$15*(1-$B$10)-$B$7*(1+$D69)^$B$15</f>
        <v>4256147.66458255</v>
      </c>
      <c r="S69" s="46" t="n">
        <f aca="false">R69/$E69/(1+$B$12)*(1-$B$13)-IF($G69=1,0,MOD($F69+$B$15,$B$14)/$B$14*$B$9*(1+$D69)^$B$15)/(1+$B$12)</f>
        <v>64479222.1775098</v>
      </c>
      <c r="T69" s="46" t="n">
        <f aca="false">(NPV($B$11,H69:Q69)+S69/(1+$B$11)^$B$15)/(1+$B$12)</f>
        <v>46608786.3111893</v>
      </c>
      <c r="U69" s="46" t="n">
        <f aca="false">T69-$B$16</f>
        <v>158553.666880876</v>
      </c>
      <c r="V69" s="45"/>
    </row>
    <row r="70" customFormat="false" ht="15" hidden="false" customHeight="false" outlineLevel="0" collapsed="false">
      <c r="A70" s="36" t="s">
        <v>624</v>
      </c>
      <c r="B70" s="44" t="n">
        <f aca="false">$B$20</f>
        <v>0.968</v>
      </c>
      <c r="C70" s="51" t="n">
        <f aca="false">IF(ABS(T69-T68)&lt;0.000001,C69,C69-(T69-$B$16)*(C69-C68)/(T69-T68))</f>
        <v>0.0406751221058627</v>
      </c>
      <c r="D70" s="51" t="n">
        <f aca="false">$D$20</f>
        <v>0.028</v>
      </c>
      <c r="E70" s="51" t="n">
        <f aca="false">$E$20</f>
        <v>0.0595</v>
      </c>
      <c r="F70" s="49" t="n">
        <f aca="false">$F$20</f>
        <v>3</v>
      </c>
      <c r="G70" s="49" t="n">
        <v>0</v>
      </c>
      <c r="H70" s="46" t="n">
        <f aca="false">(($B$4*$B70+$B$5)-IF(OR(MOD(H$19+$F70,$B$14)=0,AND($G70=1,H$19=$B$15)),1,0)*$B$5)*(1+$C70)^(H$19-1)*(1-$B$10)-($B$7-IF(OR(MOD(H$19+$F70,$B$14)=0,AND($G70=1,H$19=$B$15)),1,0)*$B$6+$B$8+IF(OR(MOD(H$19+$F70,$B$14)=0,AND($G70=1,H$19=$B$15)),1,0)*$B$9)*(1+$D70)^(H$19-1)</f>
        <v>2574859.16593639</v>
      </c>
      <c r="I70" s="46" t="n">
        <f aca="false">(($B$4*$B70+$B$5)-IF(OR(MOD(I$19+$F70,$B$14)=0,AND($G70=1,I$19=$B$15)),1,0)*$B$5)*(1+$C70)^(I$19-1)*(1-$B$10)-($B$7-IF(OR(MOD(I$19+$F70,$B$14)=0,AND($G70=1,I$19=$B$15)),1,0)*$B$6+$B$8+IF(OR(MOD(I$19+$F70,$B$14)=0,AND($G70=1,I$19=$B$15)),1,0)*$B$9)*(1+$D70)^(I$19-1)</f>
        <v>2697172.60854448</v>
      </c>
      <c r="J70" s="46" t="n">
        <f aca="false">(($B$4*$B70+$B$5)-IF(OR(MOD(J$19+$F70,$B$14)=0,AND($G70=1,J$19=$B$15)),1,0)*$B$5)*(1+$C70)^(J$19-1)*(1-$B$10)-($B$7-IF(OR(MOD(J$19+$F70,$B$14)=0,AND($G70=1,J$19=$B$15)),1,0)*$B$6+$B$8+IF(OR(MOD(J$19+$F70,$B$14)=0,AND($G70=1,J$19=$B$15)),1,0)*$B$9)*(1+$D70)^(J$19-1)</f>
        <v>2824953.42585143</v>
      </c>
      <c r="K70" s="46" t="n">
        <f aca="false">(($B$4*$B70+$B$5)-IF(OR(MOD(K$19+$F70,$B$14)=0,AND($G70=1,K$19=$B$15)),1,0)*$B$5)*(1+$C70)^(K$19-1)*(1-$B$10)-($B$7-IF(OR(MOD(K$19+$F70,$B$14)=0,AND($G70=1,K$19=$B$15)),1,0)*$B$6+$B$8+IF(OR(MOD(K$19+$F70,$B$14)=0,AND($G70=1,K$19=$B$15)),1,0)*$B$9)*(1+$D70)^(K$19-1)</f>
        <v>1014405.79428156</v>
      </c>
      <c r="L70" s="46" t="n">
        <f aca="false">(($B$4*$B70+$B$5)-IF(OR(MOD(L$19+$F70,$B$14)=0,AND($G70=1,L$19=$B$15)),1,0)*$B$5)*(1+$C70)^(L$19-1)*(1-$B$10)-($B$7-IF(OR(MOD(L$19+$F70,$B$14)=0,AND($G70=1,L$19=$B$15)),1,0)*$B$6+$B$8+IF(OR(MOD(L$19+$F70,$B$14)=0,AND($G70=1,L$19=$B$15)),1,0)*$B$9)*(1+$D70)^(L$19-1)</f>
        <v>3097871.85442272</v>
      </c>
      <c r="M70" s="46" t="n">
        <f aca="false">(($B$4*$B70+$B$5)-IF(OR(MOD(M$19+$F70,$B$14)=0,AND($G70=1,M$19=$B$15)),1,0)*$B$5)*(1+$C70)^(M$19-1)*(1-$B$10)-($B$7-IF(OR(MOD(M$19+$F70,$B$14)=0,AND($G70=1,M$19=$B$15)),1,0)*$B$6+$B$8+IF(OR(MOD(M$19+$F70,$B$14)=0,AND($G70=1,M$19=$B$15)),1,0)*$B$9)*(1+$D70)^(M$19-1)</f>
        <v>3243512.19823684</v>
      </c>
      <c r="N70" s="46" t="n">
        <f aca="false">(($B$4*$B70+$B$5)-IF(OR(MOD(N$19+$F70,$B$14)=0,AND($G70=1,N$19=$B$15)),1,0)*$B$5)*(1+$C70)^(N$19-1)*(1-$B$10)-($B$7-IF(OR(MOD(N$19+$F70,$B$14)=0,AND($G70=1,N$19=$B$15)),1,0)*$B$6+$B$8+IF(OR(MOD(N$19+$F70,$B$14)=0,AND($G70=1,N$19=$B$15)),1,0)*$B$9)*(1+$D70)^(N$19-1)</f>
        <v>3395626.23359941</v>
      </c>
      <c r="O70" s="46" t="n">
        <f aca="false">(($B$4*$B70+$B$5)-IF(OR(MOD(O$19+$F70,$B$14)=0,AND($G70=1,O$19=$B$15)),1,0)*$B$5)*(1+$C70)^(O$19-1)*(1-$B$10)-($B$7-IF(OR(MOD(O$19+$F70,$B$14)=0,AND($G70=1,O$19=$B$15)),1,0)*$B$6+$B$8+IF(OR(MOD(O$19+$F70,$B$14)=0,AND($G70=1,O$19=$B$15)),1,0)*$B$9)*(1+$D70)^(O$19-1)</f>
        <v>3554492.6717825</v>
      </c>
      <c r="P70" s="46" t="n">
        <f aca="false">(($B$4*$B70+$B$5)-IF(OR(MOD(P$19+$F70,$B$14)=0,AND($G70=1,P$19=$B$15)),1,0)*$B$5)*(1+$C70)^(P$19-1)*(1-$B$10)-($B$7-IF(OR(MOD(P$19+$F70,$B$14)=0,AND($G70=1,P$19=$B$15)),1,0)*$B$6+$B$8+IF(OR(MOD(P$19+$F70,$B$14)=0,AND($G70=1,P$19=$B$15)),1,0)*$B$9)*(1+$D70)^(P$19-1)</f>
        <v>3720401.99167937</v>
      </c>
      <c r="Q70" s="46" t="n">
        <f aca="false">(($B$4*$B70+$B$5)-IF(OR(MOD(Q$19+$F70,$B$14)=0,AND($G70=1,Q$19=$B$15)),1,0)*$B$5)*(1+$C70)^(Q$19-1)*(1-$B$10)-($B$7-IF(OR(MOD(Q$19+$F70,$B$14)=0,AND($G70=1,Q$19=$B$15)),1,0)*$B$6+$B$8+IF(OR(MOD(Q$19+$F70,$B$14)=0,AND($G70=1,Q$19=$B$15)),1,0)*$B$9)*(1+$D70)^(Q$19-1)</f>
        <v>3893656.93052208</v>
      </c>
      <c r="R70" s="46" t="n">
        <f aca="false">($B$4*$B70+$B$5)*(1+$C70)^$B$15*(1-$B$10)-$B$7*(1+$D70)^$B$15</f>
        <v>4237694.58537832</v>
      </c>
      <c r="S70" s="46" t="n">
        <f aca="false">R70/$E70/(1+$B$12)*(1-$B$13)-IF($G70=1,0,MOD($F70+$B$15,$B$14)/$B$14*$B$9*(1+$D70)^$B$15)/(1+$B$12)</f>
        <v>64191779.2548779</v>
      </c>
      <c r="T70" s="46" t="n">
        <f aca="false">(NPV($B$11,H70:Q70)+S70/(1+$B$11)^$B$15)/(1+$B$12)</f>
        <v>46444180.5038577</v>
      </c>
      <c r="U70" s="46" t="n">
        <f aca="false">T70-$B$16</f>
        <v>-6052.14045066387</v>
      </c>
      <c r="V70" s="45"/>
    </row>
    <row r="71" customFormat="false" ht="15" hidden="false" customHeight="false" outlineLevel="0" collapsed="false">
      <c r="A71" s="36" t="s">
        <v>625</v>
      </c>
      <c r="B71" s="44" t="n">
        <f aca="false">$B$20</f>
        <v>0.968</v>
      </c>
      <c r="C71" s="51" t="n">
        <f aca="false">IF(ABS(T70-T69)&lt;0.000001,C70,C70-(T70-$B$16)*(C70-C69)/(T70-T69))</f>
        <v>0.0406870670467886</v>
      </c>
      <c r="D71" s="51" t="n">
        <f aca="false">$D$20</f>
        <v>0.028</v>
      </c>
      <c r="E71" s="51" t="n">
        <f aca="false">$E$20</f>
        <v>0.0595</v>
      </c>
      <c r="F71" s="49" t="n">
        <f aca="false">$F$20</f>
        <v>3</v>
      </c>
      <c r="G71" s="49" t="n">
        <v>0</v>
      </c>
      <c r="H71" s="46" t="n">
        <f aca="false">(($B$4*$B71+$B$5)-IF(OR(MOD(H$19+$F71,$B$14)=0,AND($G71=1,H$19=$B$15)),1,0)*$B$5)*(1+$C71)^(H$19-1)*(1-$B$10)-($B$7-IF(OR(MOD(H$19+$F71,$B$14)=0,AND($G71=1,H$19=$B$15)),1,0)*$B$6+$B$8+IF(OR(MOD(H$19+$F71,$B$14)=0,AND($G71=1,H$19=$B$15)),1,0)*$B$9)*(1+$D71)^(H$19-1)</f>
        <v>2574859.16593639</v>
      </c>
      <c r="I71" s="46" t="n">
        <f aca="false">(($B$4*$B71+$B$5)-IF(OR(MOD(I$19+$F71,$B$14)=0,AND($G71=1,I$19=$B$15)),1,0)*$B$5)*(1+$C71)^(I$19-1)*(1-$B$10)-($B$7-IF(OR(MOD(I$19+$F71,$B$14)=0,AND($G71=1,I$19=$B$15)),1,0)*$B$6+$B$8+IF(OR(MOD(I$19+$F71,$B$14)=0,AND($G71=1,I$19=$B$15)),1,0)*$B$9)*(1+$D71)^(I$19-1)</f>
        <v>2697219.93303601</v>
      </c>
      <c r="J71" s="46" t="n">
        <f aca="false">(($B$4*$B71+$B$5)-IF(OR(MOD(J$19+$F71,$B$14)=0,AND($G71=1,J$19=$B$15)),1,0)*$B$5)*(1+$C71)^(J$19-1)*(1-$B$10)-($B$7-IF(OR(MOD(J$19+$F71,$B$14)=0,AND($G71=1,J$19=$B$15)),1,0)*$B$6+$B$8+IF(OR(MOD(J$19+$F71,$B$14)=0,AND($G71=1,J$19=$B$15)),1,0)*$B$9)*(1+$D71)^(J$19-1)</f>
        <v>2825051.92525873</v>
      </c>
      <c r="K71" s="46" t="n">
        <f aca="false">(($B$4*$B71+$B$5)-IF(OR(MOD(K$19+$F71,$B$14)=0,AND($G71=1,K$19=$B$15)),1,0)*$B$5)*(1+$C71)^(K$19-1)*(1-$B$10)-($B$7-IF(OR(MOD(K$19+$F71,$B$14)=0,AND($G71=1,K$19=$B$15)),1,0)*$B$6+$B$8+IF(OR(MOD(K$19+$F71,$B$14)=0,AND($G71=1,K$19=$B$15)),1,0)*$B$9)*(1+$D71)^(K$19-1)</f>
        <v>1014554.56158432</v>
      </c>
      <c r="L71" s="46" t="n">
        <f aca="false">(($B$4*$B71+$B$5)-IF(OR(MOD(L$19+$F71,$B$14)=0,AND($G71=1,L$19=$B$15)),1,0)*$B$5)*(1+$C71)^(L$19-1)*(1-$B$10)-($B$7-IF(OR(MOD(L$19+$F71,$B$14)=0,AND($G71=1,L$19=$B$15)),1,0)*$B$6+$B$8+IF(OR(MOD(L$19+$F71,$B$14)=0,AND($G71=1,L$19=$B$15)),1,0)*$B$9)*(1+$D71)^(L$19-1)</f>
        <v>3098085.20751561</v>
      </c>
      <c r="M71" s="46" t="n">
        <f aca="false">(($B$4*$B71+$B$5)-IF(OR(MOD(M$19+$F71,$B$14)=0,AND($G71=1,M$19=$B$15)),1,0)*$B$5)*(1+$C71)^(M$19-1)*(1-$B$10)-($B$7-IF(OR(MOD(M$19+$F71,$B$14)=0,AND($G71=1,M$19=$B$15)),1,0)*$B$6+$B$8+IF(OR(MOD(M$19+$F71,$B$14)=0,AND($G71=1,M$19=$B$15)),1,0)*$B$9)*(1+$D71)^(M$19-1)</f>
        <v>3243789.73889964</v>
      </c>
      <c r="N71" s="46" t="n">
        <f aca="false">(($B$4*$B71+$B$5)-IF(OR(MOD(N$19+$F71,$B$14)=0,AND($G71=1,N$19=$B$15)),1,0)*$B$5)*(1+$C71)^(N$19-1)*(1-$B$10)-($B$7-IF(OR(MOD(N$19+$F71,$B$14)=0,AND($G71=1,N$19=$B$15)),1,0)*$B$6+$B$8+IF(OR(MOD(N$19+$F71,$B$14)=0,AND($G71=1,N$19=$B$15)),1,0)*$B$9)*(1+$D71)^(N$19-1)</f>
        <v>3395972.83118434</v>
      </c>
      <c r="O71" s="46" t="n">
        <f aca="false">(($B$4*$B71+$B$5)-IF(OR(MOD(O$19+$F71,$B$14)=0,AND($G71=1,O$19=$B$15)),1,0)*$B$5)*(1+$C71)^(O$19-1)*(1-$B$10)-($B$7-IF(OR(MOD(O$19+$F71,$B$14)=0,AND($G71=1,O$19=$B$15)),1,0)*$B$6+$B$8+IF(OR(MOD(O$19+$F71,$B$14)=0,AND($G71=1,O$19=$B$15)),1,0)*$B$9)*(1+$D71)^(O$19-1)</f>
        <v>3554913.4855956</v>
      </c>
      <c r="P71" s="46" t="n">
        <f aca="false">(($B$4*$B71+$B$5)-IF(OR(MOD(P$19+$F71,$B$14)=0,AND($G71=1,P$19=$B$15)),1,0)*$B$5)*(1+$C71)^(P$19-1)*(1-$B$10)-($B$7-IF(OR(MOD(P$19+$F71,$B$14)=0,AND($G71=1,P$19=$B$15)),1,0)*$B$6+$B$8+IF(OR(MOD(P$19+$F71,$B$14)=0,AND($G71=1,P$19=$B$15)),1,0)*$B$9)*(1+$D71)^(P$19-1)</f>
        <v>3720902.48651326</v>
      </c>
      <c r="Q71" s="46" t="n">
        <f aca="false">(($B$4*$B71+$B$5)-IF(OR(MOD(Q$19+$F71,$B$14)=0,AND($G71=1,Q$19=$B$15)),1,0)*$B$5)*(1+$C71)^(Q$19-1)*(1-$B$10)-($B$7-IF(OR(MOD(Q$19+$F71,$B$14)=0,AND($G71=1,Q$19=$B$15)),1,0)*$B$6+$B$8+IF(OR(MOD(Q$19+$F71,$B$14)=0,AND($G71=1,Q$19=$B$15)),1,0)*$B$9)*(1+$D71)^(Q$19-1)</f>
        <v>3894242.89297263</v>
      </c>
      <c r="R71" s="46" t="n">
        <f aca="false">($B$4*$B71+$B$5)*(1+$C71)^$B$15*(1-$B$10)-$B$7*(1+$D71)^$B$15</f>
        <v>4238372.14098329</v>
      </c>
      <c r="S71" s="46" t="n">
        <f aca="false">R71/$E71/(1+$B$12)*(1-$B$13)-IF($G71=1,0,MOD($F71+$B$15,$B$14)/$B$14*$B$9*(1+$D71)^$B$15)/(1+$B$12)</f>
        <v>64202333.5131229</v>
      </c>
      <c r="T71" s="46" t="n">
        <f aca="false">(NPV($B$11,H71:Q71)+S71/(1+$B$11)^$B$15)/(1+$B$12)</f>
        <v>46450225.2766314</v>
      </c>
      <c r="U71" s="46" t="n">
        <f aca="false">T71-$B$16</f>
        <v>-7.36767704039812</v>
      </c>
      <c r="V71" s="45"/>
    </row>
    <row r="72" customFormat="false" ht="15" hidden="false" customHeight="false" outlineLevel="0" collapsed="false">
      <c r="A72" s="36" t="s">
        <v>626</v>
      </c>
      <c r="B72" s="44" t="n">
        <f aca="false">$B$20</f>
        <v>0.968</v>
      </c>
      <c r="C72" s="51" t="n">
        <f aca="false">IF(ABS(T71-T70)&lt;0.000001,C71,C71-(T71-$B$16)*(C71-C70)/(T71-T70))</f>
        <v>0.0406870816058912</v>
      </c>
      <c r="D72" s="51" t="n">
        <f aca="false">$D$20</f>
        <v>0.028</v>
      </c>
      <c r="E72" s="51" t="n">
        <f aca="false">$E$20</f>
        <v>0.0595</v>
      </c>
      <c r="F72" s="49" t="n">
        <f aca="false">$F$20</f>
        <v>3</v>
      </c>
      <c r="G72" s="49" t="n">
        <v>0</v>
      </c>
      <c r="H72" s="46" t="n">
        <f aca="false">(($B$4*$B72+$B$5)-IF(OR(MOD(H$19+$F72,$B$14)=0,AND($G72=1,H$19=$B$15)),1,0)*$B$5)*(1+$C72)^(H$19-1)*(1-$B$10)-($B$7-IF(OR(MOD(H$19+$F72,$B$14)=0,AND($G72=1,H$19=$B$15)),1,0)*$B$6+$B$8+IF(OR(MOD(H$19+$F72,$B$14)=0,AND($G72=1,H$19=$B$15)),1,0)*$B$9)*(1+$D72)^(H$19-1)</f>
        <v>2574859.16593639</v>
      </c>
      <c r="I72" s="46" t="n">
        <f aca="false">(($B$4*$B72+$B$5)-IF(OR(MOD(I$19+$F72,$B$14)=0,AND($G72=1,I$19=$B$15)),1,0)*$B$5)*(1+$C72)^(I$19-1)*(1-$B$10)-($B$7-IF(OR(MOD(I$19+$F72,$B$14)=0,AND($G72=1,I$19=$B$15)),1,0)*$B$6+$B$8+IF(OR(MOD(I$19+$F72,$B$14)=0,AND($G72=1,I$19=$B$15)),1,0)*$B$9)*(1+$D72)^(I$19-1)</f>
        <v>2697219.99071751</v>
      </c>
      <c r="J72" s="46" t="n">
        <f aca="false">(($B$4*$B72+$B$5)-IF(OR(MOD(J$19+$F72,$B$14)=0,AND($G72=1,J$19=$B$15)),1,0)*$B$5)*(1+$C72)^(J$19-1)*(1-$B$10)-($B$7-IF(OR(MOD(J$19+$F72,$B$14)=0,AND($G72=1,J$19=$B$15)),1,0)*$B$6+$B$8+IF(OR(MOD(J$19+$F72,$B$14)=0,AND($G72=1,J$19=$B$15)),1,0)*$B$9)*(1+$D72)^(J$19-1)</f>
        <v>2825052.04531552</v>
      </c>
      <c r="K72" s="46" t="n">
        <f aca="false">(($B$4*$B72+$B$5)-IF(OR(MOD(K$19+$F72,$B$14)=0,AND($G72=1,K$19=$B$15)),1,0)*$B$5)*(1+$C72)^(K$19-1)*(1-$B$10)-($B$7-IF(OR(MOD(K$19+$F72,$B$14)=0,AND($G72=1,K$19=$B$15)),1,0)*$B$6+$B$8+IF(OR(MOD(K$19+$F72,$B$14)=0,AND($G72=1,K$19=$B$15)),1,0)*$B$9)*(1+$D72)^(K$19-1)</f>
        <v>1014554.74291158</v>
      </c>
      <c r="L72" s="46" t="n">
        <f aca="false">(($B$4*$B72+$B$5)-IF(OR(MOD(L$19+$F72,$B$14)=0,AND($G72=1,L$19=$B$15)),1,0)*$B$5)*(1+$C72)^(L$19-1)*(1-$B$10)-($B$7-IF(OR(MOD(L$19+$F72,$B$14)=0,AND($G72=1,L$19=$B$15)),1,0)*$B$6+$B$8+IF(OR(MOD(L$19+$F72,$B$14)=0,AND($G72=1,L$19=$B$15)),1,0)*$B$9)*(1+$D72)^(L$19-1)</f>
        <v>3098085.46756571</v>
      </c>
      <c r="M72" s="46" t="n">
        <f aca="false">(($B$4*$B72+$B$5)-IF(OR(MOD(M$19+$F72,$B$14)=0,AND($G72=1,M$19=$B$15)),1,0)*$B$5)*(1+$C72)^(M$19-1)*(1-$B$10)-($B$7-IF(OR(MOD(M$19+$F72,$B$14)=0,AND($G72=1,M$19=$B$15)),1,0)*$B$6+$B$8+IF(OR(MOD(M$19+$F72,$B$14)=0,AND($G72=1,M$19=$B$15)),1,0)*$B$9)*(1+$D72)^(M$19-1)</f>
        <v>3243790.07718812</v>
      </c>
      <c r="N72" s="46" t="n">
        <f aca="false">(($B$4*$B72+$B$5)-IF(OR(MOD(N$19+$F72,$B$14)=0,AND($G72=1,N$19=$B$15)),1,0)*$B$5)*(1+$C72)^(N$19-1)*(1-$B$10)-($B$7-IF(OR(MOD(N$19+$F72,$B$14)=0,AND($G72=1,N$19=$B$15)),1,0)*$B$6+$B$8+IF(OR(MOD(N$19+$F72,$B$14)=0,AND($G72=1,N$19=$B$15)),1,0)*$B$9)*(1+$D72)^(N$19-1)</f>
        <v>3395973.25364727</v>
      </c>
      <c r="O72" s="46" t="n">
        <f aca="false">(($B$4*$B72+$B$5)-IF(OR(MOD(O$19+$F72,$B$14)=0,AND($G72=1,O$19=$B$15)),1,0)*$B$5)*(1+$C72)^(O$19-1)*(1-$B$10)-($B$7-IF(OR(MOD(O$19+$F72,$B$14)=0,AND($G72=1,O$19=$B$15)),1,0)*$B$6+$B$8+IF(OR(MOD(O$19+$F72,$B$14)=0,AND($G72=1,O$19=$B$15)),1,0)*$B$9)*(1+$D72)^(O$19-1)</f>
        <v>3554913.99852259</v>
      </c>
      <c r="P72" s="46" t="n">
        <f aca="false">(($B$4*$B72+$B$5)-IF(OR(MOD(P$19+$F72,$B$14)=0,AND($G72=1,P$19=$B$15)),1,0)*$B$5)*(1+$C72)^(P$19-1)*(1-$B$10)-($B$7-IF(OR(MOD(P$19+$F72,$B$14)=0,AND($G72=1,P$19=$B$15)),1,0)*$B$6+$B$8+IF(OR(MOD(P$19+$F72,$B$14)=0,AND($G72=1,P$19=$B$15)),1,0)*$B$9)*(1+$D72)^(P$19-1)</f>
        <v>3720903.0965664</v>
      </c>
      <c r="Q72" s="46" t="n">
        <f aca="false">(($B$4*$B72+$B$5)-IF(OR(MOD(Q$19+$F72,$B$14)=0,AND($G72=1,Q$19=$B$15)),1,0)*$B$5)*(1+$C72)^(Q$19-1)*(1-$B$10)-($B$7-IF(OR(MOD(Q$19+$F72,$B$14)=0,AND($G72=1,Q$19=$B$15)),1,0)*$B$6+$B$8+IF(OR(MOD(Q$19+$F72,$B$14)=0,AND($G72=1,Q$19=$B$15)),1,0)*$B$9)*(1+$D72)^(Q$19-1)</f>
        <v>3894243.60720635</v>
      </c>
      <c r="R72" s="46" t="n">
        <f aca="false">($B$4*$B72+$B$5)*(1+$C72)^$B$15*(1-$B$10)-$B$7*(1+$D72)^$B$15</f>
        <v>4238372.96686529</v>
      </c>
      <c r="S72" s="46" t="n">
        <f aca="false">R72/$E72/(1+$B$12)*(1-$B$13)-IF($G72=1,0,MOD($F72+$B$15,$B$14)/$B$14*$B$9*(1+$D72)^$B$15)/(1+$B$12)</f>
        <v>64202346.3778559</v>
      </c>
      <c r="T72" s="46" t="n">
        <f aca="false">(NPV($B$11,H72:Q72)+S72/(1+$B$11)^$B$15)/(1+$B$12)</f>
        <v>46450232.6446513</v>
      </c>
      <c r="U72" s="46" t="n">
        <f aca="false">T72-$B$16</f>
        <v>0.000342927873134613</v>
      </c>
      <c r="V72" s="45"/>
    </row>
    <row r="73" customFormat="false" ht="15" hidden="false" customHeight="false" outlineLevel="0" collapsed="false">
      <c r="A73" s="36" t="s">
        <v>627</v>
      </c>
      <c r="B73" s="44" t="n">
        <f aca="false">$B$20</f>
        <v>0.968</v>
      </c>
      <c r="C73" s="51" t="n">
        <f aca="false">IF(ABS(T72-T71)&lt;0.000001,C72,C72-(T72-$B$16)*(C72-C71)/(T72-T71))</f>
        <v>0.0406870816052136</v>
      </c>
      <c r="D73" s="51" t="n">
        <f aca="false">$D$20</f>
        <v>0.028</v>
      </c>
      <c r="E73" s="51" t="n">
        <f aca="false">$E$20</f>
        <v>0.0595</v>
      </c>
      <c r="F73" s="49" t="n">
        <f aca="false">$F$20</f>
        <v>3</v>
      </c>
      <c r="G73" s="49" t="n">
        <v>0</v>
      </c>
      <c r="H73" s="46" t="n">
        <f aca="false">(($B$4*$B73+$B$5)-IF(OR(MOD(H$19+$F73,$B$14)=0,AND($G73=1,H$19=$B$15)),1,0)*$B$5)*(1+$C73)^(H$19-1)*(1-$B$10)-($B$7-IF(OR(MOD(H$19+$F73,$B$14)=0,AND($G73=1,H$19=$B$15)),1,0)*$B$6+$B$8+IF(OR(MOD(H$19+$F73,$B$14)=0,AND($G73=1,H$19=$B$15)),1,0)*$B$9)*(1+$D73)^(H$19-1)</f>
        <v>2574859.16593639</v>
      </c>
      <c r="I73" s="46" t="n">
        <f aca="false">(($B$4*$B73+$B$5)-IF(OR(MOD(I$19+$F73,$B$14)=0,AND($G73=1,I$19=$B$15)),1,0)*$B$5)*(1+$C73)^(I$19-1)*(1-$B$10)-($B$7-IF(OR(MOD(I$19+$F73,$B$14)=0,AND($G73=1,I$19=$B$15)),1,0)*$B$6+$B$8+IF(OR(MOD(I$19+$F73,$B$14)=0,AND($G73=1,I$19=$B$15)),1,0)*$B$9)*(1+$D73)^(I$19-1)</f>
        <v>2697219.99071483</v>
      </c>
      <c r="J73" s="46" t="n">
        <f aca="false">(($B$4*$B73+$B$5)-IF(OR(MOD(J$19+$F73,$B$14)=0,AND($G73=1,J$19=$B$15)),1,0)*$B$5)*(1+$C73)^(J$19-1)*(1-$B$10)-($B$7-IF(OR(MOD(J$19+$F73,$B$14)=0,AND($G73=1,J$19=$B$15)),1,0)*$B$6+$B$8+IF(OR(MOD(J$19+$F73,$B$14)=0,AND($G73=1,J$19=$B$15)),1,0)*$B$9)*(1+$D73)^(J$19-1)</f>
        <v>2825052.04530993</v>
      </c>
      <c r="K73" s="46" t="n">
        <f aca="false">(($B$4*$B73+$B$5)-IF(OR(MOD(K$19+$F73,$B$14)=0,AND($G73=1,K$19=$B$15)),1,0)*$B$5)*(1+$C73)^(K$19-1)*(1-$B$10)-($B$7-IF(OR(MOD(K$19+$F73,$B$14)=0,AND($G73=1,K$19=$B$15)),1,0)*$B$6+$B$8+IF(OR(MOD(K$19+$F73,$B$14)=0,AND($G73=1,K$19=$B$15)),1,0)*$B$9)*(1+$D73)^(K$19-1)</f>
        <v>1014554.74290314</v>
      </c>
      <c r="L73" s="46" t="n">
        <f aca="false">(($B$4*$B73+$B$5)-IF(OR(MOD(L$19+$F73,$B$14)=0,AND($G73=1,L$19=$B$15)),1,0)*$B$5)*(1+$C73)^(L$19-1)*(1-$B$10)-($B$7-IF(OR(MOD(L$19+$F73,$B$14)=0,AND($G73=1,L$19=$B$15)),1,0)*$B$6+$B$8+IF(OR(MOD(L$19+$F73,$B$14)=0,AND($G73=1,L$19=$B$15)),1,0)*$B$9)*(1+$D73)^(L$19-1)</f>
        <v>3098085.46755361</v>
      </c>
      <c r="M73" s="46" t="n">
        <f aca="false">(($B$4*$B73+$B$5)-IF(OR(MOD(M$19+$F73,$B$14)=0,AND($G73=1,M$19=$B$15)),1,0)*$B$5)*(1+$C73)^(M$19-1)*(1-$B$10)-($B$7-IF(OR(MOD(M$19+$F73,$B$14)=0,AND($G73=1,M$19=$B$15)),1,0)*$B$6+$B$8+IF(OR(MOD(M$19+$F73,$B$14)=0,AND($G73=1,M$19=$B$15)),1,0)*$B$9)*(1+$D73)^(M$19-1)</f>
        <v>3243790.07717237</v>
      </c>
      <c r="N73" s="46" t="n">
        <f aca="false">(($B$4*$B73+$B$5)-IF(OR(MOD(N$19+$F73,$B$14)=0,AND($G73=1,N$19=$B$15)),1,0)*$B$5)*(1+$C73)^(N$19-1)*(1-$B$10)-($B$7-IF(OR(MOD(N$19+$F73,$B$14)=0,AND($G73=1,N$19=$B$15)),1,0)*$B$6+$B$8+IF(OR(MOD(N$19+$F73,$B$14)=0,AND($G73=1,N$19=$B$15)),1,0)*$B$9)*(1+$D73)^(N$19-1)</f>
        <v>3395973.25362761</v>
      </c>
      <c r="O73" s="46" t="n">
        <f aca="false">(($B$4*$B73+$B$5)-IF(OR(MOD(O$19+$F73,$B$14)=0,AND($G73=1,O$19=$B$15)),1,0)*$B$5)*(1+$C73)^(O$19-1)*(1-$B$10)-($B$7-IF(OR(MOD(O$19+$F73,$B$14)=0,AND($G73=1,O$19=$B$15)),1,0)*$B$6+$B$8+IF(OR(MOD(O$19+$F73,$B$14)=0,AND($G73=1,O$19=$B$15)),1,0)*$B$9)*(1+$D73)^(O$19-1)</f>
        <v>3554913.99849872</v>
      </c>
      <c r="P73" s="46" t="n">
        <f aca="false">(($B$4*$B73+$B$5)-IF(OR(MOD(P$19+$F73,$B$14)=0,AND($G73=1,P$19=$B$15)),1,0)*$B$5)*(1+$C73)^(P$19-1)*(1-$B$10)-($B$7-IF(OR(MOD(P$19+$F73,$B$14)=0,AND($G73=1,P$19=$B$15)),1,0)*$B$6+$B$8+IF(OR(MOD(P$19+$F73,$B$14)=0,AND($G73=1,P$19=$B$15)),1,0)*$B$9)*(1+$D73)^(P$19-1)</f>
        <v>3720903.096538</v>
      </c>
      <c r="Q73" s="46" t="n">
        <f aca="false">(($B$4*$B73+$B$5)-IF(OR(MOD(Q$19+$F73,$B$14)=0,AND($G73=1,Q$19=$B$15)),1,0)*$B$5)*(1+$C73)^(Q$19-1)*(1-$B$10)-($B$7-IF(OR(MOD(Q$19+$F73,$B$14)=0,AND($G73=1,Q$19=$B$15)),1,0)*$B$6+$B$8+IF(OR(MOD(Q$19+$F73,$B$14)=0,AND($G73=1,Q$19=$B$15)),1,0)*$B$9)*(1+$D73)^(Q$19-1)</f>
        <v>3894243.6071731</v>
      </c>
      <c r="R73" s="46" t="n">
        <f aca="false">($B$4*$B73+$B$5)*(1+$C73)^$B$15*(1-$B$10)-$B$7*(1+$D73)^$B$15</f>
        <v>4238372.96682685</v>
      </c>
      <c r="S73" s="46" t="n">
        <f aca="false">R73/$E73/(1+$B$12)*(1-$B$13)-IF($G73=1,0,MOD($F73+$B$15,$B$14)/$B$14*$B$9*(1+$D73)^$B$15)/(1+$B$12)</f>
        <v>64202346.3772571</v>
      </c>
      <c r="T73" s="46" t="n">
        <f aca="false">(NPV($B$11,H73:Q73)+S73/(1+$B$11)^$B$15)/(1+$B$12)</f>
        <v>46450232.6443084</v>
      </c>
      <c r="U73" s="46" t="n">
        <f aca="false">T73-$B$16</f>
        <v>0</v>
      </c>
      <c r="V73" s="45"/>
    </row>
    <row r="74" customFormat="false" ht="15" hidden="false" customHeight="false" outlineLevel="0" collapsed="false">
      <c r="A74" s="36" t="s">
        <v>628</v>
      </c>
      <c r="B74" s="44" t="n">
        <f aca="false">$B$20</f>
        <v>0.968</v>
      </c>
      <c r="C74" s="51" t="n">
        <f aca="false">IF(ABS(T73-T72)&lt;0.000001,C73,C73-(T73-$B$16)*(C73-C72)/(T73-T72))</f>
        <v>0.0406870816052136</v>
      </c>
      <c r="D74" s="51" t="n">
        <f aca="false">$D$20</f>
        <v>0.028</v>
      </c>
      <c r="E74" s="51" t="n">
        <f aca="false">$E$20</f>
        <v>0.0595</v>
      </c>
      <c r="F74" s="49" t="n">
        <f aca="false">$F$20</f>
        <v>3</v>
      </c>
      <c r="G74" s="49" t="n">
        <v>0</v>
      </c>
      <c r="H74" s="46" t="n">
        <f aca="false">(($B$4*$B74+$B$5)-IF(OR(MOD(H$19+$F74,$B$14)=0,AND($G74=1,H$19=$B$15)),1,0)*$B$5)*(1+$C74)^(H$19-1)*(1-$B$10)-($B$7-IF(OR(MOD(H$19+$F74,$B$14)=0,AND($G74=1,H$19=$B$15)),1,0)*$B$6+$B$8+IF(OR(MOD(H$19+$F74,$B$14)=0,AND($G74=1,H$19=$B$15)),1,0)*$B$9)*(1+$D74)^(H$19-1)</f>
        <v>2574859.16593639</v>
      </c>
      <c r="I74" s="46" t="n">
        <f aca="false">(($B$4*$B74+$B$5)-IF(OR(MOD(I$19+$F74,$B$14)=0,AND($G74=1,I$19=$B$15)),1,0)*$B$5)*(1+$C74)^(I$19-1)*(1-$B$10)-($B$7-IF(OR(MOD(I$19+$F74,$B$14)=0,AND($G74=1,I$19=$B$15)),1,0)*$B$6+$B$8+IF(OR(MOD(I$19+$F74,$B$14)=0,AND($G74=1,I$19=$B$15)),1,0)*$B$9)*(1+$D74)^(I$19-1)</f>
        <v>2697219.99071483</v>
      </c>
      <c r="J74" s="46" t="n">
        <f aca="false">(($B$4*$B74+$B$5)-IF(OR(MOD(J$19+$F74,$B$14)=0,AND($G74=1,J$19=$B$15)),1,0)*$B$5)*(1+$C74)^(J$19-1)*(1-$B$10)-($B$7-IF(OR(MOD(J$19+$F74,$B$14)=0,AND($G74=1,J$19=$B$15)),1,0)*$B$6+$B$8+IF(OR(MOD(J$19+$F74,$B$14)=0,AND($G74=1,J$19=$B$15)),1,0)*$B$9)*(1+$D74)^(J$19-1)</f>
        <v>2825052.04530993</v>
      </c>
      <c r="K74" s="46" t="n">
        <f aca="false">(($B$4*$B74+$B$5)-IF(OR(MOD(K$19+$F74,$B$14)=0,AND($G74=1,K$19=$B$15)),1,0)*$B$5)*(1+$C74)^(K$19-1)*(1-$B$10)-($B$7-IF(OR(MOD(K$19+$F74,$B$14)=0,AND($G74=1,K$19=$B$15)),1,0)*$B$6+$B$8+IF(OR(MOD(K$19+$F74,$B$14)=0,AND($G74=1,K$19=$B$15)),1,0)*$B$9)*(1+$D74)^(K$19-1)</f>
        <v>1014554.74290314</v>
      </c>
      <c r="L74" s="46" t="n">
        <f aca="false">(($B$4*$B74+$B$5)-IF(OR(MOD(L$19+$F74,$B$14)=0,AND($G74=1,L$19=$B$15)),1,0)*$B$5)*(1+$C74)^(L$19-1)*(1-$B$10)-($B$7-IF(OR(MOD(L$19+$F74,$B$14)=0,AND($G74=1,L$19=$B$15)),1,0)*$B$6+$B$8+IF(OR(MOD(L$19+$F74,$B$14)=0,AND($G74=1,L$19=$B$15)),1,0)*$B$9)*(1+$D74)^(L$19-1)</f>
        <v>3098085.46755361</v>
      </c>
      <c r="M74" s="46" t="n">
        <f aca="false">(($B$4*$B74+$B$5)-IF(OR(MOD(M$19+$F74,$B$14)=0,AND($G74=1,M$19=$B$15)),1,0)*$B$5)*(1+$C74)^(M$19-1)*(1-$B$10)-($B$7-IF(OR(MOD(M$19+$F74,$B$14)=0,AND($G74=1,M$19=$B$15)),1,0)*$B$6+$B$8+IF(OR(MOD(M$19+$F74,$B$14)=0,AND($G74=1,M$19=$B$15)),1,0)*$B$9)*(1+$D74)^(M$19-1)</f>
        <v>3243790.07717237</v>
      </c>
      <c r="N74" s="46" t="n">
        <f aca="false">(($B$4*$B74+$B$5)-IF(OR(MOD(N$19+$F74,$B$14)=0,AND($G74=1,N$19=$B$15)),1,0)*$B$5)*(1+$C74)^(N$19-1)*(1-$B$10)-($B$7-IF(OR(MOD(N$19+$F74,$B$14)=0,AND($G74=1,N$19=$B$15)),1,0)*$B$6+$B$8+IF(OR(MOD(N$19+$F74,$B$14)=0,AND($G74=1,N$19=$B$15)),1,0)*$B$9)*(1+$D74)^(N$19-1)</f>
        <v>3395973.25362761</v>
      </c>
      <c r="O74" s="46" t="n">
        <f aca="false">(($B$4*$B74+$B$5)-IF(OR(MOD(O$19+$F74,$B$14)=0,AND($G74=1,O$19=$B$15)),1,0)*$B$5)*(1+$C74)^(O$19-1)*(1-$B$10)-($B$7-IF(OR(MOD(O$19+$F74,$B$14)=0,AND($G74=1,O$19=$B$15)),1,0)*$B$6+$B$8+IF(OR(MOD(O$19+$F74,$B$14)=0,AND($G74=1,O$19=$B$15)),1,0)*$B$9)*(1+$D74)^(O$19-1)</f>
        <v>3554913.99849872</v>
      </c>
      <c r="P74" s="46" t="n">
        <f aca="false">(($B$4*$B74+$B$5)-IF(OR(MOD(P$19+$F74,$B$14)=0,AND($G74=1,P$19=$B$15)),1,0)*$B$5)*(1+$C74)^(P$19-1)*(1-$B$10)-($B$7-IF(OR(MOD(P$19+$F74,$B$14)=0,AND($G74=1,P$19=$B$15)),1,0)*$B$6+$B$8+IF(OR(MOD(P$19+$F74,$B$14)=0,AND($G74=1,P$19=$B$15)),1,0)*$B$9)*(1+$D74)^(P$19-1)</f>
        <v>3720903.096538</v>
      </c>
      <c r="Q74" s="46" t="n">
        <f aca="false">(($B$4*$B74+$B$5)-IF(OR(MOD(Q$19+$F74,$B$14)=0,AND($G74=1,Q$19=$B$15)),1,0)*$B$5)*(1+$C74)^(Q$19-1)*(1-$B$10)-($B$7-IF(OR(MOD(Q$19+$F74,$B$14)=0,AND($G74=1,Q$19=$B$15)),1,0)*$B$6+$B$8+IF(OR(MOD(Q$19+$F74,$B$14)=0,AND($G74=1,Q$19=$B$15)),1,0)*$B$9)*(1+$D74)^(Q$19-1)</f>
        <v>3894243.6071731</v>
      </c>
      <c r="R74" s="46" t="n">
        <f aca="false">($B$4*$B74+$B$5)*(1+$C74)^$B$15*(1-$B$10)-$B$7*(1+$D74)^$B$15</f>
        <v>4238372.96682685</v>
      </c>
      <c r="S74" s="46" t="n">
        <f aca="false">R74/$E74/(1+$B$12)*(1-$B$13)-IF($G74=1,0,MOD($F74+$B$15,$B$14)/$B$14*$B$9*(1+$D74)^$B$15)/(1+$B$12)</f>
        <v>64202346.3772571</v>
      </c>
      <c r="T74" s="46" t="n">
        <f aca="false">(NPV($B$11,H74:Q74)+S74/(1+$B$11)^$B$15)/(1+$B$12)</f>
        <v>46450232.6443084</v>
      </c>
      <c r="U74" s="46" t="n">
        <f aca="false">T74-$B$16</f>
        <v>0</v>
      </c>
      <c r="V74" s="45"/>
    </row>
    <row r="75" customFormat="false" ht="15" hidden="false" customHeight="false" outlineLevel="0" collapsed="false">
      <c r="A75" s="36" t="s">
        <v>629</v>
      </c>
      <c r="B75" s="44" t="n">
        <f aca="false">$B$20</f>
        <v>0.968</v>
      </c>
      <c r="C75" s="51" t="n">
        <f aca="false">IF(ABS(T74-T73)&lt;0.000001,C74,C74-(T74-$B$16)*(C74-C73)/(T74-T73))</f>
        <v>0.0406870816052136</v>
      </c>
      <c r="D75" s="51" t="n">
        <f aca="false">$D$20</f>
        <v>0.028</v>
      </c>
      <c r="E75" s="51" t="n">
        <f aca="false">$E$20</f>
        <v>0.0595</v>
      </c>
      <c r="F75" s="49" t="n">
        <f aca="false">$F$20</f>
        <v>3</v>
      </c>
      <c r="G75" s="49" t="n">
        <v>0</v>
      </c>
      <c r="H75" s="46" t="n">
        <f aca="false">(($B$4*$B75+$B$5)-IF(OR(MOD(H$19+$F75,$B$14)=0,AND($G75=1,H$19=$B$15)),1,0)*$B$5)*(1+$C75)^(H$19-1)*(1-$B$10)-($B$7-IF(OR(MOD(H$19+$F75,$B$14)=0,AND($G75=1,H$19=$B$15)),1,0)*$B$6+$B$8+IF(OR(MOD(H$19+$F75,$B$14)=0,AND($G75=1,H$19=$B$15)),1,0)*$B$9)*(1+$D75)^(H$19-1)</f>
        <v>2574859.16593639</v>
      </c>
      <c r="I75" s="46" t="n">
        <f aca="false">(($B$4*$B75+$B$5)-IF(OR(MOD(I$19+$F75,$B$14)=0,AND($G75=1,I$19=$B$15)),1,0)*$B$5)*(1+$C75)^(I$19-1)*(1-$B$10)-($B$7-IF(OR(MOD(I$19+$F75,$B$14)=0,AND($G75=1,I$19=$B$15)),1,0)*$B$6+$B$8+IF(OR(MOD(I$19+$F75,$B$14)=0,AND($G75=1,I$19=$B$15)),1,0)*$B$9)*(1+$D75)^(I$19-1)</f>
        <v>2697219.99071483</v>
      </c>
      <c r="J75" s="46" t="n">
        <f aca="false">(($B$4*$B75+$B$5)-IF(OR(MOD(J$19+$F75,$B$14)=0,AND($G75=1,J$19=$B$15)),1,0)*$B$5)*(1+$C75)^(J$19-1)*(1-$B$10)-($B$7-IF(OR(MOD(J$19+$F75,$B$14)=0,AND($G75=1,J$19=$B$15)),1,0)*$B$6+$B$8+IF(OR(MOD(J$19+$F75,$B$14)=0,AND($G75=1,J$19=$B$15)),1,0)*$B$9)*(1+$D75)^(J$19-1)</f>
        <v>2825052.04530993</v>
      </c>
      <c r="K75" s="46" t="n">
        <f aca="false">(($B$4*$B75+$B$5)-IF(OR(MOD(K$19+$F75,$B$14)=0,AND($G75=1,K$19=$B$15)),1,0)*$B$5)*(1+$C75)^(K$19-1)*(1-$B$10)-($B$7-IF(OR(MOD(K$19+$F75,$B$14)=0,AND($G75=1,K$19=$B$15)),1,0)*$B$6+$B$8+IF(OR(MOD(K$19+$F75,$B$14)=0,AND($G75=1,K$19=$B$15)),1,0)*$B$9)*(1+$D75)^(K$19-1)</f>
        <v>1014554.74290314</v>
      </c>
      <c r="L75" s="46" t="n">
        <f aca="false">(($B$4*$B75+$B$5)-IF(OR(MOD(L$19+$F75,$B$14)=0,AND($G75=1,L$19=$B$15)),1,0)*$B$5)*(1+$C75)^(L$19-1)*(1-$B$10)-($B$7-IF(OR(MOD(L$19+$F75,$B$14)=0,AND($G75=1,L$19=$B$15)),1,0)*$B$6+$B$8+IF(OR(MOD(L$19+$F75,$B$14)=0,AND($G75=1,L$19=$B$15)),1,0)*$B$9)*(1+$D75)^(L$19-1)</f>
        <v>3098085.46755361</v>
      </c>
      <c r="M75" s="46" t="n">
        <f aca="false">(($B$4*$B75+$B$5)-IF(OR(MOD(M$19+$F75,$B$14)=0,AND($G75=1,M$19=$B$15)),1,0)*$B$5)*(1+$C75)^(M$19-1)*(1-$B$10)-($B$7-IF(OR(MOD(M$19+$F75,$B$14)=0,AND($G75=1,M$19=$B$15)),1,0)*$B$6+$B$8+IF(OR(MOD(M$19+$F75,$B$14)=0,AND($G75=1,M$19=$B$15)),1,0)*$B$9)*(1+$D75)^(M$19-1)</f>
        <v>3243790.07717237</v>
      </c>
      <c r="N75" s="46" t="n">
        <f aca="false">(($B$4*$B75+$B$5)-IF(OR(MOD(N$19+$F75,$B$14)=0,AND($G75=1,N$19=$B$15)),1,0)*$B$5)*(1+$C75)^(N$19-1)*(1-$B$10)-($B$7-IF(OR(MOD(N$19+$F75,$B$14)=0,AND($G75=1,N$19=$B$15)),1,0)*$B$6+$B$8+IF(OR(MOD(N$19+$F75,$B$14)=0,AND($G75=1,N$19=$B$15)),1,0)*$B$9)*(1+$D75)^(N$19-1)</f>
        <v>3395973.25362761</v>
      </c>
      <c r="O75" s="46" t="n">
        <f aca="false">(($B$4*$B75+$B$5)-IF(OR(MOD(O$19+$F75,$B$14)=0,AND($G75=1,O$19=$B$15)),1,0)*$B$5)*(1+$C75)^(O$19-1)*(1-$B$10)-($B$7-IF(OR(MOD(O$19+$F75,$B$14)=0,AND($G75=1,O$19=$B$15)),1,0)*$B$6+$B$8+IF(OR(MOD(O$19+$F75,$B$14)=0,AND($G75=1,O$19=$B$15)),1,0)*$B$9)*(1+$D75)^(O$19-1)</f>
        <v>3554913.99849872</v>
      </c>
      <c r="P75" s="46" t="n">
        <f aca="false">(($B$4*$B75+$B$5)-IF(OR(MOD(P$19+$F75,$B$14)=0,AND($G75=1,P$19=$B$15)),1,0)*$B$5)*(1+$C75)^(P$19-1)*(1-$B$10)-($B$7-IF(OR(MOD(P$19+$F75,$B$14)=0,AND($G75=1,P$19=$B$15)),1,0)*$B$6+$B$8+IF(OR(MOD(P$19+$F75,$B$14)=0,AND($G75=1,P$19=$B$15)),1,0)*$B$9)*(1+$D75)^(P$19-1)</f>
        <v>3720903.096538</v>
      </c>
      <c r="Q75" s="46" t="n">
        <f aca="false">(($B$4*$B75+$B$5)-IF(OR(MOD(Q$19+$F75,$B$14)=0,AND($G75=1,Q$19=$B$15)),1,0)*$B$5)*(1+$C75)^(Q$19-1)*(1-$B$10)-($B$7-IF(OR(MOD(Q$19+$F75,$B$14)=0,AND($G75=1,Q$19=$B$15)),1,0)*$B$6+$B$8+IF(OR(MOD(Q$19+$F75,$B$14)=0,AND($G75=1,Q$19=$B$15)),1,0)*$B$9)*(1+$D75)^(Q$19-1)</f>
        <v>3894243.6071731</v>
      </c>
      <c r="R75" s="46" t="n">
        <f aca="false">($B$4*$B75+$B$5)*(1+$C75)^$B$15*(1-$B$10)-$B$7*(1+$D75)^$B$15</f>
        <v>4238372.96682685</v>
      </c>
      <c r="S75" s="46" t="n">
        <f aca="false">R75/$E75/(1+$B$12)*(1-$B$13)-IF($G75=1,0,MOD($F75+$B$15,$B$14)/$B$14*$B$9*(1+$D75)^$B$15)/(1+$B$12)</f>
        <v>64202346.3772571</v>
      </c>
      <c r="T75" s="46" t="n">
        <f aca="false">(NPV($B$11,H75:Q75)+S75/(1+$B$11)^$B$15)/(1+$B$12)</f>
        <v>46450232.6443084</v>
      </c>
      <c r="U75" s="46" t="n">
        <f aca="false">T75-$B$16</f>
        <v>0</v>
      </c>
      <c r="V75" s="45"/>
    </row>
    <row r="76" customFormat="false" ht="15" hidden="false" customHeight="false" outlineLevel="0" collapsed="false">
      <c r="A76" s="36" t="s">
        <v>630</v>
      </c>
      <c r="B76" s="44" t="n">
        <f aca="false">$B$20</f>
        <v>0.968</v>
      </c>
      <c r="C76" s="51" t="n">
        <f aca="false">IF(ABS(T75-T74)&lt;0.000001,C75,C75-(T75-$B$16)*(C75-C74)/(T75-T74))</f>
        <v>0.0406870816052136</v>
      </c>
      <c r="D76" s="51" t="n">
        <f aca="false">$D$20</f>
        <v>0.028</v>
      </c>
      <c r="E76" s="51" t="n">
        <f aca="false">$E$20</f>
        <v>0.0595</v>
      </c>
      <c r="F76" s="49" t="n">
        <f aca="false">$F$20</f>
        <v>3</v>
      </c>
      <c r="G76" s="49" t="n">
        <v>0</v>
      </c>
      <c r="H76" s="46" t="n">
        <f aca="false">(($B$4*$B76+$B$5)-IF(OR(MOD(H$19+$F76,$B$14)=0,AND($G76=1,H$19=$B$15)),1,0)*$B$5)*(1+$C76)^(H$19-1)*(1-$B$10)-($B$7-IF(OR(MOD(H$19+$F76,$B$14)=0,AND($G76=1,H$19=$B$15)),1,0)*$B$6+$B$8+IF(OR(MOD(H$19+$F76,$B$14)=0,AND($G76=1,H$19=$B$15)),1,0)*$B$9)*(1+$D76)^(H$19-1)</f>
        <v>2574859.16593639</v>
      </c>
      <c r="I76" s="46" t="n">
        <f aca="false">(($B$4*$B76+$B$5)-IF(OR(MOD(I$19+$F76,$B$14)=0,AND($G76=1,I$19=$B$15)),1,0)*$B$5)*(1+$C76)^(I$19-1)*(1-$B$10)-($B$7-IF(OR(MOD(I$19+$F76,$B$14)=0,AND($G76=1,I$19=$B$15)),1,0)*$B$6+$B$8+IF(OR(MOD(I$19+$F76,$B$14)=0,AND($G76=1,I$19=$B$15)),1,0)*$B$9)*(1+$D76)^(I$19-1)</f>
        <v>2697219.99071483</v>
      </c>
      <c r="J76" s="46" t="n">
        <f aca="false">(($B$4*$B76+$B$5)-IF(OR(MOD(J$19+$F76,$B$14)=0,AND($G76=1,J$19=$B$15)),1,0)*$B$5)*(1+$C76)^(J$19-1)*(1-$B$10)-($B$7-IF(OR(MOD(J$19+$F76,$B$14)=0,AND($G76=1,J$19=$B$15)),1,0)*$B$6+$B$8+IF(OR(MOD(J$19+$F76,$B$14)=0,AND($G76=1,J$19=$B$15)),1,0)*$B$9)*(1+$D76)^(J$19-1)</f>
        <v>2825052.04530993</v>
      </c>
      <c r="K76" s="46" t="n">
        <f aca="false">(($B$4*$B76+$B$5)-IF(OR(MOD(K$19+$F76,$B$14)=0,AND($G76=1,K$19=$B$15)),1,0)*$B$5)*(1+$C76)^(K$19-1)*(1-$B$10)-($B$7-IF(OR(MOD(K$19+$F76,$B$14)=0,AND($G76=1,K$19=$B$15)),1,0)*$B$6+$B$8+IF(OR(MOD(K$19+$F76,$B$14)=0,AND($G76=1,K$19=$B$15)),1,0)*$B$9)*(1+$D76)^(K$19-1)</f>
        <v>1014554.74290314</v>
      </c>
      <c r="L76" s="46" t="n">
        <f aca="false">(($B$4*$B76+$B$5)-IF(OR(MOD(L$19+$F76,$B$14)=0,AND($G76=1,L$19=$B$15)),1,0)*$B$5)*(1+$C76)^(L$19-1)*(1-$B$10)-($B$7-IF(OR(MOD(L$19+$F76,$B$14)=0,AND($G76=1,L$19=$B$15)),1,0)*$B$6+$B$8+IF(OR(MOD(L$19+$F76,$B$14)=0,AND($G76=1,L$19=$B$15)),1,0)*$B$9)*(1+$D76)^(L$19-1)</f>
        <v>3098085.46755361</v>
      </c>
      <c r="M76" s="46" t="n">
        <f aca="false">(($B$4*$B76+$B$5)-IF(OR(MOD(M$19+$F76,$B$14)=0,AND($G76=1,M$19=$B$15)),1,0)*$B$5)*(1+$C76)^(M$19-1)*(1-$B$10)-($B$7-IF(OR(MOD(M$19+$F76,$B$14)=0,AND($G76=1,M$19=$B$15)),1,0)*$B$6+$B$8+IF(OR(MOD(M$19+$F76,$B$14)=0,AND($G76=1,M$19=$B$15)),1,0)*$B$9)*(1+$D76)^(M$19-1)</f>
        <v>3243790.07717237</v>
      </c>
      <c r="N76" s="46" t="n">
        <f aca="false">(($B$4*$B76+$B$5)-IF(OR(MOD(N$19+$F76,$B$14)=0,AND($G76=1,N$19=$B$15)),1,0)*$B$5)*(1+$C76)^(N$19-1)*(1-$B$10)-($B$7-IF(OR(MOD(N$19+$F76,$B$14)=0,AND($G76=1,N$19=$B$15)),1,0)*$B$6+$B$8+IF(OR(MOD(N$19+$F76,$B$14)=0,AND($G76=1,N$19=$B$15)),1,0)*$B$9)*(1+$D76)^(N$19-1)</f>
        <v>3395973.25362761</v>
      </c>
      <c r="O76" s="46" t="n">
        <f aca="false">(($B$4*$B76+$B$5)-IF(OR(MOD(O$19+$F76,$B$14)=0,AND($G76=1,O$19=$B$15)),1,0)*$B$5)*(1+$C76)^(O$19-1)*(1-$B$10)-($B$7-IF(OR(MOD(O$19+$F76,$B$14)=0,AND($G76=1,O$19=$B$15)),1,0)*$B$6+$B$8+IF(OR(MOD(O$19+$F76,$B$14)=0,AND($G76=1,O$19=$B$15)),1,0)*$B$9)*(1+$D76)^(O$19-1)</f>
        <v>3554913.99849872</v>
      </c>
      <c r="P76" s="46" t="n">
        <f aca="false">(($B$4*$B76+$B$5)-IF(OR(MOD(P$19+$F76,$B$14)=0,AND($G76=1,P$19=$B$15)),1,0)*$B$5)*(1+$C76)^(P$19-1)*(1-$B$10)-($B$7-IF(OR(MOD(P$19+$F76,$B$14)=0,AND($G76=1,P$19=$B$15)),1,0)*$B$6+$B$8+IF(OR(MOD(P$19+$F76,$B$14)=0,AND($G76=1,P$19=$B$15)),1,0)*$B$9)*(1+$D76)^(P$19-1)</f>
        <v>3720903.096538</v>
      </c>
      <c r="Q76" s="46" t="n">
        <f aca="false">(($B$4*$B76+$B$5)-IF(OR(MOD(Q$19+$F76,$B$14)=0,AND($G76=1,Q$19=$B$15)),1,0)*$B$5)*(1+$C76)^(Q$19-1)*(1-$B$10)-($B$7-IF(OR(MOD(Q$19+$F76,$B$14)=0,AND($G76=1,Q$19=$B$15)),1,0)*$B$6+$B$8+IF(OR(MOD(Q$19+$F76,$B$14)=0,AND($G76=1,Q$19=$B$15)),1,0)*$B$9)*(1+$D76)^(Q$19-1)</f>
        <v>3894243.6071731</v>
      </c>
      <c r="R76" s="46" t="n">
        <f aca="false">($B$4*$B76+$B$5)*(1+$C76)^$B$15*(1-$B$10)-$B$7*(1+$D76)^$B$15</f>
        <v>4238372.96682685</v>
      </c>
      <c r="S76" s="46" t="n">
        <f aca="false">R76/$E76/(1+$B$12)*(1-$B$13)-IF($G76=1,0,MOD($F76+$B$15,$B$14)/$B$14*$B$9*(1+$D76)^$B$15)/(1+$B$12)</f>
        <v>64202346.3772571</v>
      </c>
      <c r="T76" s="46" t="n">
        <f aca="false">(NPV($B$11,H76:Q76)+S76/(1+$B$11)^$B$15)/(1+$B$12)</f>
        <v>46450232.6443084</v>
      </c>
      <c r="U76" s="46" t="n">
        <f aca="false">T76-$B$16</f>
        <v>0</v>
      </c>
      <c r="V76" s="45"/>
    </row>
    <row r="77" customFormat="false" ht="15" hidden="false" customHeight="false" outlineLevel="0" collapsed="false">
      <c r="A77" s="36" t="s">
        <v>631</v>
      </c>
      <c r="B77" s="44" t="n">
        <f aca="false">$B$20</f>
        <v>0.968</v>
      </c>
      <c r="C77" s="51" t="n">
        <f aca="false">IF(ABS(T76-T75)&lt;0.000001,C76,C76-(T76-$B$16)*(C76-C75)/(T76-T75))</f>
        <v>0.0406870816052136</v>
      </c>
      <c r="D77" s="51" t="n">
        <f aca="false">$D$20</f>
        <v>0.028</v>
      </c>
      <c r="E77" s="51" t="n">
        <f aca="false">$E$20</f>
        <v>0.0595</v>
      </c>
      <c r="F77" s="49" t="n">
        <f aca="false">$F$20</f>
        <v>3</v>
      </c>
      <c r="G77" s="49" t="n">
        <v>0</v>
      </c>
      <c r="H77" s="46" t="n">
        <f aca="false">(($B$4*$B77+$B$5)-IF(OR(MOD(H$19+$F77,$B$14)=0,AND($G77=1,H$19=$B$15)),1,0)*$B$5)*(1+$C77)^(H$19-1)*(1-$B$10)-($B$7-IF(OR(MOD(H$19+$F77,$B$14)=0,AND($G77=1,H$19=$B$15)),1,0)*$B$6+$B$8+IF(OR(MOD(H$19+$F77,$B$14)=0,AND($G77=1,H$19=$B$15)),1,0)*$B$9)*(1+$D77)^(H$19-1)</f>
        <v>2574859.16593639</v>
      </c>
      <c r="I77" s="46" t="n">
        <f aca="false">(($B$4*$B77+$B$5)-IF(OR(MOD(I$19+$F77,$B$14)=0,AND($G77=1,I$19=$B$15)),1,0)*$B$5)*(1+$C77)^(I$19-1)*(1-$B$10)-($B$7-IF(OR(MOD(I$19+$F77,$B$14)=0,AND($G77=1,I$19=$B$15)),1,0)*$B$6+$B$8+IF(OR(MOD(I$19+$F77,$B$14)=0,AND($G77=1,I$19=$B$15)),1,0)*$B$9)*(1+$D77)^(I$19-1)</f>
        <v>2697219.99071483</v>
      </c>
      <c r="J77" s="46" t="n">
        <f aca="false">(($B$4*$B77+$B$5)-IF(OR(MOD(J$19+$F77,$B$14)=0,AND($G77=1,J$19=$B$15)),1,0)*$B$5)*(1+$C77)^(J$19-1)*(1-$B$10)-($B$7-IF(OR(MOD(J$19+$F77,$B$14)=0,AND($G77=1,J$19=$B$15)),1,0)*$B$6+$B$8+IF(OR(MOD(J$19+$F77,$B$14)=0,AND($G77=1,J$19=$B$15)),1,0)*$B$9)*(1+$D77)^(J$19-1)</f>
        <v>2825052.04530993</v>
      </c>
      <c r="K77" s="46" t="n">
        <f aca="false">(($B$4*$B77+$B$5)-IF(OR(MOD(K$19+$F77,$B$14)=0,AND($G77=1,K$19=$B$15)),1,0)*$B$5)*(1+$C77)^(K$19-1)*(1-$B$10)-($B$7-IF(OR(MOD(K$19+$F77,$B$14)=0,AND($G77=1,K$19=$B$15)),1,0)*$B$6+$B$8+IF(OR(MOD(K$19+$F77,$B$14)=0,AND($G77=1,K$19=$B$15)),1,0)*$B$9)*(1+$D77)^(K$19-1)</f>
        <v>1014554.74290314</v>
      </c>
      <c r="L77" s="46" t="n">
        <f aca="false">(($B$4*$B77+$B$5)-IF(OR(MOD(L$19+$F77,$B$14)=0,AND($G77=1,L$19=$B$15)),1,0)*$B$5)*(1+$C77)^(L$19-1)*(1-$B$10)-($B$7-IF(OR(MOD(L$19+$F77,$B$14)=0,AND($G77=1,L$19=$B$15)),1,0)*$B$6+$B$8+IF(OR(MOD(L$19+$F77,$B$14)=0,AND($G77=1,L$19=$B$15)),1,0)*$B$9)*(1+$D77)^(L$19-1)</f>
        <v>3098085.46755361</v>
      </c>
      <c r="M77" s="46" t="n">
        <f aca="false">(($B$4*$B77+$B$5)-IF(OR(MOD(M$19+$F77,$B$14)=0,AND($G77=1,M$19=$B$15)),1,0)*$B$5)*(1+$C77)^(M$19-1)*(1-$B$10)-($B$7-IF(OR(MOD(M$19+$F77,$B$14)=0,AND($G77=1,M$19=$B$15)),1,0)*$B$6+$B$8+IF(OR(MOD(M$19+$F77,$B$14)=0,AND($G77=1,M$19=$B$15)),1,0)*$B$9)*(1+$D77)^(M$19-1)</f>
        <v>3243790.07717237</v>
      </c>
      <c r="N77" s="46" t="n">
        <f aca="false">(($B$4*$B77+$B$5)-IF(OR(MOD(N$19+$F77,$B$14)=0,AND($G77=1,N$19=$B$15)),1,0)*$B$5)*(1+$C77)^(N$19-1)*(1-$B$10)-($B$7-IF(OR(MOD(N$19+$F77,$B$14)=0,AND($G77=1,N$19=$B$15)),1,0)*$B$6+$B$8+IF(OR(MOD(N$19+$F77,$B$14)=0,AND($G77=1,N$19=$B$15)),1,0)*$B$9)*(1+$D77)^(N$19-1)</f>
        <v>3395973.25362761</v>
      </c>
      <c r="O77" s="46" t="n">
        <f aca="false">(($B$4*$B77+$B$5)-IF(OR(MOD(O$19+$F77,$B$14)=0,AND($G77=1,O$19=$B$15)),1,0)*$B$5)*(1+$C77)^(O$19-1)*(1-$B$10)-($B$7-IF(OR(MOD(O$19+$F77,$B$14)=0,AND($G77=1,O$19=$B$15)),1,0)*$B$6+$B$8+IF(OR(MOD(O$19+$F77,$B$14)=0,AND($G77=1,O$19=$B$15)),1,0)*$B$9)*(1+$D77)^(O$19-1)</f>
        <v>3554913.99849872</v>
      </c>
      <c r="P77" s="46" t="n">
        <f aca="false">(($B$4*$B77+$B$5)-IF(OR(MOD(P$19+$F77,$B$14)=0,AND($G77=1,P$19=$B$15)),1,0)*$B$5)*(1+$C77)^(P$19-1)*(1-$B$10)-($B$7-IF(OR(MOD(P$19+$F77,$B$14)=0,AND($G77=1,P$19=$B$15)),1,0)*$B$6+$B$8+IF(OR(MOD(P$19+$F77,$B$14)=0,AND($G77=1,P$19=$B$15)),1,0)*$B$9)*(1+$D77)^(P$19-1)</f>
        <v>3720903.096538</v>
      </c>
      <c r="Q77" s="46" t="n">
        <f aca="false">(($B$4*$B77+$B$5)-IF(OR(MOD(Q$19+$F77,$B$14)=0,AND($G77=1,Q$19=$B$15)),1,0)*$B$5)*(1+$C77)^(Q$19-1)*(1-$B$10)-($B$7-IF(OR(MOD(Q$19+$F77,$B$14)=0,AND($G77=1,Q$19=$B$15)),1,0)*$B$6+$B$8+IF(OR(MOD(Q$19+$F77,$B$14)=0,AND($G77=1,Q$19=$B$15)),1,0)*$B$9)*(1+$D77)^(Q$19-1)</f>
        <v>3894243.6071731</v>
      </c>
      <c r="R77" s="46" t="n">
        <f aca="false">($B$4*$B77+$B$5)*(1+$C77)^$B$15*(1-$B$10)-$B$7*(1+$D77)^$B$15</f>
        <v>4238372.96682685</v>
      </c>
      <c r="S77" s="46" t="n">
        <f aca="false">R77/$E77/(1+$B$12)*(1-$B$13)-IF($G77=1,0,MOD($F77+$B$15,$B$14)/$B$14*$B$9*(1+$D77)^$B$15)/(1+$B$12)</f>
        <v>64202346.3772571</v>
      </c>
      <c r="T77" s="46" t="n">
        <f aca="false">(NPV($B$11,H77:Q77)+S77/(1+$B$11)^$B$15)/(1+$B$12)</f>
        <v>46450232.6443084</v>
      </c>
      <c r="U77" s="46" t="n">
        <f aca="false">T77-$B$16</f>
        <v>0</v>
      </c>
      <c r="V77" s="45"/>
    </row>
    <row r="78" customFormat="false" ht="15" hidden="false" customHeight="false" outlineLevel="0" collapsed="false">
      <c r="A78" s="36" t="s">
        <v>632</v>
      </c>
      <c r="B78" s="44" t="n">
        <f aca="false">$B$20</f>
        <v>0.968</v>
      </c>
      <c r="C78" s="51" t="n">
        <f aca="false">$C$20</f>
        <v>0.031</v>
      </c>
      <c r="D78" s="51" t="n">
        <f aca="false">$D$20</f>
        <v>0.028</v>
      </c>
      <c r="E78" s="51" t="n">
        <f aca="false">$E$20</f>
        <v>0.0595</v>
      </c>
      <c r="F78" s="49" t="n">
        <f aca="false">$F$20</f>
        <v>3</v>
      </c>
      <c r="G78" s="49" t="n">
        <v>0</v>
      </c>
      <c r="H78" s="46" t="n">
        <f aca="false">(($B$4*$B78+$B$5)-IF(OR(MOD(H$19+$F78,$B$14)=0,AND($G78=1,H$19=$B$15)),1,0)*$B$5)*(1+$C78)^(H$19-1)*(1-$B$10)-($B$7-IF(OR(MOD(H$19+$F78,$B$14)=0,AND($G78=1,H$19=$B$15)),1,0)*$B$6+$B$8+IF(OR(MOD(H$19+$F78,$B$14)=0,AND($G78=1,H$19=$B$15)),1,0)*$B$9)*(1+$D78)^(H$19-1)</f>
        <v>2574859.16593639</v>
      </c>
      <c r="I78" s="46" t="n">
        <f aca="false">(($B$4*$B78+$B$5)-IF(OR(MOD(I$19+$F78,$B$14)=0,AND($G78=1,I$19=$B$15)),1,0)*$B$5)*(1+$C78)^(I$19-1)*(1-$B$10)-($B$7-IF(OR(MOD(I$19+$F78,$B$14)=0,AND($G78=1,I$19=$B$15)),1,0)*$B$6+$B$8+IF(OR(MOD(I$19+$F78,$B$14)=0,AND($G78=1,I$19=$B$15)),1,0)*$B$9)*(1+$D78)^(I$19-1)</f>
        <v>2658840.87990625</v>
      </c>
      <c r="J78" s="46" t="n">
        <f aca="false">(($B$4*$B78+$B$5)-IF(OR(MOD(J$19+$F78,$B$14)=0,AND($G78=1,J$19=$B$15)),1,0)*$B$5)*(1+$C78)^(J$19-1)*(1-$B$10)-($B$7-IF(OR(MOD(J$19+$F78,$B$14)=0,AND($G78=1,J$19=$B$15)),1,0)*$B$6+$B$8+IF(OR(MOD(J$19+$F78,$B$14)=0,AND($G78=1,J$19=$B$15)),1,0)*$B$9)*(1+$D78)^(J$19-1)</f>
        <v>2745542.5372443</v>
      </c>
      <c r="K78" s="46" t="n">
        <f aca="false">(($B$4*$B78+$B$5)-IF(OR(MOD(K$19+$F78,$B$14)=0,AND($G78=1,K$19=$B$15)),1,0)*$B$5)*(1+$C78)^(K$19-1)*(1-$B$10)-($B$7-IF(OR(MOD(K$19+$F78,$B$14)=0,AND($G78=1,K$19=$B$15)),1,0)*$B$6+$B$8+IF(OR(MOD(K$19+$F78,$B$14)=0,AND($G78=1,K$19=$B$15)),1,0)*$B$9)*(1+$D78)^(K$19-1)</f>
        <v>895025.931563568</v>
      </c>
      <c r="L78" s="46" t="n">
        <f aca="false">(($B$4*$B78+$B$5)-IF(OR(MOD(L$19+$F78,$B$14)=0,AND($G78=1,L$19=$B$15)),1,0)*$B$5)*(1+$C78)^(L$19-1)*(1-$B$10)-($B$7-IF(OR(MOD(L$19+$F78,$B$14)=0,AND($G78=1,L$19=$B$15)),1,0)*$B$6+$B$8+IF(OR(MOD(L$19+$F78,$B$14)=0,AND($G78=1,L$19=$B$15)),1,0)*$B$9)*(1+$D78)^(L$19-1)</f>
        <v>2927458.81048944</v>
      </c>
      <c r="M78" s="46" t="n">
        <f aca="false">(($B$4*$B78+$B$5)-IF(OR(MOD(M$19+$F78,$B$14)=0,AND($G78=1,M$19=$B$15)),1,0)*$B$5)*(1+$C78)^(M$19-1)*(1-$B$10)-($B$7-IF(OR(MOD(M$19+$F78,$B$14)=0,AND($G78=1,M$19=$B$15)),1,0)*$B$6+$B$8+IF(OR(MOD(M$19+$F78,$B$14)=0,AND($G78=1,M$19=$B$15)),1,0)*$B$9)*(1+$D78)^(M$19-1)</f>
        <v>3022857.09603417</v>
      </c>
      <c r="N78" s="46" t="n">
        <f aca="false">(($B$4*$B78+$B$5)-IF(OR(MOD(N$19+$F78,$B$14)=0,AND($G78=1,N$19=$B$15)),1,0)*$B$5)*(1+$C78)^(N$19-1)*(1-$B$10)-($B$7-IF(OR(MOD(N$19+$F78,$B$14)=0,AND($G78=1,N$19=$B$15)),1,0)*$B$6+$B$8+IF(OR(MOD(N$19+$F78,$B$14)=0,AND($G78=1,N$19=$B$15)),1,0)*$B$9)*(1+$D78)^(N$19-1)</f>
        <v>3121342.84617854</v>
      </c>
      <c r="O78" s="46" t="n">
        <f aca="false">(($B$4*$B78+$B$5)-IF(OR(MOD(O$19+$F78,$B$14)=0,AND($G78=1,O$19=$B$15)),1,0)*$B$5)*(1+$C78)^(O$19-1)*(1-$B$10)-($B$7-IF(OR(MOD(O$19+$F78,$B$14)=0,AND($G78=1,O$19=$B$15)),1,0)*$B$6+$B$8+IF(OR(MOD(O$19+$F78,$B$14)=0,AND($G78=1,O$19=$B$15)),1,0)*$B$9)*(1+$D78)^(O$19-1)</f>
        <v>3223015.41562206</v>
      </c>
      <c r="P78" s="46" t="n">
        <f aca="false">(($B$4*$B78+$B$5)-IF(OR(MOD(P$19+$F78,$B$14)=0,AND($G78=1,P$19=$B$15)),1,0)*$B$5)*(1+$C78)^(P$19-1)*(1-$B$10)-($B$7-IF(OR(MOD(P$19+$F78,$B$14)=0,AND($G78=1,P$19=$B$15)),1,0)*$B$6+$B$8+IF(OR(MOD(P$19+$F78,$B$14)=0,AND($G78=1,P$19=$B$15)),1,0)*$B$9)*(1+$D78)^(P$19-1)</f>
        <v>3327977.34107227</v>
      </c>
      <c r="Q78" s="46" t="n">
        <f aca="false">(($B$4*$B78+$B$5)-IF(OR(MOD(Q$19+$F78,$B$14)=0,AND($G78=1,Q$19=$B$15)),1,0)*$B$5)*(1+$C78)^(Q$19-1)*(1-$B$10)-($B$7-IF(OR(MOD(Q$19+$F78,$B$14)=0,AND($G78=1,Q$19=$B$15)),1,0)*$B$6+$B$8+IF(OR(MOD(Q$19+$F78,$B$14)=0,AND($G78=1,Q$19=$B$15)),1,0)*$B$9)*(1+$D78)^(Q$19-1)</f>
        <v>3436334.44274328</v>
      </c>
      <c r="R78" s="46" t="n">
        <f aca="false">($B$4*$B78+$B$5)*(1+$C78)^$B$15*(1-$B$10)-$B$7*(1+$D78)^$B$15</f>
        <v>3711317.51956215</v>
      </c>
      <c r="S78" s="46" t="n">
        <f aca="false">R78/$E78/(1+$B$12)*(1-$B$13)-IF($G78=1,0,MOD($F78+$B$15,$B$14)/$B$14*$B$9*(1+$D78)^$B$15)/(1+$B$12)</f>
        <v>55992423.443845</v>
      </c>
      <c r="T78" s="46" t="n">
        <f aca="false">(NPV($B$11,H78:Q78)+S78/(1+$B$11)^$B$15)/(1+$B$12)</f>
        <v>41728378.3258468</v>
      </c>
      <c r="U78" s="46" t="n">
        <f aca="false">T78-$B$16</f>
        <v>-4721854.31846163</v>
      </c>
      <c r="V78" s="45"/>
    </row>
    <row r="79" customFormat="false" ht="15" hidden="false" customHeight="false" outlineLevel="0" collapsed="false">
      <c r="A79" s="36" t="s">
        <v>633</v>
      </c>
      <c r="B79" s="44" t="n">
        <f aca="false">$B$20</f>
        <v>0.968</v>
      </c>
      <c r="C79" s="51" t="n">
        <f aca="false">$C$20</f>
        <v>0.031</v>
      </c>
      <c r="D79" s="51" t="n">
        <f aca="false">$D$20+0.01</f>
        <v>0.038</v>
      </c>
      <c r="E79" s="51" t="n">
        <f aca="false">$E$20</f>
        <v>0.0595</v>
      </c>
      <c r="F79" s="49" t="n">
        <f aca="false">$F$20</f>
        <v>3</v>
      </c>
      <c r="G79" s="49" t="n">
        <v>0</v>
      </c>
      <c r="H79" s="46" t="n">
        <f aca="false">(($B$4*$B79+$B$5)-IF(OR(MOD(H$19+$F79,$B$14)=0,AND($G79=1,H$19=$B$15)),1,0)*$B$5)*(1+$C79)^(H$19-1)*(1-$B$10)-($B$7-IF(OR(MOD(H$19+$F79,$B$14)=0,AND($G79=1,H$19=$B$15)),1,0)*$B$6+$B$8+IF(OR(MOD(H$19+$F79,$B$14)=0,AND($G79=1,H$19=$B$15)),1,0)*$B$9)*(1+$D79)^(H$19-1)</f>
        <v>2574859.16593639</v>
      </c>
      <c r="I79" s="46" t="n">
        <f aca="false">(($B$4*$B79+$B$5)-IF(OR(MOD(I$19+$F79,$B$14)=0,AND($G79=1,I$19=$B$15)),1,0)*$B$5)*(1+$C79)^(I$19-1)*(1-$B$10)-($B$7-IF(OR(MOD(I$19+$F79,$B$14)=0,AND($G79=1,I$19=$B$15)),1,0)*$B$6+$B$8+IF(OR(MOD(I$19+$F79,$B$14)=0,AND($G79=1,I$19=$B$15)),1,0)*$B$9)*(1+$D79)^(I$19-1)</f>
        <v>2644970.61382013</v>
      </c>
      <c r="J79" s="46" t="n">
        <f aca="false">(($B$4*$B79+$B$5)-IF(OR(MOD(J$19+$F79,$B$14)=0,AND($G79=1,J$19=$B$15)),1,0)*$B$5)*(1+$C79)^(J$19-1)*(1-$B$10)-($B$7-IF(OR(MOD(J$19+$F79,$B$14)=0,AND($G79=1,J$19=$B$15)),1,0)*$B$6+$B$8+IF(OR(MOD(J$19+$F79,$B$14)=0,AND($G79=1,J$19=$B$15)),1,0)*$B$9)*(1+$D79)^(J$19-1)</f>
        <v>2716886.56751039</v>
      </c>
      <c r="K79" s="46" t="n">
        <f aca="false">(($B$4*$B79+$B$5)-IF(OR(MOD(K$19+$F79,$B$14)=0,AND($G79=1,K$19=$B$15)),1,0)*$B$5)*(1+$C79)^(K$19-1)*(1-$B$10)-($B$7-IF(OR(MOD(K$19+$F79,$B$14)=0,AND($G79=1,K$19=$B$15)),1,0)*$B$6+$B$8+IF(OR(MOD(K$19+$F79,$B$14)=0,AND($G79=1,K$19=$B$15)),1,0)*$B$9)*(1+$D79)^(K$19-1)</f>
        <v>797609.335486768</v>
      </c>
      <c r="L79" s="46" t="n">
        <f aca="false">(($B$4*$B79+$B$5)-IF(OR(MOD(L$19+$F79,$B$14)=0,AND($G79=1,L$19=$B$15)),1,0)*$B$5)*(1+$C79)^(L$19-1)*(1-$B$10)-($B$7-IF(OR(MOD(L$19+$F79,$B$14)=0,AND($G79=1,L$19=$B$15)),1,0)*$B$6+$B$8+IF(OR(MOD(L$19+$F79,$B$14)=0,AND($G79=1,L$19=$B$15)),1,0)*$B$9)*(1+$D79)^(L$19-1)</f>
        <v>2866300.43751618</v>
      </c>
      <c r="M79" s="46" t="n">
        <f aca="false">(($B$4*$B79+$B$5)-IF(OR(MOD(M$19+$F79,$B$14)=0,AND($G79=1,M$19=$B$15)),1,0)*$B$5)*(1+$C79)^(M$19-1)*(1-$B$10)-($B$7-IF(OR(MOD(M$19+$F79,$B$14)=0,AND($G79=1,M$19=$B$15)),1,0)*$B$6+$B$8+IF(OR(MOD(M$19+$F79,$B$14)=0,AND($G79=1,M$19=$B$15)),1,0)*$B$9)*(1+$D79)^(M$19-1)</f>
        <v>2943884.49682273</v>
      </c>
      <c r="N79" s="46" t="n">
        <f aca="false">(($B$4*$B79+$B$5)-IF(OR(MOD(N$19+$F79,$B$14)=0,AND($G79=1,N$19=$B$15)),1,0)*$B$5)*(1+$C79)^(N$19-1)*(1-$B$10)-($B$7-IF(OR(MOD(N$19+$F79,$B$14)=0,AND($G79=1,N$19=$B$15)),1,0)*$B$6+$B$8+IF(OR(MOD(N$19+$F79,$B$14)=0,AND($G79=1,N$19=$B$15)),1,0)*$B$9)*(1+$D79)^(N$19-1)</f>
        <v>3023445.35430604</v>
      </c>
      <c r="O79" s="46" t="n">
        <f aca="false">(($B$4*$B79+$B$5)-IF(OR(MOD(O$19+$F79,$B$14)=0,AND($G79=1,O$19=$B$15)),1,0)*$B$5)*(1+$C79)^(O$19-1)*(1-$B$10)-($B$7-IF(OR(MOD(O$19+$F79,$B$14)=0,AND($G79=1,O$19=$B$15)),1,0)*$B$6+$B$8+IF(OR(MOD(O$19+$F79,$B$14)=0,AND($G79=1,O$19=$B$15)),1,0)*$B$9)*(1+$D79)^(O$19-1)</f>
        <v>3105028.01501844</v>
      </c>
      <c r="P79" s="46" t="n">
        <f aca="false">(($B$4*$B79+$B$5)-IF(OR(MOD(P$19+$F79,$B$14)=0,AND($G79=1,P$19=$B$15)),1,0)*$B$5)*(1+$C79)^(P$19-1)*(1-$B$10)-($B$7-IF(OR(MOD(P$19+$F79,$B$14)=0,AND($G79=1,P$19=$B$15)),1,0)*$B$6+$B$8+IF(OR(MOD(P$19+$F79,$B$14)=0,AND($G79=1,P$19=$B$15)),1,0)*$B$9)*(1+$D79)^(P$19-1)</f>
        <v>3188678.26069263</v>
      </c>
      <c r="Q79" s="46" t="n">
        <f aca="false">(($B$4*$B79+$B$5)-IF(OR(MOD(Q$19+$F79,$B$14)=0,AND($G79=1,Q$19=$B$15)),1,0)*$B$5)*(1+$C79)^(Q$19-1)*(1-$B$10)-($B$7-IF(OR(MOD(Q$19+$F79,$B$14)=0,AND($G79=1,Q$19=$B$15)),1,0)*$B$6+$B$8+IF(OR(MOD(Q$19+$F79,$B$14)=0,AND($G79=1,Q$19=$B$15)),1,0)*$B$9)*(1+$D79)^(Q$19-1)</f>
        <v>3274442.65031664</v>
      </c>
      <c r="R79" s="46" t="n">
        <f aca="false">($B$4*$B79+$B$5)*(1+$C79)^$B$15*(1-$B$10)-$B$7*(1+$D79)^$B$15</f>
        <v>3542070.90265565</v>
      </c>
      <c r="S79" s="46" t="n">
        <f aca="false">R79/$E79/(1+$B$12)*(1-$B$13)-IF($G79=1,0,MOD($F79+$B$15,$B$14)/$B$14*$B$9*(1+$D79)^$B$15)/(1+$B$12)</f>
        <v>53171217.232403</v>
      </c>
      <c r="T79" s="46" t="n">
        <f aca="false">(NPV($B$11,H79:Q79)+S79/(1+$B$11)^$B$15)/(1+$B$12)</f>
        <v>40053850.6909903</v>
      </c>
      <c r="U79" s="46" t="n">
        <f aca="false">T79-$B$16</f>
        <v>-6396381.95331813</v>
      </c>
      <c r="V79" s="45"/>
    </row>
    <row r="80" customFormat="false" ht="15" hidden="false" customHeight="false" outlineLevel="0" collapsed="false">
      <c r="A80" s="36" t="s">
        <v>634</v>
      </c>
      <c r="B80" s="44" t="n">
        <f aca="false">$B$20</f>
        <v>0.968</v>
      </c>
      <c r="C80" s="51" t="n">
        <f aca="false">$C$20</f>
        <v>0.031</v>
      </c>
      <c r="D80" s="51" t="n">
        <f aca="false">IF(ABS(T79-T78)&lt;0.000001,D79,D79-(T79-$B$16)*(D79-D78)/(T79-T78))</f>
        <v>-0.000198127162387915</v>
      </c>
      <c r="E80" s="51" t="n">
        <f aca="false">$E$20</f>
        <v>0.0595</v>
      </c>
      <c r="F80" s="49" t="n">
        <f aca="false">$F$20</f>
        <v>3</v>
      </c>
      <c r="G80" s="49" t="n">
        <v>0</v>
      </c>
      <c r="H80" s="46" t="n">
        <f aca="false">(($B$4*$B80+$B$5)-IF(OR(MOD(H$19+$F80,$B$14)=0,AND($G80=1,H$19=$B$15)),1,0)*$B$5)*(1+$C80)^(H$19-1)*(1-$B$10)-($B$7-IF(OR(MOD(H$19+$F80,$B$14)=0,AND($G80=1,H$19=$B$15)),1,0)*$B$6+$B$8+IF(OR(MOD(H$19+$F80,$B$14)=0,AND($G80=1,H$19=$B$15)),1,0)*$B$9)*(1+$D80)^(H$19-1)</f>
        <v>2574859.16593639</v>
      </c>
      <c r="I80" s="46" t="n">
        <f aca="false">(($B$4*$B80+$B$5)-IF(OR(MOD(I$19+$F80,$B$14)=0,AND($G80=1,I$19=$B$15)),1,0)*$B$5)*(1+$C80)^(I$19-1)*(1-$B$10)-($B$7-IF(OR(MOD(I$19+$F80,$B$14)=0,AND($G80=1,I$19=$B$15)),1,0)*$B$6+$B$8+IF(OR(MOD(I$19+$F80,$B$14)=0,AND($G80=1,I$19=$B$15)),1,0)*$B$9)*(1+$D80)^(I$19-1)</f>
        <v>2697952.43259349</v>
      </c>
      <c r="J80" s="46" t="n">
        <f aca="false">(($B$4*$B80+$B$5)-IF(OR(MOD(J$19+$F80,$B$14)=0,AND($G80=1,J$19=$B$15)),1,0)*$B$5)*(1+$C80)^(J$19-1)*(1-$B$10)-($B$7-IF(OR(MOD(J$19+$F80,$B$14)=0,AND($G80=1,J$19=$B$15)),1,0)*$B$6+$B$8+IF(OR(MOD(J$19+$F80,$B$14)=0,AND($G80=1,J$19=$B$15)),1,0)*$B$9)*(1+$D80)^(J$19-1)</f>
        <v>2824853.01703307</v>
      </c>
      <c r="K80" s="46" t="n">
        <f aca="false">(($B$4*$B80+$B$5)-IF(OR(MOD(K$19+$F80,$B$14)=0,AND($G80=1,K$19=$B$15)),1,0)*$B$5)*(1+$C80)^(K$19-1)*(1-$B$10)-($B$7-IF(OR(MOD(K$19+$F80,$B$14)=0,AND($G80=1,K$19=$B$15)),1,0)*$B$6+$B$8+IF(OR(MOD(K$19+$F80,$B$14)=0,AND($G80=1,K$19=$B$15)),1,0)*$B$9)*(1+$D80)^(K$19-1)</f>
        <v>1159673.69076414</v>
      </c>
      <c r="L80" s="46" t="n">
        <f aca="false">(($B$4*$B80+$B$5)-IF(OR(MOD(L$19+$F80,$B$14)=0,AND($G80=1,L$19=$B$15)),1,0)*$B$5)*(1+$C80)^(L$19-1)*(1-$B$10)-($B$7-IF(OR(MOD(L$19+$F80,$B$14)=0,AND($G80=1,L$19=$B$15)),1,0)*$B$6+$B$8+IF(OR(MOD(L$19+$F80,$B$14)=0,AND($G80=1,L$19=$B$15)),1,0)*$B$9)*(1+$D80)^(L$19-1)</f>
        <v>3090551.91234397</v>
      </c>
      <c r="M80" s="46" t="n">
        <f aca="false">(($B$4*$B80+$B$5)-IF(OR(MOD(M$19+$F80,$B$14)=0,AND($G80=1,M$19=$B$15)),1,0)*$B$5)*(1+$C80)^(M$19-1)*(1-$B$10)-($B$7-IF(OR(MOD(M$19+$F80,$B$14)=0,AND($G80=1,M$19=$B$15)),1,0)*$B$6+$B$8+IF(OR(MOD(M$19+$F80,$B$14)=0,AND($G80=1,M$19=$B$15)),1,0)*$B$9)*(1+$D80)^(M$19-1)</f>
        <v>3229597.37039464</v>
      </c>
      <c r="N80" s="46" t="n">
        <f aca="false">(($B$4*$B80+$B$5)-IF(OR(MOD(N$19+$F80,$B$14)=0,AND($G80=1,N$19=$B$15)),1,0)*$B$5)*(1+$C80)^(N$19-1)*(1-$B$10)-($B$7-IF(OR(MOD(N$19+$F80,$B$14)=0,AND($G80=1,N$19=$B$15)),1,0)*$B$6+$B$8+IF(OR(MOD(N$19+$F80,$B$14)=0,AND($G80=1,N$19=$B$15)),1,0)*$B$9)*(1+$D80)^(N$19-1)</f>
        <v>3372944.67095354</v>
      </c>
      <c r="O80" s="46" t="n">
        <f aca="false">(($B$4*$B80+$B$5)-IF(OR(MOD(O$19+$F80,$B$14)=0,AND($G80=1,O$19=$B$15)),1,0)*$B$5)*(1+$C80)^(O$19-1)*(1-$B$10)-($B$7-IF(OR(MOD(O$19+$F80,$B$14)=0,AND($G80=1,O$19=$B$15)),1,0)*$B$6+$B$8+IF(OR(MOD(O$19+$F80,$B$14)=0,AND($G80=1,O$19=$B$15)),1,0)*$B$9)*(1+$D80)^(O$19-1)</f>
        <v>3520727.17283571</v>
      </c>
      <c r="P80" s="46" t="n">
        <f aca="false">(($B$4*$B80+$B$5)-IF(OR(MOD(P$19+$F80,$B$14)=0,AND($G80=1,P$19=$B$15)),1,0)*$B$5)*(1+$C80)^(P$19-1)*(1-$B$10)-($B$7-IF(OR(MOD(P$19+$F80,$B$14)=0,AND($G80=1,P$19=$B$15)),1,0)*$B$6+$B$8+IF(OR(MOD(P$19+$F80,$B$14)=0,AND($G80=1,P$19=$B$15)),1,0)*$B$9)*(1+$D80)^(P$19-1)</f>
        <v>3673082.36897913</v>
      </c>
      <c r="Q80" s="46" t="n">
        <f aca="false">(($B$4*$B80+$B$5)-IF(OR(MOD(Q$19+$F80,$B$14)=0,AND($G80=1,Q$19=$B$15)),1,0)*$B$5)*(1+$C80)^(Q$19-1)*(1-$B$10)-($B$7-IF(OR(MOD(Q$19+$F80,$B$14)=0,AND($G80=1,Q$19=$B$15)),1,0)*$B$6+$B$8+IF(OR(MOD(Q$19+$F80,$B$14)=0,AND($G80=1,Q$19=$B$15)),1,0)*$B$9)*(1+$D80)^(Q$19-1)</f>
        <v>3830152.01460252</v>
      </c>
      <c r="R80" s="46" t="n">
        <f aca="false">($B$4*$B80+$B$5)*(1+$C80)^$B$15*(1-$B$10)-$B$7*(1+$D80)^$B$15</f>
        <v>4115597.27565987</v>
      </c>
      <c r="S80" s="46" t="n">
        <f aca="false">R80/$E80/(1+$B$12)*(1-$B$13)-IF($G80=1,0,MOD($F80+$B$15,$B$14)/$B$14*$B$9*(1+$D80)^$B$15)/(1+$B$12)</f>
        <v>62731444.7602547</v>
      </c>
      <c r="T80" s="46" t="n">
        <f aca="false">(NPV($B$11,H80:Q80)+S80/(1+$B$11)^$B$15)/(1+$B$12)</f>
        <v>45811882.2917081</v>
      </c>
      <c r="U80" s="46" t="n">
        <f aca="false">T80-$B$16</f>
        <v>-638350.352600344</v>
      </c>
      <c r="V80" s="45"/>
    </row>
    <row r="81" customFormat="false" ht="15" hidden="false" customHeight="false" outlineLevel="0" collapsed="false">
      <c r="A81" s="36" t="s">
        <v>635</v>
      </c>
      <c r="B81" s="44" t="n">
        <f aca="false">$B$20</f>
        <v>0.968</v>
      </c>
      <c r="C81" s="51" t="n">
        <f aca="false">$C$20</f>
        <v>0.031</v>
      </c>
      <c r="D81" s="51" t="n">
        <f aca="false">IF(ABS(T80-T79)&lt;0.000001,D80,D80-(T80-$B$16)*(D80-D79)/(T80-T79))</f>
        <v>-0.00443287084454198</v>
      </c>
      <c r="E81" s="51" t="n">
        <f aca="false">$E$20</f>
        <v>0.0595</v>
      </c>
      <c r="F81" s="49" t="n">
        <f aca="false">$F$20</f>
        <v>3</v>
      </c>
      <c r="G81" s="49" t="n">
        <v>0</v>
      </c>
      <c r="H81" s="46" t="n">
        <f aca="false">(($B$4*$B81+$B$5)-IF(OR(MOD(H$19+$F81,$B$14)=0,AND($G81=1,H$19=$B$15)),1,0)*$B$5)*(1+$C81)^(H$19-1)*(1-$B$10)-($B$7-IF(OR(MOD(H$19+$F81,$B$14)=0,AND($G81=1,H$19=$B$15)),1,0)*$B$6+$B$8+IF(OR(MOD(H$19+$F81,$B$14)=0,AND($G81=1,H$19=$B$15)),1,0)*$B$9)*(1+$D81)^(H$19-1)</f>
        <v>2574859.16593639</v>
      </c>
      <c r="I81" s="46" t="n">
        <f aca="false">(($B$4*$B81+$B$5)-IF(OR(MOD(I$19+$F81,$B$14)=0,AND($G81=1,I$19=$B$15)),1,0)*$B$5)*(1+$C81)^(I$19-1)*(1-$B$10)-($B$7-IF(OR(MOD(I$19+$F81,$B$14)=0,AND($G81=1,I$19=$B$15)),1,0)*$B$6+$B$8+IF(OR(MOD(I$19+$F81,$B$14)=0,AND($G81=1,I$19=$B$15)),1,0)*$B$9)*(1+$D81)^(I$19-1)</f>
        <v>2703826.13476128</v>
      </c>
      <c r="J81" s="46" t="n">
        <f aca="false">(($B$4*$B81+$B$5)-IF(OR(MOD(J$19+$F81,$B$14)=0,AND($G81=1,J$19=$B$15)),1,0)*$B$5)*(1+$C81)^(J$19-1)*(1-$B$10)-($B$7-IF(OR(MOD(J$19+$F81,$B$14)=0,AND($G81=1,J$19=$B$15)),1,0)*$B$6+$B$8+IF(OR(MOD(J$19+$F81,$B$14)=0,AND($G81=1,J$19=$B$15)),1,0)*$B$9)*(1+$D81)^(J$19-1)</f>
        <v>2836573.22026563</v>
      </c>
      <c r="K81" s="46" t="n">
        <f aca="false">(($B$4*$B81+$B$5)-IF(OR(MOD(K$19+$F81,$B$14)=0,AND($G81=1,K$19=$B$15)),1,0)*$B$5)*(1+$C81)^(K$19-1)*(1-$B$10)-($B$7-IF(OR(MOD(K$19+$F81,$B$14)=0,AND($G81=1,K$19=$B$15)),1,0)*$B$6+$B$8+IF(OR(MOD(K$19+$F81,$B$14)=0,AND($G81=1,K$19=$B$15)),1,0)*$B$9)*(1+$D81)^(K$19-1)</f>
        <v>1198154.40706566</v>
      </c>
      <c r="L81" s="46" t="n">
        <f aca="false">(($B$4*$B81+$B$5)-IF(OR(MOD(L$19+$F81,$B$14)=0,AND($G81=1,L$19=$B$15)),1,0)*$B$5)*(1+$C81)^(L$19-1)*(1-$B$10)-($B$7-IF(OR(MOD(L$19+$F81,$B$14)=0,AND($G81=1,L$19=$B$15)),1,0)*$B$6+$B$8+IF(OR(MOD(L$19+$F81,$B$14)=0,AND($G81=1,L$19=$B$15)),1,0)*$B$9)*(1+$D81)^(L$19-1)</f>
        <v>3113883.99709956</v>
      </c>
      <c r="M81" s="46" t="n">
        <f aca="false">(($B$4*$B81+$B$5)-IF(OR(MOD(M$19+$F81,$B$14)=0,AND($G81=1,M$19=$B$15)),1,0)*$B$5)*(1+$C81)^(M$19-1)*(1-$B$10)-($B$7-IF(OR(MOD(M$19+$F81,$B$14)=0,AND($G81=1,M$19=$B$15)),1,0)*$B$6+$B$8+IF(OR(MOD(M$19+$F81,$B$14)=0,AND($G81=1,M$19=$B$15)),1,0)*$B$9)*(1+$D81)^(M$19-1)</f>
        <v>3258695.07562323</v>
      </c>
      <c r="N81" s="46" t="n">
        <f aca="false">(($B$4*$B81+$B$5)-IF(OR(MOD(N$19+$F81,$B$14)=0,AND($G81=1,N$19=$B$15)),1,0)*$B$5)*(1+$C81)^(N$19-1)*(1-$B$10)-($B$7-IF(OR(MOD(N$19+$F81,$B$14)=0,AND($G81=1,N$19=$B$15)),1,0)*$B$6+$B$8+IF(OR(MOD(N$19+$F81,$B$14)=0,AND($G81=1,N$19=$B$15)),1,0)*$B$9)*(1+$D81)^(N$19-1)</f>
        <v>3407781.27558629</v>
      </c>
      <c r="O81" s="46" t="n">
        <f aca="false">(($B$4*$B81+$B$5)-IF(OR(MOD(O$19+$F81,$B$14)=0,AND($G81=1,O$19=$B$15)),1,0)*$B$5)*(1+$C81)^(O$19-1)*(1-$B$10)-($B$7-IF(OR(MOD(O$19+$F81,$B$14)=0,AND($G81=1,O$19=$B$15)),1,0)*$B$6+$B$8+IF(OR(MOD(O$19+$F81,$B$14)=0,AND($G81=1,O$19=$B$15)),1,0)*$B$9)*(1+$D81)^(O$19-1)</f>
        <v>3561276.07448521</v>
      </c>
      <c r="P81" s="46" t="n">
        <f aca="false">(($B$4*$B81+$B$5)-IF(OR(MOD(P$19+$F81,$B$14)=0,AND($G81=1,P$19=$B$15)),1,0)*$B$5)*(1+$C81)^(P$19-1)*(1-$B$10)-($B$7-IF(OR(MOD(P$19+$F81,$B$14)=0,AND($G81=1,P$19=$B$15)),1,0)*$B$6+$B$8+IF(OR(MOD(P$19+$F81,$B$14)=0,AND($G81=1,P$19=$B$15)),1,0)*$B$9)*(1+$D81)^(P$19-1)</f>
        <v>3719317.08341326</v>
      </c>
      <c r="Q81" s="46" t="n">
        <f aca="false">(($B$4*$B81+$B$5)-IF(OR(MOD(Q$19+$F81,$B$14)=0,AND($G81=1,Q$19=$B$15)),1,0)*$B$5)*(1+$C81)^(Q$19-1)*(1-$B$10)-($B$7-IF(OR(MOD(Q$19+$F81,$B$14)=0,AND($G81=1,Q$19=$B$15)),1,0)*$B$6+$B$8+IF(OR(MOD(Q$19+$F81,$B$14)=0,AND($G81=1,Q$19=$B$15)),1,0)*$B$9)*(1+$D81)^(Q$19-1)</f>
        <v>3882046.17522064</v>
      </c>
      <c r="R81" s="46" t="n">
        <f aca="false">($B$4*$B81+$B$5)*(1+$C81)^$B$15*(1-$B$10)-$B$7*(1+$D81)^$B$15</f>
        <v>4167991.64871805</v>
      </c>
      <c r="S81" s="46" t="n">
        <f aca="false">R81/$E81/(1+$B$12)*(1-$B$13)-IF($G81=1,0,MOD($F81+$B$15,$B$14)/$B$14*$B$9*(1+$D81)^$B$15)/(1+$B$12)</f>
        <v>63604817.1999415</v>
      </c>
      <c r="T81" s="46" t="n">
        <f aca="false">(NPV($B$11,H81:Q81)+S81/(1+$B$11)^$B$15)/(1+$B$12)</f>
        <v>46351820.43213</v>
      </c>
      <c r="U81" s="46" t="n">
        <f aca="false">T81-$B$16</f>
        <v>-98412.2121784017</v>
      </c>
      <c r="V81" s="45"/>
    </row>
    <row r="82" customFormat="false" ht="15" hidden="false" customHeight="false" outlineLevel="0" collapsed="false">
      <c r="A82" s="36" t="s">
        <v>636</v>
      </c>
      <c r="B82" s="44" t="n">
        <f aca="false">$B$20</f>
        <v>0.968</v>
      </c>
      <c r="C82" s="51" t="n">
        <f aca="false">$C$20</f>
        <v>0.031</v>
      </c>
      <c r="D82" s="51" t="n">
        <f aca="false">IF(ABS(T81-T80)&lt;0.000001,D81,D81-(T81-$B$16)*(D81-D80)/(T81-T80))</f>
        <v>-0.00520471943713004</v>
      </c>
      <c r="E82" s="51" t="n">
        <f aca="false">$E$20</f>
        <v>0.0595</v>
      </c>
      <c r="F82" s="49" t="n">
        <f aca="false">$F$20</f>
        <v>3</v>
      </c>
      <c r="G82" s="49" t="n">
        <v>0</v>
      </c>
      <c r="H82" s="46" t="n">
        <f aca="false">(($B$4*$B82+$B$5)-IF(OR(MOD(H$19+$F82,$B$14)=0,AND($G82=1,H$19=$B$15)),1,0)*$B$5)*(1+$C82)^(H$19-1)*(1-$B$10)-($B$7-IF(OR(MOD(H$19+$F82,$B$14)=0,AND($G82=1,H$19=$B$15)),1,0)*$B$6+$B$8+IF(OR(MOD(H$19+$F82,$B$14)=0,AND($G82=1,H$19=$B$15)),1,0)*$B$9)*(1+$D82)^(H$19-1)</f>
        <v>2574859.16593639</v>
      </c>
      <c r="I82" s="46" t="n">
        <f aca="false">(($B$4*$B82+$B$5)-IF(OR(MOD(I$19+$F82,$B$14)=0,AND($G82=1,I$19=$B$15)),1,0)*$B$5)*(1+$C82)^(I$19-1)*(1-$B$10)-($B$7-IF(OR(MOD(I$19+$F82,$B$14)=0,AND($G82=1,I$19=$B$15)),1,0)*$B$6+$B$8+IF(OR(MOD(I$19+$F82,$B$14)=0,AND($G82=1,I$19=$B$15)),1,0)*$B$9)*(1+$D82)^(I$19-1)</f>
        <v>2704896.70929702</v>
      </c>
      <c r="J82" s="46" t="n">
        <f aca="false">(($B$4*$B82+$B$5)-IF(OR(MOD(J$19+$F82,$B$14)=0,AND($G82=1,J$19=$B$15)),1,0)*$B$5)*(1+$C82)^(J$19-1)*(1-$B$10)-($B$7-IF(OR(MOD(J$19+$F82,$B$14)=0,AND($G82=1,J$19=$B$15)),1,0)*$B$6+$B$8+IF(OR(MOD(J$19+$F82,$B$14)=0,AND($G82=1,J$19=$B$15)),1,0)*$B$9)*(1+$D82)^(J$19-1)</f>
        <v>2838704.05157836</v>
      </c>
      <c r="K82" s="46" t="n">
        <f aca="false">(($B$4*$B82+$B$5)-IF(OR(MOD(K$19+$F82,$B$14)=0,AND($G82=1,K$19=$B$15)),1,0)*$B$5)*(1+$C82)^(K$19-1)*(1-$B$10)-($B$7-IF(OR(MOD(K$19+$F82,$B$14)=0,AND($G82=1,K$19=$B$15)),1,0)*$B$6+$B$8+IF(OR(MOD(K$19+$F82,$B$14)=0,AND($G82=1,K$19=$B$15)),1,0)*$B$9)*(1+$D82)^(K$19-1)</f>
        <v>1205132.96012243</v>
      </c>
      <c r="L82" s="46" t="n">
        <f aca="false">(($B$4*$B82+$B$5)-IF(OR(MOD(L$19+$F82,$B$14)=0,AND($G82=1,L$19=$B$15)),1,0)*$B$5)*(1+$C82)^(L$19-1)*(1-$B$10)-($B$7-IF(OR(MOD(L$19+$F82,$B$14)=0,AND($G82=1,L$19=$B$15)),1,0)*$B$6+$B$8+IF(OR(MOD(L$19+$F82,$B$14)=0,AND($G82=1,L$19=$B$15)),1,0)*$B$9)*(1+$D82)^(L$19-1)</f>
        <v>3118104.68716061</v>
      </c>
      <c r="M82" s="46" t="n">
        <f aca="false">(($B$4*$B82+$B$5)-IF(OR(MOD(M$19+$F82,$B$14)=0,AND($G82=1,M$19=$B$15)),1,0)*$B$5)*(1+$C82)^(M$19-1)*(1-$B$10)-($B$7-IF(OR(MOD(M$19+$F82,$B$14)=0,AND($G82=1,M$19=$B$15)),1,0)*$B$6+$B$8+IF(OR(MOD(M$19+$F82,$B$14)=0,AND($G82=1,M$19=$B$15)),1,0)*$B$9)*(1+$D82)^(M$19-1)</f>
        <v>3263945.51568818</v>
      </c>
      <c r="N82" s="46" t="n">
        <f aca="false">(($B$4*$B82+$B$5)-IF(OR(MOD(N$19+$F82,$B$14)=0,AND($G82=1,N$19=$B$15)),1,0)*$B$5)*(1+$C82)^(N$19-1)*(1-$B$10)-($B$7-IF(OR(MOD(N$19+$F82,$B$14)=0,AND($G82=1,N$19=$B$15)),1,0)*$B$6+$B$8+IF(OR(MOD(N$19+$F82,$B$14)=0,AND($G82=1,N$19=$B$15)),1,0)*$B$9)*(1+$D82)^(N$19-1)</f>
        <v>3414051.44396737</v>
      </c>
      <c r="O82" s="46" t="n">
        <f aca="false">(($B$4*$B82+$B$5)-IF(OR(MOD(O$19+$F82,$B$14)=0,AND($G82=1,O$19=$B$15)),1,0)*$B$5)*(1+$C82)^(O$19-1)*(1-$B$10)-($B$7-IF(OR(MOD(O$19+$F82,$B$14)=0,AND($G82=1,O$19=$B$15)),1,0)*$B$6+$B$8+IF(OR(MOD(O$19+$F82,$B$14)=0,AND($G82=1,O$19=$B$15)),1,0)*$B$9)*(1+$D82)^(O$19-1)</f>
        <v>3568556.02232136</v>
      </c>
      <c r="P82" s="46" t="n">
        <f aca="false">(($B$4*$B82+$B$5)-IF(OR(MOD(P$19+$F82,$B$14)=0,AND($G82=1,P$19=$B$15)),1,0)*$B$5)*(1+$C82)^(P$19-1)*(1-$B$10)-($B$7-IF(OR(MOD(P$19+$F82,$B$14)=0,AND($G82=1,P$19=$B$15)),1,0)*$B$6+$B$8+IF(OR(MOD(P$19+$F82,$B$14)=0,AND($G82=1,P$19=$B$15)),1,0)*$B$9)*(1+$D82)^(P$19-1)</f>
        <v>3727596.93419945</v>
      </c>
      <c r="Q82" s="46" t="n">
        <f aca="false">(($B$4*$B82+$B$5)-IF(OR(MOD(Q$19+$F82,$B$14)=0,AND($G82=1,Q$19=$B$15)),1,0)*$B$5)*(1+$C82)^(Q$19-1)*(1-$B$10)-($B$7-IF(OR(MOD(Q$19+$F82,$B$14)=0,AND($G82=1,Q$19=$B$15)),1,0)*$B$6+$B$8+IF(OR(MOD(Q$19+$F82,$B$14)=0,AND($G82=1,Q$19=$B$15)),1,0)*$B$9)*(1+$D82)^(Q$19-1)</f>
        <v>3891316.12434004</v>
      </c>
      <c r="R82" s="46" t="n">
        <f aca="false">($B$4*$B82+$B$5)*(1+$C82)^$B$15*(1-$B$10)-$B$7*(1+$D82)^$B$15</f>
        <v>4177327.35983626</v>
      </c>
      <c r="S82" s="46" t="n">
        <f aca="false">R82/$E82/(1+$B$12)*(1-$B$13)-IF($G82=1,0,MOD($F82+$B$15,$B$14)/$B$14*$B$9*(1+$D82)^$B$15)/(1+$B$12)</f>
        <v>63760436.0635639</v>
      </c>
      <c r="T82" s="46" t="n">
        <f aca="false">(NPV($B$11,H82:Q82)+S82/(1+$B$11)^$B$15)/(1+$B$12)</f>
        <v>46448335.3399149</v>
      </c>
      <c r="U82" s="46" t="n">
        <f aca="false">T82-$B$16</f>
        <v>-1897.30439351499</v>
      </c>
      <c r="V82" s="45"/>
    </row>
    <row r="83" customFormat="false" ht="15" hidden="false" customHeight="false" outlineLevel="0" collapsed="false">
      <c r="A83" s="36" t="s">
        <v>637</v>
      </c>
      <c r="B83" s="44" t="n">
        <f aca="false">$B$20</f>
        <v>0.968</v>
      </c>
      <c r="C83" s="51" t="n">
        <f aca="false">$C$20</f>
        <v>0.031</v>
      </c>
      <c r="D83" s="51" t="n">
        <f aca="false">IF(ABS(T82-T81)&lt;0.000001,D82,D82-(T82-$B$16)*(D82-D81)/(T82-T81))</f>
        <v>-0.00521989255141317</v>
      </c>
      <c r="E83" s="51" t="n">
        <f aca="false">$E$20</f>
        <v>0.0595</v>
      </c>
      <c r="F83" s="49" t="n">
        <f aca="false">$F$20</f>
        <v>3</v>
      </c>
      <c r="G83" s="49" t="n">
        <v>0</v>
      </c>
      <c r="H83" s="46" t="n">
        <f aca="false">(($B$4*$B83+$B$5)-IF(OR(MOD(H$19+$F83,$B$14)=0,AND($G83=1,H$19=$B$15)),1,0)*$B$5)*(1+$C83)^(H$19-1)*(1-$B$10)-($B$7-IF(OR(MOD(H$19+$F83,$B$14)=0,AND($G83=1,H$19=$B$15)),1,0)*$B$6+$B$8+IF(OR(MOD(H$19+$F83,$B$14)=0,AND($G83=1,H$19=$B$15)),1,0)*$B$9)*(1+$D83)^(H$19-1)</f>
        <v>2574859.16593639</v>
      </c>
      <c r="I83" s="46" t="n">
        <f aca="false">(($B$4*$B83+$B$5)-IF(OR(MOD(I$19+$F83,$B$14)=0,AND($G83=1,I$19=$B$15)),1,0)*$B$5)*(1+$C83)^(I$19-1)*(1-$B$10)-($B$7-IF(OR(MOD(I$19+$F83,$B$14)=0,AND($G83=1,I$19=$B$15)),1,0)*$B$6+$B$8+IF(OR(MOD(I$19+$F83,$B$14)=0,AND($G83=1,I$19=$B$15)),1,0)*$B$9)*(1+$D83)^(I$19-1)</f>
        <v>2704917.75481027</v>
      </c>
      <c r="J83" s="46" t="n">
        <f aca="false">(($B$4*$B83+$B$5)-IF(OR(MOD(J$19+$F83,$B$14)=0,AND($G83=1,J$19=$B$15)),1,0)*$B$5)*(1+$C83)^(J$19-1)*(1-$B$10)-($B$7-IF(OR(MOD(J$19+$F83,$B$14)=0,AND($G83=1,J$19=$B$15)),1,0)*$B$6+$B$8+IF(OR(MOD(J$19+$F83,$B$14)=0,AND($G83=1,J$19=$B$15)),1,0)*$B$9)*(1+$D83)^(J$19-1)</f>
        <v>2838745.92321355</v>
      </c>
      <c r="K83" s="46" t="n">
        <f aca="false">(($B$4*$B83+$B$5)-IF(OR(MOD(K$19+$F83,$B$14)=0,AND($G83=1,K$19=$B$15)),1,0)*$B$5)*(1+$C83)^(K$19-1)*(1-$B$10)-($B$7-IF(OR(MOD(K$19+$F83,$B$14)=0,AND($G83=1,K$19=$B$15)),1,0)*$B$6+$B$8+IF(OR(MOD(K$19+$F83,$B$14)=0,AND($G83=1,K$19=$B$15)),1,0)*$B$9)*(1+$D83)^(K$19-1)</f>
        <v>1205270.03707888</v>
      </c>
      <c r="L83" s="46" t="n">
        <f aca="false">(($B$4*$B83+$B$5)-IF(OR(MOD(L$19+$F83,$B$14)=0,AND($G83=1,L$19=$B$15)),1,0)*$B$5)*(1+$C83)^(L$19-1)*(1-$B$10)-($B$7-IF(OR(MOD(L$19+$F83,$B$14)=0,AND($G83=1,L$19=$B$15)),1,0)*$B$6+$B$8+IF(OR(MOD(L$19+$F83,$B$14)=0,AND($G83=1,L$19=$B$15)),1,0)*$B$9)*(1+$D83)^(L$19-1)</f>
        <v>3118187.55971503</v>
      </c>
      <c r="M83" s="46" t="n">
        <f aca="false">(($B$4*$B83+$B$5)-IF(OR(MOD(M$19+$F83,$B$14)=0,AND($G83=1,M$19=$B$15)),1,0)*$B$5)*(1+$C83)^(M$19-1)*(1-$B$10)-($B$7-IF(OR(MOD(M$19+$F83,$B$14)=0,AND($G83=1,M$19=$B$15)),1,0)*$B$6+$B$8+IF(OR(MOD(M$19+$F83,$B$14)=0,AND($G83=1,M$19=$B$15)),1,0)*$B$9)*(1+$D83)^(M$19-1)</f>
        <v>3264048.56643481</v>
      </c>
      <c r="N83" s="46" t="n">
        <f aca="false">(($B$4*$B83+$B$5)-IF(OR(MOD(N$19+$F83,$B$14)=0,AND($G83=1,N$19=$B$15)),1,0)*$B$5)*(1+$C83)^(N$19-1)*(1-$B$10)-($B$7-IF(OR(MOD(N$19+$F83,$B$14)=0,AND($G83=1,N$19=$B$15)),1,0)*$B$6+$B$8+IF(OR(MOD(N$19+$F83,$B$14)=0,AND($G83=1,N$19=$B$15)),1,0)*$B$9)*(1+$D83)^(N$19-1)</f>
        <v>3414174.46030492</v>
      </c>
      <c r="O83" s="46" t="n">
        <f aca="false">(($B$4*$B83+$B$5)-IF(OR(MOD(O$19+$F83,$B$14)=0,AND($G83=1,O$19=$B$15)),1,0)*$B$5)*(1+$C83)^(O$19-1)*(1-$B$10)-($B$7-IF(OR(MOD(O$19+$F83,$B$14)=0,AND($G83=1,O$19=$B$15)),1,0)*$B$6+$B$8+IF(OR(MOD(O$19+$F83,$B$14)=0,AND($G83=1,O$19=$B$15)),1,0)*$B$9)*(1+$D83)^(O$19-1)</f>
        <v>3568698.79331659</v>
      </c>
      <c r="P83" s="46" t="n">
        <f aca="false">(($B$4*$B83+$B$5)-IF(OR(MOD(P$19+$F83,$B$14)=0,AND($G83=1,P$19=$B$15)),1,0)*$B$5)*(1+$C83)^(P$19-1)*(1-$B$10)-($B$7-IF(OR(MOD(P$19+$F83,$B$14)=0,AND($G83=1,P$19=$B$15)),1,0)*$B$6+$B$8+IF(OR(MOD(P$19+$F83,$B$14)=0,AND($G83=1,P$19=$B$15)),1,0)*$B$9)*(1+$D83)^(P$19-1)</f>
        <v>3727759.25057559</v>
      </c>
      <c r="Q83" s="46" t="n">
        <f aca="false">(($B$4*$B83+$B$5)-IF(OR(MOD(Q$19+$F83,$B$14)=0,AND($G83=1,Q$19=$B$15)),1,0)*$B$5)*(1+$C83)^(Q$19-1)*(1-$B$10)-($B$7-IF(OR(MOD(Q$19+$F83,$B$14)=0,AND($G83=1,Q$19=$B$15)),1,0)*$B$6+$B$8+IF(OR(MOD(Q$19+$F83,$B$14)=0,AND($G83=1,Q$19=$B$15)),1,0)*$B$9)*(1+$D83)^(Q$19-1)</f>
        <v>3891497.77846529</v>
      </c>
      <c r="R83" s="46" t="n">
        <f aca="false">($B$4*$B83+$B$5)*(1+$C83)^$B$15*(1-$B$10)-$B$7*(1+$D83)^$B$15</f>
        <v>4177510.2302232</v>
      </c>
      <c r="S83" s="46" t="n">
        <f aca="false">R83/$E83/(1+$B$12)*(1-$B$13)-IF($G83=1,0,MOD($F83+$B$15,$B$14)/$B$14*$B$9*(1+$D83)^$B$15)/(1+$B$12)</f>
        <v>63763484.3671634</v>
      </c>
      <c r="T83" s="46" t="n">
        <f aca="false">(NPV($B$11,H83:Q83)+S83/(1+$B$11)^$B$15)/(1+$B$12)</f>
        <v>46450226.8543365</v>
      </c>
      <c r="U83" s="46" t="n">
        <f aca="false">T83-$B$16</f>
        <v>-5.78997194766998</v>
      </c>
      <c r="V83" s="45"/>
    </row>
    <row r="84" customFormat="false" ht="15" hidden="false" customHeight="false" outlineLevel="0" collapsed="false">
      <c r="A84" s="36" t="s">
        <v>638</v>
      </c>
      <c r="B84" s="44" t="n">
        <f aca="false">$B$20</f>
        <v>0.968</v>
      </c>
      <c r="C84" s="51" t="n">
        <f aca="false">$C$20</f>
        <v>0.031</v>
      </c>
      <c r="D84" s="51" t="n">
        <f aca="false">IF(ABS(T83-T82)&lt;0.000001,D83,D83-(T83-$B$16)*(D83-D82)/(T83-T82))</f>
        <v>-0.00521993899668742</v>
      </c>
      <c r="E84" s="51" t="n">
        <f aca="false">$E$20</f>
        <v>0.0595</v>
      </c>
      <c r="F84" s="49" t="n">
        <f aca="false">$F$20</f>
        <v>3</v>
      </c>
      <c r="G84" s="49" t="n">
        <v>0</v>
      </c>
      <c r="H84" s="46" t="n">
        <f aca="false">(($B$4*$B84+$B$5)-IF(OR(MOD(H$19+$F84,$B$14)=0,AND($G84=1,H$19=$B$15)),1,0)*$B$5)*(1+$C84)^(H$19-1)*(1-$B$10)-($B$7-IF(OR(MOD(H$19+$F84,$B$14)=0,AND($G84=1,H$19=$B$15)),1,0)*$B$6+$B$8+IF(OR(MOD(H$19+$F84,$B$14)=0,AND($G84=1,H$19=$B$15)),1,0)*$B$9)*(1+$D84)^(H$19-1)</f>
        <v>2574859.16593639</v>
      </c>
      <c r="I84" s="46" t="n">
        <f aca="false">(($B$4*$B84+$B$5)-IF(OR(MOD(I$19+$F84,$B$14)=0,AND($G84=1,I$19=$B$15)),1,0)*$B$5)*(1+$C84)^(I$19-1)*(1-$B$10)-($B$7-IF(OR(MOD(I$19+$F84,$B$14)=0,AND($G84=1,I$19=$B$15)),1,0)*$B$6+$B$8+IF(OR(MOD(I$19+$F84,$B$14)=0,AND($G84=1,I$19=$B$15)),1,0)*$B$9)*(1+$D84)^(I$19-1)</f>
        <v>2704917.8192311</v>
      </c>
      <c r="J84" s="46" t="n">
        <f aca="false">(($B$4*$B84+$B$5)-IF(OR(MOD(J$19+$F84,$B$14)=0,AND($G84=1,J$19=$B$15)),1,0)*$B$5)*(1+$C84)^(J$19-1)*(1-$B$10)-($B$7-IF(OR(MOD(J$19+$F84,$B$14)=0,AND($G84=1,J$19=$B$15)),1,0)*$B$6+$B$8+IF(OR(MOD(J$19+$F84,$B$14)=0,AND($G84=1,J$19=$B$15)),1,0)*$B$9)*(1+$D84)^(J$19-1)</f>
        <v>2838746.05138267</v>
      </c>
      <c r="K84" s="46" t="n">
        <f aca="false">(($B$4*$B84+$B$5)-IF(OR(MOD(K$19+$F84,$B$14)=0,AND($G84=1,K$19=$B$15)),1,0)*$B$5)*(1+$C84)^(K$19-1)*(1-$B$10)-($B$7-IF(OR(MOD(K$19+$F84,$B$14)=0,AND($G84=1,K$19=$B$15)),1,0)*$B$6+$B$8+IF(OR(MOD(K$19+$F84,$B$14)=0,AND($G84=1,K$19=$B$15)),1,0)*$B$9)*(1+$D84)^(K$19-1)</f>
        <v>1205270.45666838</v>
      </c>
      <c r="L84" s="46" t="n">
        <f aca="false">(($B$4*$B84+$B$5)-IF(OR(MOD(L$19+$F84,$B$14)=0,AND($G84=1,L$19=$B$15)),1,0)*$B$5)*(1+$C84)^(L$19-1)*(1-$B$10)-($B$7-IF(OR(MOD(L$19+$F84,$B$14)=0,AND($G84=1,L$19=$B$15)),1,0)*$B$6+$B$8+IF(OR(MOD(L$19+$F84,$B$14)=0,AND($G84=1,L$19=$B$15)),1,0)*$B$9)*(1+$D84)^(L$19-1)</f>
        <v>3118187.81338413</v>
      </c>
      <c r="M84" s="46" t="n">
        <f aca="false">(($B$4*$B84+$B$5)-IF(OR(MOD(M$19+$F84,$B$14)=0,AND($G84=1,M$19=$B$15)),1,0)*$B$5)*(1+$C84)^(M$19-1)*(1-$B$10)-($B$7-IF(OR(MOD(M$19+$F84,$B$14)=0,AND($G84=1,M$19=$B$15)),1,0)*$B$6+$B$8+IF(OR(MOD(M$19+$F84,$B$14)=0,AND($G84=1,M$19=$B$15)),1,0)*$B$9)*(1+$D84)^(M$19-1)</f>
        <v>3264048.88186602</v>
      </c>
      <c r="N84" s="46" t="n">
        <f aca="false">(($B$4*$B84+$B$5)-IF(OR(MOD(N$19+$F84,$B$14)=0,AND($G84=1,N$19=$B$15)),1,0)*$B$5)*(1+$C84)^(N$19-1)*(1-$B$10)-($B$7-IF(OR(MOD(N$19+$F84,$B$14)=0,AND($G84=1,N$19=$B$15)),1,0)*$B$6+$B$8+IF(OR(MOD(N$19+$F84,$B$14)=0,AND($G84=1,N$19=$B$15)),1,0)*$B$9)*(1+$D84)^(N$19-1)</f>
        <v>3414174.83684654</v>
      </c>
      <c r="O84" s="46" t="n">
        <f aca="false">(($B$4*$B84+$B$5)-IF(OR(MOD(O$19+$F84,$B$14)=0,AND($G84=1,O$19=$B$15)),1,0)*$B$5)*(1+$C84)^(O$19-1)*(1-$B$10)-($B$7-IF(OR(MOD(O$19+$F84,$B$14)=0,AND($G84=1,O$19=$B$15)),1,0)*$B$6+$B$8+IF(OR(MOD(O$19+$F84,$B$14)=0,AND($G84=1,O$19=$B$15)),1,0)*$B$9)*(1+$D84)^(O$19-1)</f>
        <v>3568699.23032204</v>
      </c>
      <c r="P84" s="46" t="n">
        <f aca="false">(($B$4*$B84+$B$5)-IF(OR(MOD(P$19+$F84,$B$14)=0,AND($G84=1,P$19=$B$15)),1,0)*$B$5)*(1+$C84)^(P$19-1)*(1-$B$10)-($B$7-IF(OR(MOD(P$19+$F84,$B$14)=0,AND($G84=1,P$19=$B$15)),1,0)*$B$6+$B$8+IF(OR(MOD(P$19+$F84,$B$14)=0,AND($G84=1,P$19=$B$15)),1,0)*$B$9)*(1+$D84)^(P$19-1)</f>
        <v>3727759.74740339</v>
      </c>
      <c r="Q84" s="46" t="n">
        <f aca="false">(($B$4*$B84+$B$5)-IF(OR(MOD(Q$19+$F84,$B$14)=0,AND($G84=1,Q$19=$B$15)),1,0)*$B$5)*(1+$C84)^(Q$19-1)*(1-$B$10)-($B$7-IF(OR(MOD(Q$19+$F84,$B$14)=0,AND($G84=1,Q$19=$B$15)),1,0)*$B$6+$B$8+IF(OR(MOD(Q$19+$F84,$B$14)=0,AND($G84=1,Q$19=$B$15)),1,0)*$B$9)*(1+$D84)^(Q$19-1)</f>
        <v>3891498.33447898</v>
      </c>
      <c r="R84" s="46" t="n">
        <f aca="false">($B$4*$B84+$B$5)*(1+$C84)^$B$15*(1-$B$10)-$B$7*(1+$D84)^$B$15</f>
        <v>4177510.78995539</v>
      </c>
      <c r="S84" s="46" t="n">
        <f aca="false">R84/$E84/(1+$B$12)*(1-$B$13)-IF($G84=1,0,MOD($F84+$B$15,$B$14)/$B$14*$B$9*(1+$D84)^$B$15)/(1+$B$12)</f>
        <v>63763493.6974529</v>
      </c>
      <c r="T84" s="46" t="n">
        <f aca="false">(NPV($B$11,H84:Q84)+S84/(1+$B$11)^$B$15)/(1+$B$12)</f>
        <v>46450232.6439663</v>
      </c>
      <c r="U84" s="46" t="n">
        <f aca="false">T84-$B$16</f>
        <v>-0.000342071056365967</v>
      </c>
      <c r="V84" s="45"/>
    </row>
    <row r="85" customFormat="false" ht="15" hidden="false" customHeight="false" outlineLevel="0" collapsed="false">
      <c r="A85" s="36" t="s">
        <v>639</v>
      </c>
      <c r="B85" s="44" t="n">
        <f aca="false">$B$20</f>
        <v>0.968</v>
      </c>
      <c r="C85" s="51" t="n">
        <f aca="false">$C$20</f>
        <v>0.031</v>
      </c>
      <c r="D85" s="51" t="n">
        <f aca="false">IF(ABS(T84-T83)&lt;0.000001,D84,D84-(T84-$B$16)*(D84-D83)/(T84-T83))</f>
        <v>-0.00521993899943157</v>
      </c>
      <c r="E85" s="51" t="n">
        <f aca="false">$E$20</f>
        <v>0.0595</v>
      </c>
      <c r="F85" s="49" t="n">
        <f aca="false">$F$20</f>
        <v>3</v>
      </c>
      <c r="G85" s="49" t="n">
        <v>0</v>
      </c>
      <c r="H85" s="46" t="n">
        <f aca="false">(($B$4*$B85+$B$5)-IF(OR(MOD(H$19+$F85,$B$14)=0,AND($G85=1,H$19=$B$15)),1,0)*$B$5)*(1+$C85)^(H$19-1)*(1-$B$10)-($B$7-IF(OR(MOD(H$19+$F85,$B$14)=0,AND($G85=1,H$19=$B$15)),1,0)*$B$6+$B$8+IF(OR(MOD(H$19+$F85,$B$14)=0,AND($G85=1,H$19=$B$15)),1,0)*$B$9)*(1+$D85)^(H$19-1)</f>
        <v>2574859.16593639</v>
      </c>
      <c r="I85" s="46" t="n">
        <f aca="false">(($B$4*$B85+$B$5)-IF(OR(MOD(I$19+$F85,$B$14)=0,AND($G85=1,I$19=$B$15)),1,0)*$B$5)*(1+$C85)^(I$19-1)*(1-$B$10)-($B$7-IF(OR(MOD(I$19+$F85,$B$14)=0,AND($G85=1,I$19=$B$15)),1,0)*$B$6+$B$8+IF(OR(MOD(I$19+$F85,$B$14)=0,AND($G85=1,I$19=$B$15)),1,0)*$B$9)*(1+$D85)^(I$19-1)</f>
        <v>2704917.81923491</v>
      </c>
      <c r="J85" s="46" t="n">
        <f aca="false">(($B$4*$B85+$B$5)-IF(OR(MOD(J$19+$F85,$B$14)=0,AND($G85=1,J$19=$B$15)),1,0)*$B$5)*(1+$C85)^(J$19-1)*(1-$B$10)-($B$7-IF(OR(MOD(J$19+$F85,$B$14)=0,AND($G85=1,J$19=$B$15)),1,0)*$B$6+$B$8+IF(OR(MOD(J$19+$F85,$B$14)=0,AND($G85=1,J$19=$B$15)),1,0)*$B$9)*(1+$D85)^(J$19-1)</f>
        <v>2838746.05139024</v>
      </c>
      <c r="K85" s="46" t="n">
        <f aca="false">(($B$4*$B85+$B$5)-IF(OR(MOD(K$19+$F85,$B$14)=0,AND($G85=1,K$19=$B$15)),1,0)*$B$5)*(1+$C85)^(K$19-1)*(1-$B$10)-($B$7-IF(OR(MOD(K$19+$F85,$B$14)=0,AND($G85=1,K$19=$B$15)),1,0)*$B$6+$B$8+IF(OR(MOD(K$19+$F85,$B$14)=0,AND($G85=1,K$19=$B$15)),1,0)*$B$9)*(1+$D85)^(K$19-1)</f>
        <v>1205270.45669317</v>
      </c>
      <c r="L85" s="46" t="n">
        <f aca="false">(($B$4*$B85+$B$5)-IF(OR(MOD(L$19+$F85,$B$14)=0,AND($G85=1,L$19=$B$15)),1,0)*$B$5)*(1+$C85)^(L$19-1)*(1-$B$10)-($B$7-IF(OR(MOD(L$19+$F85,$B$14)=0,AND($G85=1,L$19=$B$15)),1,0)*$B$6+$B$8+IF(OR(MOD(L$19+$F85,$B$14)=0,AND($G85=1,L$19=$B$15)),1,0)*$B$9)*(1+$D85)^(L$19-1)</f>
        <v>3118187.81339911</v>
      </c>
      <c r="M85" s="46" t="n">
        <f aca="false">(($B$4*$B85+$B$5)-IF(OR(MOD(M$19+$F85,$B$14)=0,AND($G85=1,M$19=$B$15)),1,0)*$B$5)*(1+$C85)^(M$19-1)*(1-$B$10)-($B$7-IF(OR(MOD(M$19+$F85,$B$14)=0,AND($G85=1,M$19=$B$15)),1,0)*$B$6+$B$8+IF(OR(MOD(M$19+$F85,$B$14)=0,AND($G85=1,M$19=$B$15)),1,0)*$B$9)*(1+$D85)^(M$19-1)</f>
        <v>3264048.88188466</v>
      </c>
      <c r="N85" s="46" t="n">
        <f aca="false">(($B$4*$B85+$B$5)-IF(OR(MOD(N$19+$F85,$B$14)=0,AND($G85=1,N$19=$B$15)),1,0)*$B$5)*(1+$C85)^(N$19-1)*(1-$B$10)-($B$7-IF(OR(MOD(N$19+$F85,$B$14)=0,AND($G85=1,N$19=$B$15)),1,0)*$B$6+$B$8+IF(OR(MOD(N$19+$F85,$B$14)=0,AND($G85=1,N$19=$B$15)),1,0)*$B$9)*(1+$D85)^(N$19-1)</f>
        <v>3414174.83686878</v>
      </c>
      <c r="O85" s="46" t="n">
        <f aca="false">(($B$4*$B85+$B$5)-IF(OR(MOD(O$19+$F85,$B$14)=0,AND($G85=1,O$19=$B$15)),1,0)*$B$5)*(1+$C85)^(O$19-1)*(1-$B$10)-($B$7-IF(OR(MOD(O$19+$F85,$B$14)=0,AND($G85=1,O$19=$B$15)),1,0)*$B$6+$B$8+IF(OR(MOD(O$19+$F85,$B$14)=0,AND($G85=1,O$19=$B$15)),1,0)*$B$9)*(1+$D85)^(O$19-1)</f>
        <v>3568699.23034786</v>
      </c>
      <c r="P85" s="46" t="n">
        <f aca="false">(($B$4*$B85+$B$5)-IF(OR(MOD(P$19+$F85,$B$14)=0,AND($G85=1,P$19=$B$15)),1,0)*$B$5)*(1+$C85)^(P$19-1)*(1-$B$10)-($B$7-IF(OR(MOD(P$19+$F85,$B$14)=0,AND($G85=1,P$19=$B$15)),1,0)*$B$6+$B$8+IF(OR(MOD(P$19+$F85,$B$14)=0,AND($G85=1,P$19=$B$15)),1,0)*$B$9)*(1+$D85)^(P$19-1)</f>
        <v>3727759.74743274</v>
      </c>
      <c r="Q85" s="46" t="n">
        <f aca="false">(($B$4*$B85+$B$5)-IF(OR(MOD(Q$19+$F85,$B$14)=0,AND($G85=1,Q$19=$B$15)),1,0)*$B$5)*(1+$C85)^(Q$19-1)*(1-$B$10)-($B$7-IF(OR(MOD(Q$19+$F85,$B$14)=0,AND($G85=1,Q$19=$B$15)),1,0)*$B$6+$B$8+IF(OR(MOD(Q$19+$F85,$B$14)=0,AND($G85=1,Q$19=$B$15)),1,0)*$B$9)*(1+$D85)^(Q$19-1)</f>
        <v>3891498.33451183</v>
      </c>
      <c r="R85" s="46" t="n">
        <f aca="false">($B$4*$B85+$B$5)*(1+$C85)^$B$15*(1-$B$10)-$B$7*(1+$D85)^$B$15</f>
        <v>4177510.78998846</v>
      </c>
      <c r="S85" s="46" t="n">
        <f aca="false">R85/$E85/(1+$B$12)*(1-$B$13)-IF($G85=1,0,MOD($F85+$B$15,$B$14)/$B$14*$B$9*(1+$D85)^$B$15)/(1+$B$12)</f>
        <v>63763493.6980042</v>
      </c>
      <c r="T85" s="46" t="n">
        <f aca="false">(NPV($B$11,H85:Q85)+S85/(1+$B$11)^$B$15)/(1+$B$12)</f>
        <v>46450232.6443084</v>
      </c>
      <c r="U85" s="46" t="n">
        <f aca="false">T85-$B$16</f>
        <v>0</v>
      </c>
      <c r="V85" s="45"/>
    </row>
    <row r="86" customFormat="false" ht="15" hidden="false" customHeight="false" outlineLevel="0" collapsed="false">
      <c r="A86" s="36" t="s">
        <v>640</v>
      </c>
      <c r="B86" s="44" t="n">
        <f aca="false">$B$20</f>
        <v>0.968</v>
      </c>
      <c r="C86" s="51" t="n">
        <f aca="false">$C$20</f>
        <v>0.031</v>
      </c>
      <c r="D86" s="51" t="n">
        <f aca="false">IF(ABS(T85-T84)&lt;0.000001,D85,D85-(T85-$B$16)*(D85-D84)/(T85-T84))</f>
        <v>-0.00521993899943157</v>
      </c>
      <c r="E86" s="51" t="n">
        <f aca="false">$E$20</f>
        <v>0.0595</v>
      </c>
      <c r="F86" s="49" t="n">
        <f aca="false">$F$20</f>
        <v>3</v>
      </c>
      <c r="G86" s="49" t="n">
        <v>0</v>
      </c>
      <c r="H86" s="46" t="n">
        <f aca="false">(($B$4*$B86+$B$5)-IF(OR(MOD(H$19+$F86,$B$14)=0,AND($G86=1,H$19=$B$15)),1,0)*$B$5)*(1+$C86)^(H$19-1)*(1-$B$10)-($B$7-IF(OR(MOD(H$19+$F86,$B$14)=0,AND($G86=1,H$19=$B$15)),1,0)*$B$6+$B$8+IF(OR(MOD(H$19+$F86,$B$14)=0,AND($G86=1,H$19=$B$15)),1,0)*$B$9)*(1+$D86)^(H$19-1)</f>
        <v>2574859.16593639</v>
      </c>
      <c r="I86" s="46" t="n">
        <f aca="false">(($B$4*$B86+$B$5)-IF(OR(MOD(I$19+$F86,$B$14)=0,AND($G86=1,I$19=$B$15)),1,0)*$B$5)*(1+$C86)^(I$19-1)*(1-$B$10)-($B$7-IF(OR(MOD(I$19+$F86,$B$14)=0,AND($G86=1,I$19=$B$15)),1,0)*$B$6+$B$8+IF(OR(MOD(I$19+$F86,$B$14)=0,AND($G86=1,I$19=$B$15)),1,0)*$B$9)*(1+$D86)^(I$19-1)</f>
        <v>2704917.81923491</v>
      </c>
      <c r="J86" s="46" t="n">
        <f aca="false">(($B$4*$B86+$B$5)-IF(OR(MOD(J$19+$F86,$B$14)=0,AND($G86=1,J$19=$B$15)),1,0)*$B$5)*(1+$C86)^(J$19-1)*(1-$B$10)-($B$7-IF(OR(MOD(J$19+$F86,$B$14)=0,AND($G86=1,J$19=$B$15)),1,0)*$B$6+$B$8+IF(OR(MOD(J$19+$F86,$B$14)=0,AND($G86=1,J$19=$B$15)),1,0)*$B$9)*(1+$D86)^(J$19-1)</f>
        <v>2838746.05139024</v>
      </c>
      <c r="K86" s="46" t="n">
        <f aca="false">(($B$4*$B86+$B$5)-IF(OR(MOD(K$19+$F86,$B$14)=0,AND($G86=1,K$19=$B$15)),1,0)*$B$5)*(1+$C86)^(K$19-1)*(1-$B$10)-($B$7-IF(OR(MOD(K$19+$F86,$B$14)=0,AND($G86=1,K$19=$B$15)),1,0)*$B$6+$B$8+IF(OR(MOD(K$19+$F86,$B$14)=0,AND($G86=1,K$19=$B$15)),1,0)*$B$9)*(1+$D86)^(K$19-1)</f>
        <v>1205270.45669317</v>
      </c>
      <c r="L86" s="46" t="n">
        <f aca="false">(($B$4*$B86+$B$5)-IF(OR(MOD(L$19+$F86,$B$14)=0,AND($G86=1,L$19=$B$15)),1,0)*$B$5)*(1+$C86)^(L$19-1)*(1-$B$10)-($B$7-IF(OR(MOD(L$19+$F86,$B$14)=0,AND($G86=1,L$19=$B$15)),1,0)*$B$6+$B$8+IF(OR(MOD(L$19+$F86,$B$14)=0,AND($G86=1,L$19=$B$15)),1,0)*$B$9)*(1+$D86)^(L$19-1)</f>
        <v>3118187.81339911</v>
      </c>
      <c r="M86" s="46" t="n">
        <f aca="false">(($B$4*$B86+$B$5)-IF(OR(MOD(M$19+$F86,$B$14)=0,AND($G86=1,M$19=$B$15)),1,0)*$B$5)*(1+$C86)^(M$19-1)*(1-$B$10)-($B$7-IF(OR(MOD(M$19+$F86,$B$14)=0,AND($G86=1,M$19=$B$15)),1,0)*$B$6+$B$8+IF(OR(MOD(M$19+$F86,$B$14)=0,AND($G86=1,M$19=$B$15)),1,0)*$B$9)*(1+$D86)^(M$19-1)</f>
        <v>3264048.88188466</v>
      </c>
      <c r="N86" s="46" t="n">
        <f aca="false">(($B$4*$B86+$B$5)-IF(OR(MOD(N$19+$F86,$B$14)=0,AND($G86=1,N$19=$B$15)),1,0)*$B$5)*(1+$C86)^(N$19-1)*(1-$B$10)-($B$7-IF(OR(MOD(N$19+$F86,$B$14)=0,AND($G86=1,N$19=$B$15)),1,0)*$B$6+$B$8+IF(OR(MOD(N$19+$F86,$B$14)=0,AND($G86=1,N$19=$B$15)),1,0)*$B$9)*(1+$D86)^(N$19-1)</f>
        <v>3414174.83686878</v>
      </c>
      <c r="O86" s="46" t="n">
        <f aca="false">(($B$4*$B86+$B$5)-IF(OR(MOD(O$19+$F86,$B$14)=0,AND($G86=1,O$19=$B$15)),1,0)*$B$5)*(1+$C86)^(O$19-1)*(1-$B$10)-($B$7-IF(OR(MOD(O$19+$F86,$B$14)=0,AND($G86=1,O$19=$B$15)),1,0)*$B$6+$B$8+IF(OR(MOD(O$19+$F86,$B$14)=0,AND($G86=1,O$19=$B$15)),1,0)*$B$9)*(1+$D86)^(O$19-1)</f>
        <v>3568699.23034786</v>
      </c>
      <c r="P86" s="46" t="n">
        <f aca="false">(($B$4*$B86+$B$5)-IF(OR(MOD(P$19+$F86,$B$14)=0,AND($G86=1,P$19=$B$15)),1,0)*$B$5)*(1+$C86)^(P$19-1)*(1-$B$10)-($B$7-IF(OR(MOD(P$19+$F86,$B$14)=0,AND($G86=1,P$19=$B$15)),1,0)*$B$6+$B$8+IF(OR(MOD(P$19+$F86,$B$14)=0,AND($G86=1,P$19=$B$15)),1,0)*$B$9)*(1+$D86)^(P$19-1)</f>
        <v>3727759.74743274</v>
      </c>
      <c r="Q86" s="46" t="n">
        <f aca="false">(($B$4*$B86+$B$5)-IF(OR(MOD(Q$19+$F86,$B$14)=0,AND($G86=1,Q$19=$B$15)),1,0)*$B$5)*(1+$C86)^(Q$19-1)*(1-$B$10)-($B$7-IF(OR(MOD(Q$19+$F86,$B$14)=0,AND($G86=1,Q$19=$B$15)),1,0)*$B$6+$B$8+IF(OR(MOD(Q$19+$F86,$B$14)=0,AND($G86=1,Q$19=$B$15)),1,0)*$B$9)*(1+$D86)^(Q$19-1)</f>
        <v>3891498.33451183</v>
      </c>
      <c r="R86" s="46" t="n">
        <f aca="false">($B$4*$B86+$B$5)*(1+$C86)^$B$15*(1-$B$10)-$B$7*(1+$D86)^$B$15</f>
        <v>4177510.78998846</v>
      </c>
      <c r="S86" s="46" t="n">
        <f aca="false">R86/$E86/(1+$B$12)*(1-$B$13)-IF($G86=1,0,MOD($F86+$B$15,$B$14)/$B$14*$B$9*(1+$D86)^$B$15)/(1+$B$12)</f>
        <v>63763493.6980042</v>
      </c>
      <c r="T86" s="46" t="n">
        <f aca="false">(NPV($B$11,H86:Q86)+S86/(1+$B$11)^$B$15)/(1+$B$12)</f>
        <v>46450232.6443084</v>
      </c>
      <c r="U86" s="46" t="n">
        <f aca="false">T86-$B$16</f>
        <v>0</v>
      </c>
      <c r="V86" s="45"/>
    </row>
    <row r="87" customFormat="false" ht="15" hidden="false" customHeight="false" outlineLevel="0" collapsed="false">
      <c r="A87" s="36" t="s">
        <v>641</v>
      </c>
      <c r="B87" s="44" t="n">
        <f aca="false">$B$20</f>
        <v>0.968</v>
      </c>
      <c r="C87" s="51" t="n">
        <f aca="false">$C$20</f>
        <v>0.031</v>
      </c>
      <c r="D87" s="51" t="n">
        <f aca="false">IF(ABS(T86-T85)&lt;0.000001,D86,D86-(T86-$B$16)*(D86-D85)/(T86-T85))</f>
        <v>-0.00521993899943157</v>
      </c>
      <c r="E87" s="51" t="n">
        <f aca="false">$E$20</f>
        <v>0.0595</v>
      </c>
      <c r="F87" s="49" t="n">
        <f aca="false">$F$20</f>
        <v>3</v>
      </c>
      <c r="G87" s="49" t="n">
        <v>0</v>
      </c>
      <c r="H87" s="46" t="n">
        <f aca="false">(($B$4*$B87+$B$5)-IF(OR(MOD(H$19+$F87,$B$14)=0,AND($G87=1,H$19=$B$15)),1,0)*$B$5)*(1+$C87)^(H$19-1)*(1-$B$10)-($B$7-IF(OR(MOD(H$19+$F87,$B$14)=0,AND($G87=1,H$19=$B$15)),1,0)*$B$6+$B$8+IF(OR(MOD(H$19+$F87,$B$14)=0,AND($G87=1,H$19=$B$15)),1,0)*$B$9)*(1+$D87)^(H$19-1)</f>
        <v>2574859.16593639</v>
      </c>
      <c r="I87" s="46" t="n">
        <f aca="false">(($B$4*$B87+$B$5)-IF(OR(MOD(I$19+$F87,$B$14)=0,AND($G87=1,I$19=$B$15)),1,0)*$B$5)*(1+$C87)^(I$19-1)*(1-$B$10)-($B$7-IF(OR(MOD(I$19+$F87,$B$14)=0,AND($G87=1,I$19=$B$15)),1,0)*$B$6+$B$8+IF(OR(MOD(I$19+$F87,$B$14)=0,AND($G87=1,I$19=$B$15)),1,0)*$B$9)*(1+$D87)^(I$19-1)</f>
        <v>2704917.81923491</v>
      </c>
      <c r="J87" s="46" t="n">
        <f aca="false">(($B$4*$B87+$B$5)-IF(OR(MOD(J$19+$F87,$B$14)=0,AND($G87=1,J$19=$B$15)),1,0)*$B$5)*(1+$C87)^(J$19-1)*(1-$B$10)-($B$7-IF(OR(MOD(J$19+$F87,$B$14)=0,AND($G87=1,J$19=$B$15)),1,0)*$B$6+$B$8+IF(OR(MOD(J$19+$F87,$B$14)=0,AND($G87=1,J$19=$B$15)),1,0)*$B$9)*(1+$D87)^(J$19-1)</f>
        <v>2838746.05139024</v>
      </c>
      <c r="K87" s="46" t="n">
        <f aca="false">(($B$4*$B87+$B$5)-IF(OR(MOD(K$19+$F87,$B$14)=0,AND($G87=1,K$19=$B$15)),1,0)*$B$5)*(1+$C87)^(K$19-1)*(1-$B$10)-($B$7-IF(OR(MOD(K$19+$F87,$B$14)=0,AND($G87=1,K$19=$B$15)),1,0)*$B$6+$B$8+IF(OR(MOD(K$19+$F87,$B$14)=0,AND($G87=1,K$19=$B$15)),1,0)*$B$9)*(1+$D87)^(K$19-1)</f>
        <v>1205270.45669317</v>
      </c>
      <c r="L87" s="46" t="n">
        <f aca="false">(($B$4*$B87+$B$5)-IF(OR(MOD(L$19+$F87,$B$14)=0,AND($G87=1,L$19=$B$15)),1,0)*$B$5)*(1+$C87)^(L$19-1)*(1-$B$10)-($B$7-IF(OR(MOD(L$19+$F87,$B$14)=0,AND($G87=1,L$19=$B$15)),1,0)*$B$6+$B$8+IF(OR(MOD(L$19+$F87,$B$14)=0,AND($G87=1,L$19=$B$15)),1,0)*$B$9)*(1+$D87)^(L$19-1)</f>
        <v>3118187.81339911</v>
      </c>
      <c r="M87" s="46" t="n">
        <f aca="false">(($B$4*$B87+$B$5)-IF(OR(MOD(M$19+$F87,$B$14)=0,AND($G87=1,M$19=$B$15)),1,0)*$B$5)*(1+$C87)^(M$19-1)*(1-$B$10)-($B$7-IF(OR(MOD(M$19+$F87,$B$14)=0,AND($G87=1,M$19=$B$15)),1,0)*$B$6+$B$8+IF(OR(MOD(M$19+$F87,$B$14)=0,AND($G87=1,M$19=$B$15)),1,0)*$B$9)*(1+$D87)^(M$19-1)</f>
        <v>3264048.88188466</v>
      </c>
      <c r="N87" s="46" t="n">
        <f aca="false">(($B$4*$B87+$B$5)-IF(OR(MOD(N$19+$F87,$B$14)=0,AND($G87=1,N$19=$B$15)),1,0)*$B$5)*(1+$C87)^(N$19-1)*(1-$B$10)-($B$7-IF(OR(MOD(N$19+$F87,$B$14)=0,AND($G87=1,N$19=$B$15)),1,0)*$B$6+$B$8+IF(OR(MOD(N$19+$F87,$B$14)=0,AND($G87=1,N$19=$B$15)),1,0)*$B$9)*(1+$D87)^(N$19-1)</f>
        <v>3414174.83686878</v>
      </c>
      <c r="O87" s="46" t="n">
        <f aca="false">(($B$4*$B87+$B$5)-IF(OR(MOD(O$19+$F87,$B$14)=0,AND($G87=1,O$19=$B$15)),1,0)*$B$5)*(1+$C87)^(O$19-1)*(1-$B$10)-($B$7-IF(OR(MOD(O$19+$F87,$B$14)=0,AND($G87=1,O$19=$B$15)),1,0)*$B$6+$B$8+IF(OR(MOD(O$19+$F87,$B$14)=0,AND($G87=1,O$19=$B$15)),1,0)*$B$9)*(1+$D87)^(O$19-1)</f>
        <v>3568699.23034786</v>
      </c>
      <c r="P87" s="46" t="n">
        <f aca="false">(($B$4*$B87+$B$5)-IF(OR(MOD(P$19+$F87,$B$14)=0,AND($G87=1,P$19=$B$15)),1,0)*$B$5)*(1+$C87)^(P$19-1)*(1-$B$10)-($B$7-IF(OR(MOD(P$19+$F87,$B$14)=0,AND($G87=1,P$19=$B$15)),1,0)*$B$6+$B$8+IF(OR(MOD(P$19+$F87,$B$14)=0,AND($G87=1,P$19=$B$15)),1,0)*$B$9)*(1+$D87)^(P$19-1)</f>
        <v>3727759.74743274</v>
      </c>
      <c r="Q87" s="46" t="n">
        <f aca="false">(($B$4*$B87+$B$5)-IF(OR(MOD(Q$19+$F87,$B$14)=0,AND($G87=1,Q$19=$B$15)),1,0)*$B$5)*(1+$C87)^(Q$19-1)*(1-$B$10)-($B$7-IF(OR(MOD(Q$19+$F87,$B$14)=0,AND($G87=1,Q$19=$B$15)),1,0)*$B$6+$B$8+IF(OR(MOD(Q$19+$F87,$B$14)=0,AND($G87=1,Q$19=$B$15)),1,0)*$B$9)*(1+$D87)^(Q$19-1)</f>
        <v>3891498.33451183</v>
      </c>
      <c r="R87" s="46" t="n">
        <f aca="false">($B$4*$B87+$B$5)*(1+$C87)^$B$15*(1-$B$10)-$B$7*(1+$D87)^$B$15</f>
        <v>4177510.78998846</v>
      </c>
      <c r="S87" s="46" t="n">
        <f aca="false">R87/$E87/(1+$B$12)*(1-$B$13)-IF($G87=1,0,MOD($F87+$B$15,$B$14)/$B$14*$B$9*(1+$D87)^$B$15)/(1+$B$12)</f>
        <v>63763493.6980042</v>
      </c>
      <c r="T87" s="46" t="n">
        <f aca="false">(NPV($B$11,H87:Q87)+S87/(1+$B$11)^$B$15)/(1+$B$12)</f>
        <v>46450232.6443084</v>
      </c>
      <c r="U87" s="46" t="n">
        <f aca="false">T87-$B$16</f>
        <v>0</v>
      </c>
      <c r="V87" s="45"/>
    </row>
    <row r="89" customFormat="false" ht="15" hidden="false" customHeight="false" outlineLevel="0" collapsed="false">
      <c r="A89" s="13" t="s">
        <v>642</v>
      </c>
    </row>
    <row r="90" customFormat="false" ht="15" hidden="false" customHeight="false" outlineLevel="0" collapsed="false">
      <c r="A90" s="5" t="s">
        <v>643</v>
      </c>
      <c r="B90" s="46" t="n">
        <f aca="false">T43-T20</f>
        <v>196120.206026196</v>
      </c>
    </row>
    <row r="91" customFormat="false" ht="15" hidden="false" customHeight="false" outlineLevel="0" collapsed="false">
      <c r="A91" s="5" t="s">
        <v>644</v>
      </c>
      <c r="B91" s="46" t="n">
        <f aca="false">($B$9*(1+$D$20)^(($B$14-MOD($F$20,$B$14))-1)/(1+$B$11)^($B$14-MOD($F$20,$B$14))-$B$9*(1+$D$20)^(($B$14-MOD($F$43,$B$14))-1)/(1+$B$11)^($B$14-MOD($F$43,$B$14)))/(1+$B$12)</f>
        <v>60982.0999559539</v>
      </c>
    </row>
    <row r="92" customFormat="false" ht="15" hidden="false" customHeight="false" outlineLevel="0" collapsed="false">
      <c r="A92" s="5" t="s">
        <v>645</v>
      </c>
      <c r="B92" s="46" t="n">
        <f aca="false">((($B$5*(1-$B$10))*(1+$C$20)^(($B$14-MOD($F$20,$B$14))-1)-$B$6*(1+$D$20)^(($B$14-MOD($F$20,$B$14))-1))/(1+$B$11)^($B$14-MOD($F$20,$B$14))-(($B$5*(1-$B$10))*(1+$C$20)^(($B$14-MOD($F$43,$B$14))-1)-$B$6*(1+$D$20)^(($B$14-MOD($F$43,$B$14))-1))/(1+$B$11)^($B$14-MOD($F$43,$B$14)))/(1+$B$12)</f>
        <v>2208.55627739281</v>
      </c>
      <c r="C92" s="25" t="s">
        <v>646</v>
      </c>
    </row>
    <row r="93" customFormat="false" ht="15" hidden="false" customHeight="false" outlineLevel="0" collapsed="false">
      <c r="A93" s="5" t="s">
        <v>647</v>
      </c>
      <c r="B93" s="46" t="n">
        <f aca="false">(S43-S20)/(1+$B$11)^$B$15/(1+$B$12)</f>
        <v>132929.549792845</v>
      </c>
    </row>
    <row r="94" customFormat="false" ht="15" hidden="false" customHeight="false" outlineLevel="0" collapsed="false">
      <c r="A94" s="5" t="s">
        <v>648</v>
      </c>
      <c r="B94" s="46" t="n">
        <f aca="false">B91+B92+B93-B90</f>
        <v>-4.97675500810146E-009</v>
      </c>
      <c r="C94" s="25" t="s">
        <v>649</v>
      </c>
    </row>
    <row r="95" customFormat="false" ht="28.35" hidden="false" customHeight="false" outlineLevel="0" collapsed="false">
      <c r="A95" s="5" t="s">
        <v>650</v>
      </c>
      <c r="B95" s="46" t="n">
        <f aca="false">$B$9/$B$14/(1+$B$11)^($B$14-MOD($F$20,$B$14))/(1+$B$12)</f>
        <v>169658.748891964</v>
      </c>
      <c r="C95" s="25" t="s">
        <v>651</v>
      </c>
    </row>
    <row r="96" customFormat="false" ht="15" hidden="false" customHeight="false" outlineLevel="0" collapsed="false">
      <c r="A96" s="5" t="s">
        <v>652</v>
      </c>
      <c r="B96" s="46" t="n">
        <f aca="false">B95*'3. Assumptions'!$B$75</f>
        <v>84829.3744459822</v>
      </c>
    </row>
    <row r="97" customFormat="false" ht="15" hidden="false" customHeight="false" outlineLevel="0" collapsed="false">
      <c r="A97" s="5" t="s">
        <v>653</v>
      </c>
      <c r="B97" s="46" t="n">
        <f aca="false">B90-B96</f>
        <v>111290.831580214</v>
      </c>
    </row>
    <row r="98" customFormat="false" ht="15" hidden="false" customHeight="false" outlineLevel="0" collapsed="false">
      <c r="A98" s="5" t="s">
        <v>654</v>
      </c>
      <c r="B98" s="46" t="n">
        <f aca="false">B90-B95</f>
        <v>26461.4571342321</v>
      </c>
    </row>
    <row r="99" customFormat="false" ht="15" hidden="false" customHeight="false" outlineLevel="0" collapsed="false">
      <c r="A99" s="5" t="s">
        <v>655</v>
      </c>
      <c r="B99" s="50" t="n">
        <f aca="false">B90/B95</f>
        <v>1.15596871547769</v>
      </c>
    </row>
    <row r="100" customFormat="false" ht="15" hidden="false" customHeight="false" outlineLevel="0" collapsed="false">
      <c r="A100" s="5" t="s">
        <v>656</v>
      </c>
      <c r="B100" s="48" t="n">
        <f aca="false">($R$43*(1-$B$13)/(1+$B$12)/((($T$20+B96)*(1+$B$12)-NPV($B$11,H43:Q43))*(1+$B$11)^$B$15+MOD($F$43+$B$15,$B$14)/$B$14*$B$9*(1+$D$43)^$B$15/(1+$B$12))-$E$43)*10000</f>
        <v>2.62329827211721</v>
      </c>
    </row>
    <row r="102" customFormat="false" ht="15" hidden="false" customHeight="false" outlineLevel="0" collapsed="false">
      <c r="A102" s="13" t="s">
        <v>657</v>
      </c>
    </row>
    <row r="103" customFormat="false" ht="15" hidden="false" customHeight="false" outlineLevel="0" collapsed="false">
      <c r="A103" s="5" t="s">
        <v>658</v>
      </c>
      <c r="B103" s="46" t="n">
        <f aca="false">-'10. The exit and the value'!B7</f>
        <v>1818630.35544237</v>
      </c>
    </row>
    <row r="104" customFormat="false" ht="15" hidden="false" customHeight="false" outlineLevel="0" collapsed="false">
      <c r="A104" s="5" t="s">
        <v>659</v>
      </c>
      <c r="B104" s="46" t="n">
        <f aca="false">$B$9*(1+$D$20)^$B$15</f>
        <v>2261769.95205183</v>
      </c>
    </row>
    <row r="105" customFormat="false" ht="15" hidden="false" customHeight="false" outlineLevel="0" collapsed="false">
      <c r="A105" s="5" t="s">
        <v>660</v>
      </c>
      <c r="B105" s="46" t="n">
        <f aca="false">U44</f>
        <v>3448915.52840147</v>
      </c>
    </row>
    <row r="106" customFormat="false" ht="15" hidden="false" customHeight="false" outlineLevel="0" collapsed="false">
      <c r="A106" s="5" t="s">
        <v>661</v>
      </c>
      <c r="B106" s="46" t="n">
        <f aca="false">U46</f>
        <v>2392613.58126308</v>
      </c>
    </row>
    <row r="107" customFormat="false" ht="15" hidden="false" customHeight="false" outlineLevel="0" collapsed="false">
      <c r="A107" s="5" t="s">
        <v>662</v>
      </c>
      <c r="B107" s="46" t="n">
        <f aca="false">T42</f>
        <v>44054394.532915</v>
      </c>
    </row>
    <row r="108" customFormat="false" ht="15" hidden="false" customHeight="false" outlineLevel="0" collapsed="false">
      <c r="A108" s="5" t="s">
        <v>663</v>
      </c>
      <c r="B108" s="46" t="n">
        <f aca="false">U42</f>
        <v>2326016.20706826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5" min="3" style="0" width="16"/>
    <col collapsed="false" customWidth="true" hidden="false" outlineLevel="0" max="17" min="6" style="0" width="13"/>
  </cols>
  <sheetData>
    <row r="1" customFormat="false" ht="16.15" hidden="false" customHeight="false" outlineLevel="0" collapsed="false">
      <c r="A1" s="6" t="s">
        <v>664</v>
      </c>
    </row>
    <row r="2" customFormat="false" ht="15" hidden="false" customHeight="false" outlineLevel="0" collapsed="false">
      <c r="A2" s="25" t="s">
        <v>665</v>
      </c>
    </row>
    <row r="4" customFormat="false" ht="15" hidden="false" customHeight="false" outlineLevel="0" collapsed="false">
      <c r="A4" s="5" t="s">
        <v>666</v>
      </c>
      <c r="B4" s="44" t="n">
        <f aca="false">'17. Scenarios'!$B$64</f>
        <v>0.0406870816052136</v>
      </c>
    </row>
    <row r="6" customFormat="false" ht="41.75" hidden="false" customHeight="false" outlineLevel="0" collapsed="false">
      <c r="A6" s="41" t="s">
        <v>27</v>
      </c>
      <c r="B6" s="41" t="s">
        <v>28</v>
      </c>
      <c r="C6" s="41" t="s">
        <v>667</v>
      </c>
      <c r="D6" s="41" t="s">
        <v>668</v>
      </c>
      <c r="E6" s="41" t="s">
        <v>669</v>
      </c>
    </row>
    <row r="7" customFormat="false" ht="15" hidden="false" customHeight="false" outlineLevel="0" collapsed="false">
      <c r="A7" s="36" t="str">
        <f aca="false">'2. The tape'!A5</f>
        <v>Cluster ensuite, 5-bed</v>
      </c>
      <c r="B7" s="49" t="n">
        <f aca="false">'2. The tape'!B5</f>
        <v>184</v>
      </c>
      <c r="C7" s="46" t="n">
        <f aca="false">'2. The tape'!C5*(1-'3. Assumptions'!$B$7*'3. Assumptions'!$B$8-'3. Assumptions'!$B$9*'3. Assumptions'!$B$10)*'2. The tape'!$D$5</f>
        <v>7240.684</v>
      </c>
      <c r="D7" s="45" t="n">
        <f aca="false">C7/'3. Assumptions'!$B$50</f>
        <v>0.668576546629732</v>
      </c>
      <c r="E7" s="49" t="n">
        <f aca="false">IF(D7&gt;=1,"Already above it",ROUNDUP(LN(1/D7)/LN((1+$B$4)/(1+'3. Assumptions'!$B$52)),0))</f>
        <v>33</v>
      </c>
    </row>
    <row r="8" customFormat="false" ht="15" hidden="false" customHeight="false" outlineLevel="0" collapsed="false">
      <c r="A8" s="36" t="str">
        <f aca="false">'2. The tape'!A6</f>
        <v>Cluster ensuite, 7-bed</v>
      </c>
      <c r="B8" s="49" t="n">
        <f aca="false">'2. The tape'!B6</f>
        <v>126</v>
      </c>
      <c r="C8" s="46" t="n">
        <f aca="false">'2. The tape'!C6*(1-'3. Assumptions'!$B$7*'3. Assumptions'!$B$8-'3. Assumptions'!$B$9*'3. Assumptions'!$B$10)*'2. The tape'!$D$5</f>
        <v>6861.811</v>
      </c>
      <c r="D8" s="45" t="n">
        <f aca="false">C8/'3. Assumptions'!$B$50</f>
        <v>0.633592890120037</v>
      </c>
      <c r="E8" s="49" t="n">
        <f aca="false">IF(D8&gt;=1,"Already above it",ROUNDUP(LN(1/D8)/LN((1+$B$4)/(1+'3. Assumptions'!$B$52)),0))</f>
        <v>38</v>
      </c>
    </row>
    <row r="9" customFormat="false" ht="15" hidden="false" customHeight="false" outlineLevel="0" collapsed="false">
      <c r="A9" s="36" t="str">
        <f aca="false">'2. The tape'!A7</f>
        <v>Premium ensuite</v>
      </c>
      <c r="B9" s="49" t="n">
        <f aca="false">'2. The tape'!B7</f>
        <v>92</v>
      </c>
      <c r="C9" s="46" t="n">
        <f aca="false">'2. The tape'!C7*(1-'3. Assumptions'!$B$7*'3. Assumptions'!$B$8-'3. Assumptions'!$B$9*'3. Assumptions'!$B$10)*'2. The tape'!$D$5</f>
        <v>8251.012</v>
      </c>
      <c r="D9" s="45" t="n">
        <f aca="false">C9/'3. Assumptions'!$B$50</f>
        <v>0.761866297322253</v>
      </c>
      <c r="E9" s="49" t="n">
        <f aca="false">IF(D9&gt;=1,"Already above it",ROUNDUP(LN(1/D9)/LN((1+$B$4)/(1+'3. Assumptions'!$B$52)),0))</f>
        <v>23</v>
      </c>
    </row>
    <row r="10" customFormat="false" ht="15" hidden="false" customHeight="false" outlineLevel="0" collapsed="false">
      <c r="A10" s="36" t="str">
        <f aca="false">'2. The tape'!A8</f>
        <v>Studio, standard</v>
      </c>
      <c r="B10" s="49" t="n">
        <f aca="false">'2. The tape'!B8</f>
        <v>78</v>
      </c>
      <c r="C10" s="46" t="n">
        <f aca="false">'2. The tape'!C8*(1-'3. Assumptions'!$B$7*'3. Assumptions'!$B$8-'3. Assumptions'!$B$9*'3. Assumptions'!$B$10)*'2. The tape'!$D$5</f>
        <v>10313.765</v>
      </c>
      <c r="D10" s="45" t="n">
        <f aca="false">C10/'3. Assumptions'!$B$50</f>
        <v>0.952332871652816</v>
      </c>
      <c r="E10" s="49" t="n">
        <f aca="false">IF(D10&gt;=1,"Already above it",ROUNDUP(LN(1/D10)/LN((1+$B$4)/(1+'3. Assumptions'!$B$52)),0))</f>
        <v>4</v>
      </c>
    </row>
    <row r="11" customFormat="false" ht="15" hidden="false" customHeight="false" outlineLevel="0" collapsed="false">
      <c r="A11" s="36" t="str">
        <f aca="false">'2. The tape'!A9</f>
        <v>Studio, large</v>
      </c>
      <c r="B11" s="49" t="n">
        <f aca="false">'2. The tape'!B9</f>
        <v>34</v>
      </c>
      <c r="C11" s="46" t="n">
        <f aca="false">'2. The tape'!C9*(1-'3. Assumptions'!$B$7*'3. Assumptions'!$B$8-'3. Assumptions'!$B$9*'3. Assumptions'!$B$10)*'2. The tape'!$D$5</f>
        <v>11829.257</v>
      </c>
      <c r="D11" s="45" t="n">
        <f aca="false">C11/'3. Assumptions'!$B$50</f>
        <v>1.0922674976916</v>
      </c>
      <c r="E11" s="49" t="str">
        <f aca="false">IF(D11&gt;=1,"Already above it",ROUNDUP(LN(1/D11)/LN((1+$B$4)/(1+'3. Assumptions'!$B$52)),0))</f>
        <v>Already above it</v>
      </c>
    </row>
    <row r="12" customFormat="false" ht="15" hidden="false" customHeight="false" outlineLevel="0" collapsed="false">
      <c r="A12" s="36" t="str">
        <f aca="false">'2. The tape'!A10</f>
        <v>Accessible studio</v>
      </c>
      <c r="B12" s="49" t="n">
        <f aca="false">'2. The tape'!B10</f>
        <v>6</v>
      </c>
      <c r="C12" s="46" t="n">
        <f aca="false">'2. The tape'!C10*(1-'3. Assumptions'!$B$7*'3. Assumptions'!$B$8-'3. Assumptions'!$B$9*'3. Assumptions'!$B$10)*'2. The tape'!$D$5</f>
        <v>10313.765</v>
      </c>
      <c r="D12" s="45" t="n">
        <f aca="false">C12/'3. Assumptions'!$B$50</f>
        <v>0.952332871652816</v>
      </c>
      <c r="E12" s="49" t="n">
        <f aca="false">IF(D12&gt;=1,"Already above it",ROUNDUP(LN(1/D12)/LN((1+$B$4)/(1+'3. Assumptions'!$B$52)),0))</f>
        <v>4</v>
      </c>
    </row>
    <row r="13" customFormat="false" ht="15" hidden="false" customHeight="false" outlineLevel="0" collapsed="false">
      <c r="A13" s="36" t="s">
        <v>670</v>
      </c>
      <c r="B13" s="49" t="n">
        <f aca="false">'2. The tape'!$B$11</f>
        <v>520</v>
      </c>
      <c r="C13" s="46" t="n">
        <f aca="false">'4. The rate card'!$D$10*(1-'3. Assumptions'!$B$7*'3. Assumptions'!$B$8-'3. Assumptions'!$B$9*'3. Assumptions'!$B$10)*'2. The tape'!$D$5</f>
        <v>8124.07335384615</v>
      </c>
      <c r="D13" s="45" t="n">
        <f aca="false">C13/'3. Assumptions'!$B$50</f>
        <v>0.750145277363449</v>
      </c>
      <c r="E13" s="49" t="n">
        <f aca="false">IF(D13&gt;=1,"Already above it",ROUNDUP(LN(1/D13)/LN((1+$B$4)/(1+'3. Assumptions'!$B$52)),0))</f>
        <v>24</v>
      </c>
    </row>
    <row r="15" customFormat="false" ht="15" hidden="false" customHeight="false" outlineLevel="0" collapsed="false">
      <c r="A15" s="5" t="s">
        <v>671</v>
      </c>
      <c r="B15" s="47" t="n">
        <f aca="false">('3. Assumptions'!$B$50-C13)/'2. The tape'!$D$5</f>
        <v>61.4983328671329</v>
      </c>
    </row>
    <row r="16" customFormat="false" ht="15" hidden="false" customHeight="false" outlineLevel="0" collapsed="false">
      <c r="A16" s="5" t="s">
        <v>672</v>
      </c>
      <c r="B16" s="45" t="n">
        <f aca="false">C13/'3. Assumptions'!$B$51</f>
        <v>1.60936476898696</v>
      </c>
    </row>
    <row r="17" customFormat="false" ht="28.35" hidden="false" customHeight="false" outlineLevel="0" collapsed="false">
      <c r="A17" s="5" t="s">
        <v>673</v>
      </c>
      <c r="B17" s="45" t="n">
        <f aca="false">D13*((1+$B$4)/(1+'3. Assumptions'!$B$52))^10</f>
        <v>0.848039084257367</v>
      </c>
    </row>
    <row r="18" customFormat="false" ht="15" hidden="false" customHeight="false" outlineLevel="0" collapsed="false">
      <c r="A18" s="5" t="s">
        <v>674</v>
      </c>
      <c r="B18" s="47" t="n">
        <f aca="false">('3. Assumptions'!$B$50*(1+'3. Assumptions'!$B$52)^10-C13*(1+$B$4)^10)/'2. The tape'!$D$5</f>
        <v>49.2990815932062</v>
      </c>
    </row>
    <row r="19" customFormat="false" ht="15" hidden="false" customHeight="false" outlineLevel="0" collapsed="false">
      <c r="A19" s="5" t="s">
        <v>675</v>
      </c>
      <c r="B19" s="49" t="n">
        <f aca="false">COUNTIF(E7:E12,"Already above it")</f>
        <v>1</v>
      </c>
    </row>
    <row r="20" customFormat="false" ht="15" hidden="false" customHeight="false" outlineLevel="0" collapsed="false">
      <c r="A20" s="5" t="s">
        <v>676</v>
      </c>
      <c r="B20" s="49" t="n">
        <f aca="false">COUNTIFS(E7:E12,"&gt;=1",E7:E12,"&lt;=10")</f>
        <v>2</v>
      </c>
    </row>
    <row r="22" customFormat="false" ht="15" hidden="false" customHeight="false" outlineLevel="0" collapsed="false">
      <c r="A22" s="13" t="s">
        <v>677</v>
      </c>
    </row>
    <row r="23" customFormat="false" ht="15" hidden="false" customHeight="false" outlineLevel="0" collapsed="false">
      <c r="A23" s="5" t="s">
        <v>678</v>
      </c>
      <c r="B23" s="46" t="n">
        <f aca="false">5*'13. What a point is worth'!$B$6</f>
        <v>197998.338066637</v>
      </c>
    </row>
    <row r="24" customFormat="false" ht="15" hidden="false" customHeight="false" outlineLevel="0" collapsed="false">
      <c r="A24" s="5" t="s">
        <v>679</v>
      </c>
      <c r="B24" s="46" t="n">
        <f aca="false">B23*(1+'3. Assumptions'!$B$35)^4</f>
        <v>223715.567533772</v>
      </c>
    </row>
    <row r="25" customFormat="false" ht="15" hidden="false" customHeight="false" outlineLevel="0" collapsed="false">
      <c r="A25" s="5" t="s">
        <v>680</v>
      </c>
      <c r="B25" s="46" t="n">
        <f aca="false">B24/(1+'3. Assumptions'!$B$34)^5/(1+'3. Assumptions'!$B$37)</f>
        <v>143493.351063236</v>
      </c>
      <c r="C25" s="25" t="s">
        <v>681</v>
      </c>
    </row>
    <row r="26" customFormat="false" ht="15" hidden="false" customHeight="false" outlineLevel="0" collapsed="false">
      <c r="A26" s="5" t="s">
        <v>682</v>
      </c>
      <c r="B26" s="46" t="n">
        <f aca="false">-'17. Scenarios'!$U$37</f>
        <v>3250185.87093381</v>
      </c>
    </row>
    <row r="27" customFormat="false" ht="15" hidden="false" customHeight="false" outlineLevel="0" collapsed="false">
      <c r="A27" s="5" t="s">
        <v>683</v>
      </c>
      <c r="B27" s="45" t="n">
        <f aca="false">B25/B26</f>
        <v>0.0441492753834441</v>
      </c>
    </row>
    <row r="29" customFormat="false" ht="15" hidden="false" customHeight="false" outlineLevel="0" collapsed="false">
      <c r="A29" s="13" t="s">
        <v>684</v>
      </c>
    </row>
    <row r="30" customFormat="false" ht="15" hidden="false" customHeight="false" outlineLevel="0" collapsed="false">
      <c r="A30" s="36" t="s">
        <v>292</v>
      </c>
      <c r="B30" s="49" t="n">
        <v>1</v>
      </c>
      <c r="C30" s="49" t="n">
        <v>2</v>
      </c>
      <c r="D30" s="49" t="n">
        <v>3</v>
      </c>
      <c r="E30" s="49" t="n">
        <v>4</v>
      </c>
      <c r="F30" s="49" t="n">
        <v>5</v>
      </c>
      <c r="G30" s="49" t="n">
        <v>6</v>
      </c>
      <c r="H30" s="49" t="n">
        <v>7</v>
      </c>
      <c r="I30" s="49" t="n">
        <v>8</v>
      </c>
      <c r="J30" s="49" t="n">
        <v>9</v>
      </c>
      <c r="K30" s="49" t="n">
        <v>10</v>
      </c>
      <c r="L30" s="49" t="n">
        <v>11</v>
      </c>
      <c r="M30" s="49" t="n">
        <v>12</v>
      </c>
      <c r="N30" s="49" t="n">
        <v>13</v>
      </c>
      <c r="O30" s="49" t="n">
        <v>14</v>
      </c>
      <c r="P30" s="49" t="n">
        <v>15</v>
      </c>
      <c r="Q30" s="49" t="n">
        <v>16</v>
      </c>
    </row>
    <row r="31" customFormat="false" ht="15" hidden="false" customHeight="false" outlineLevel="0" collapsed="false">
      <c r="A31" s="36" t="s">
        <v>685</v>
      </c>
      <c r="B31" s="49" t="n">
        <f aca="false">IF(MOD(B30+'3. Assumptions'!$B$30,'3. Assumptions'!$B$29)=0,1,0)</f>
        <v>0</v>
      </c>
      <c r="C31" s="49" t="n">
        <f aca="false">IF(MOD(C30+'3. Assumptions'!$B$30,'3. Assumptions'!$B$29)=0,1,0)</f>
        <v>0</v>
      </c>
      <c r="D31" s="49" t="n">
        <f aca="false">IF(MOD(D30+'3. Assumptions'!$B$30,'3. Assumptions'!$B$29)=0,1,0)</f>
        <v>0</v>
      </c>
      <c r="E31" s="49" t="n">
        <f aca="false">IF(MOD(E30+'3. Assumptions'!$B$30,'3. Assumptions'!$B$29)=0,1,0)</f>
        <v>1</v>
      </c>
      <c r="F31" s="49" t="n">
        <f aca="false">IF(MOD(F30+'3. Assumptions'!$B$30,'3. Assumptions'!$B$29)=0,1,0)</f>
        <v>0</v>
      </c>
      <c r="G31" s="49" t="n">
        <f aca="false">IF(MOD(G30+'3. Assumptions'!$B$30,'3. Assumptions'!$B$29)=0,1,0)</f>
        <v>0</v>
      </c>
      <c r="H31" s="49" t="n">
        <f aca="false">IF(MOD(H30+'3. Assumptions'!$B$30,'3. Assumptions'!$B$29)=0,1,0)</f>
        <v>0</v>
      </c>
      <c r="I31" s="49" t="n">
        <f aca="false">IF(MOD(I30+'3. Assumptions'!$B$30,'3. Assumptions'!$B$29)=0,1,0)</f>
        <v>0</v>
      </c>
      <c r="J31" s="49" t="n">
        <f aca="false">IF(MOD(J30+'3. Assumptions'!$B$30,'3. Assumptions'!$B$29)=0,1,0)</f>
        <v>0</v>
      </c>
      <c r="K31" s="49" t="n">
        <f aca="false">IF(MOD(K30+'3. Assumptions'!$B$30,'3. Assumptions'!$B$29)=0,1,0)</f>
        <v>0</v>
      </c>
      <c r="L31" s="49" t="n">
        <f aca="false">IF(MOD(L30+'3. Assumptions'!$B$30,'3. Assumptions'!$B$29)=0,1,0)</f>
        <v>1</v>
      </c>
      <c r="M31" s="49" t="n">
        <f aca="false">IF(MOD(M30+'3. Assumptions'!$B$30,'3. Assumptions'!$B$29)=0,1,0)</f>
        <v>0</v>
      </c>
      <c r="N31" s="49" t="n">
        <f aca="false">IF(MOD(N30+'3. Assumptions'!$B$30,'3. Assumptions'!$B$29)=0,1,0)</f>
        <v>0</v>
      </c>
      <c r="O31" s="49" t="n">
        <f aca="false">IF(MOD(O30+'3. Assumptions'!$B$30,'3. Assumptions'!$B$29)=0,1,0)</f>
        <v>0</v>
      </c>
      <c r="P31" s="49" t="n">
        <f aca="false">IF(MOD(P30+'3. Assumptions'!$B$30,'3. Assumptions'!$B$29)=0,1,0)</f>
        <v>0</v>
      </c>
      <c r="Q31" s="49" t="n">
        <f aca="false">IF(MOD(Q30+'3. Assumptions'!$B$30,'3. Assumptions'!$B$29)=0,1,0)</f>
        <v>0</v>
      </c>
    </row>
    <row r="32" customFormat="false" ht="15" hidden="false" customHeight="false" outlineLevel="0" collapsed="false">
      <c r="A32" s="36" t="s">
        <v>298</v>
      </c>
      <c r="B32" s="46" t="n">
        <f aca="false">(('17. Scenarios'!$B$4*'3. Assumptions'!$B$4+'17. Scenarios'!$B$5)-B31*'17. Scenarios'!$B$5)*(1+'3. Assumptions'!$B$35)^(B30-1)*(1-'3. Assumptions'!$B$27)-('17. Scenarios'!$B$7-B31*'17. Scenarios'!$B$6+'17. Scenarios'!$B$8+B31*'17. Scenarios'!$B$9)*(1+'3. Assumptions'!$B$36)^(B30-1)</f>
        <v>2574859.16593639</v>
      </c>
      <c r="C32" s="46" t="n">
        <f aca="false">(('17. Scenarios'!$B$4*'3. Assumptions'!$B$4+'17. Scenarios'!$B$5)-C31*'17. Scenarios'!$B$5)*(1+'3. Assumptions'!$B$35)^(C30-1)*(1-'3. Assumptions'!$B$27)-('17. Scenarios'!$B$7-C31*'17. Scenarios'!$B$6+'17. Scenarios'!$B$8+C31*'17. Scenarios'!$B$9)*(1+'3. Assumptions'!$B$36)^(C30-1)</f>
        <v>2658840.87990625</v>
      </c>
      <c r="D32" s="46" t="n">
        <f aca="false">(('17. Scenarios'!$B$4*'3. Assumptions'!$B$4+'17. Scenarios'!$B$5)-D31*'17. Scenarios'!$B$5)*(1+'3. Assumptions'!$B$35)^(D30-1)*(1-'3. Assumptions'!$B$27)-('17. Scenarios'!$B$7-D31*'17. Scenarios'!$B$6+'17. Scenarios'!$B$8+D31*'17. Scenarios'!$B$9)*(1+'3. Assumptions'!$B$36)^(D30-1)</f>
        <v>2745542.5372443</v>
      </c>
      <c r="E32" s="46" t="n">
        <f aca="false">(('17. Scenarios'!$B$4*'3. Assumptions'!$B$4+'17. Scenarios'!$B$5)-E31*'17. Scenarios'!$B$5)*(1+'3. Assumptions'!$B$35)^(E30-1)*(1-'3. Assumptions'!$B$27)-('17. Scenarios'!$B$7-E31*'17. Scenarios'!$B$6+'17. Scenarios'!$B$8+E31*'17. Scenarios'!$B$9)*(1+'3. Assumptions'!$B$36)^(E30-1)</f>
        <v>895025.931563568</v>
      </c>
      <c r="F32" s="46" t="n">
        <f aca="false">(('17. Scenarios'!$B$4*'3. Assumptions'!$B$4+'17. Scenarios'!$B$5)-F31*'17. Scenarios'!$B$5)*(1+'3. Assumptions'!$B$35)^(F30-1)*(1-'3. Assumptions'!$B$27)-('17. Scenarios'!$B$7-F31*'17. Scenarios'!$B$6+'17. Scenarios'!$B$8+F31*'17. Scenarios'!$B$9)*(1+'3. Assumptions'!$B$36)^(F30-1)</f>
        <v>2927458.81048944</v>
      </c>
      <c r="G32" s="46" t="n">
        <f aca="false">(('17. Scenarios'!$B$4*'3. Assumptions'!$B$4+'17. Scenarios'!$B$5)-G31*'17. Scenarios'!$B$5)*(1+'3. Assumptions'!$B$35)^(G30-1)*(1-'3. Assumptions'!$B$27)-('17. Scenarios'!$B$7-G31*'17. Scenarios'!$B$6+'17. Scenarios'!$B$8+G31*'17. Scenarios'!$B$9)*(1+'3. Assumptions'!$B$36)^(G30-1)</f>
        <v>3022857.09603417</v>
      </c>
      <c r="H32" s="46" t="n">
        <f aca="false">(('17. Scenarios'!$B$4*'3. Assumptions'!$B$4+'17. Scenarios'!$B$5)-H31*'17. Scenarios'!$B$5)*(1+'3. Assumptions'!$B$35)^(H30-1)*(1-'3. Assumptions'!$B$27)-('17. Scenarios'!$B$7-H31*'17. Scenarios'!$B$6+'17. Scenarios'!$B$8+H31*'17. Scenarios'!$B$9)*(1+'3. Assumptions'!$B$36)^(H30-1)</f>
        <v>3121342.84617854</v>
      </c>
      <c r="I32" s="46" t="n">
        <f aca="false">(('17. Scenarios'!$B$4*'3. Assumptions'!$B$4+'17. Scenarios'!$B$5)-I31*'17. Scenarios'!$B$5)*(1+'3. Assumptions'!$B$35)^(I30-1)*(1-'3. Assumptions'!$B$27)-('17. Scenarios'!$B$7-I31*'17. Scenarios'!$B$6+'17. Scenarios'!$B$8+I31*'17. Scenarios'!$B$9)*(1+'3. Assumptions'!$B$36)^(I30-1)</f>
        <v>3223015.41562206</v>
      </c>
      <c r="J32" s="46" t="n">
        <f aca="false">(('17. Scenarios'!$B$4*'3. Assumptions'!$B$4+'17. Scenarios'!$B$5)-J31*'17. Scenarios'!$B$5)*(1+'3. Assumptions'!$B$35)^(J30-1)*(1-'3. Assumptions'!$B$27)-('17. Scenarios'!$B$7-J31*'17. Scenarios'!$B$6+'17. Scenarios'!$B$8+J31*'17. Scenarios'!$B$9)*(1+'3. Assumptions'!$B$36)^(J30-1)</f>
        <v>3327977.34107227</v>
      </c>
      <c r="K32" s="46" t="n">
        <f aca="false">(('17. Scenarios'!$B$4*'3. Assumptions'!$B$4+'17. Scenarios'!$B$5)-K31*'17. Scenarios'!$B$5)*(1+'3. Assumptions'!$B$35)^(K30-1)*(1-'3. Assumptions'!$B$27)-('17. Scenarios'!$B$7-K31*'17. Scenarios'!$B$6+'17. Scenarios'!$B$8+K31*'17. Scenarios'!$B$9)*(1+'3. Assumptions'!$B$36)^(K30-1)</f>
        <v>3436334.44274328</v>
      </c>
      <c r="L32" s="46" t="n">
        <f aca="false">(('17. Scenarios'!$B$4*'3. Assumptions'!$B$4+'17. Scenarios'!$B$5)-L31*'17. Scenarios'!$B$5)*(1+'3. Assumptions'!$B$35)^(L30-1)*(1-'3. Assumptions'!$B$27)-('17. Scenarios'!$B$7-L31*'17. Scenarios'!$B$6+'17. Scenarios'!$B$8+L31*'17. Scenarios'!$B$9)*(1+'3. Assumptions'!$B$36)^(L30-1)</f>
        <v>1190926.75910355</v>
      </c>
      <c r="M32" s="46" t="n">
        <f aca="false">(('17. Scenarios'!$B$4*'3. Assumptions'!$B$4+'17. Scenarios'!$B$5)-M31*'17. Scenarios'!$B$5)*(1+'3. Assumptions'!$B$35)^(M30-1)*(1-'3. Assumptions'!$B$27)-('17. Scenarios'!$B$7-M31*'17. Scenarios'!$B$6+'17. Scenarios'!$B$8+M31*'17. Scenarios'!$B$9)*(1+'3. Assumptions'!$B$36)^(M30-1)</f>
        <v>3663674.504816</v>
      </c>
      <c r="N32" s="46" t="n">
        <f aca="false">(('17. Scenarios'!$B$4*'3. Assumptions'!$B$4+'17. Scenarios'!$B$5)-N31*'17. Scenarios'!$B$5)*(1+'3. Assumptions'!$B$35)^(N30-1)*(1-'3. Assumptions'!$B$27)-('17. Scenarios'!$B$7-N31*'17. Scenarios'!$B$6+'17. Scenarios'!$B$8+N31*'17. Scenarios'!$B$9)*(1+'3. Assumptions'!$B$36)^(N30-1)</f>
        <v>3782886.4824531</v>
      </c>
      <c r="O32" s="46" t="n">
        <f aca="false">(('17. Scenarios'!$B$4*'3. Assumptions'!$B$4+'17. Scenarios'!$B$5)-O31*'17. Scenarios'!$B$5)*(1+'3. Assumptions'!$B$35)^(O30-1)*(1-'3. Assumptions'!$B$27)-('17. Scenarios'!$B$7-O31*'17. Scenarios'!$B$6+'17. Scenarios'!$B$8+O31*'17. Scenarios'!$B$9)*(1+'3. Assumptions'!$B$36)^(O30-1)</f>
        <v>3905951.8973006</v>
      </c>
      <c r="P32" s="46" t="n">
        <f aca="false">(('17. Scenarios'!$B$4*'3. Assumptions'!$B$4+'17. Scenarios'!$B$5)-P31*'17. Scenarios'!$B$5)*(1+'3. Assumptions'!$B$35)^(P30-1)*(1-'3. Assumptions'!$B$27)-('17. Scenarios'!$B$7-P31*'17. Scenarios'!$B$6+'17. Scenarios'!$B$8+P31*'17. Scenarios'!$B$9)*(1+'3. Assumptions'!$B$36)^(P30-1)</f>
        <v>4032994.62615734</v>
      </c>
      <c r="Q32" s="46" t="n">
        <f aca="false">(('17. Scenarios'!$B$4*'3. Assumptions'!$B$4+'17. Scenarios'!$B$5)-Q31*'17. Scenarios'!$B$5)*(1+'3. Assumptions'!$B$35)^(Q30-1)*(1-'3. Assumptions'!$B$27)-('17. Scenarios'!$B$7-Q31*'17. Scenarios'!$B$6+'17. Scenarios'!$B$8+Q31*'17. Scenarios'!$B$9)*(1+'3. Assumptions'!$B$36)^(Q30-1)</f>
        <v>4164142.50976977</v>
      </c>
    </row>
    <row r="33" customFormat="false" ht="15" hidden="false" customHeight="false" outlineLevel="0" collapsed="false">
      <c r="A33" s="36" t="s">
        <v>686</v>
      </c>
      <c r="B33" s="46" t="n">
        <f aca="false">B32/(1+'3. Assumptions'!$B$34)^B30</f>
        <v>2386338.42996885</v>
      </c>
      <c r="C33" s="46" t="n">
        <f aca="false">C32/(1+'3. Assumptions'!$B$34)^C30</f>
        <v>2283754.7208063</v>
      </c>
      <c r="D33" s="46" t="n">
        <f aca="false">D32/(1+'3. Assumptions'!$B$34)^D30</f>
        <v>2185565.58108418</v>
      </c>
      <c r="E33" s="46" t="n">
        <f aca="false">E32/(1+'3. Assumptions'!$B$34)^E30</f>
        <v>660312.987809208</v>
      </c>
      <c r="F33" s="46" t="n">
        <f aca="false">F32/(1+'3. Assumptions'!$B$34)^F30</f>
        <v>2001628.93217982</v>
      </c>
      <c r="G33" s="46" t="n">
        <f aca="false">G32/(1+'3. Assumptions'!$B$34)^G30</f>
        <v>1915529.95794666</v>
      </c>
      <c r="H33" s="46" t="n">
        <f aca="false">H32/(1+'3. Assumptions'!$B$34)^H30</f>
        <v>1833121.96427559</v>
      </c>
      <c r="I33" s="46" t="n">
        <f aca="false">I32/(1+'3. Assumptions'!$B$34)^I30</f>
        <v>1754247.33436244</v>
      </c>
      <c r="J33" s="46" t="n">
        <f aca="false">J32/(1+'3. Assumptions'!$B$34)^J30</f>
        <v>1678755.15213272</v>
      </c>
      <c r="K33" s="46" t="n">
        <f aca="false">K32/(1+'3. Assumptions'!$B$34)^K30</f>
        <v>1606500.91885295</v>
      </c>
      <c r="L33" s="46" t="n">
        <f aca="false">L32/(1+'3. Assumptions'!$B$34)^L30</f>
        <v>515999.358948709</v>
      </c>
      <c r="M33" s="46" t="n">
        <f aca="false">M32/(1+'3. Assumptions'!$B$34)^M30</f>
        <v>1471158.77346952</v>
      </c>
      <c r="N33" s="46" t="n">
        <f aca="false">N32/(1+'3. Assumptions'!$B$34)^N30</f>
        <v>1407811.56391244</v>
      </c>
      <c r="O33" s="46" t="n">
        <f aca="false">O32/(1+'3. Assumptions'!$B$34)^O30</f>
        <v>1347183.22063359</v>
      </c>
      <c r="P33" s="46" t="n">
        <f aca="false">P32/(1+'3. Assumptions'!$B$34)^P30</f>
        <v>1289157.48072375</v>
      </c>
      <c r="Q33" s="46" t="n">
        <f aca="false">Q32/(1+'3. Assumptions'!$B$34)^Q30</f>
        <v>1233623.03173975</v>
      </c>
    </row>
    <row r="34" customFormat="false" ht="15" hidden="false" customHeight="false" outlineLevel="0" collapsed="false">
      <c r="A34" s="36" t="s">
        <v>687</v>
      </c>
      <c r="B34" s="46" t="n">
        <f aca="false">SUM($B33:B33)</f>
        <v>2386338.42996885</v>
      </c>
      <c r="C34" s="46" t="n">
        <f aca="false">SUM($B33:C33)</f>
        <v>4670093.15077515</v>
      </c>
      <c r="D34" s="46" t="n">
        <f aca="false">SUM($B33:D33)</f>
        <v>6855658.73185932</v>
      </c>
      <c r="E34" s="46" t="n">
        <f aca="false">SUM($B33:E33)</f>
        <v>7515971.71966853</v>
      </c>
      <c r="F34" s="46" t="n">
        <f aca="false">SUM($B33:F33)</f>
        <v>9517600.65184836</v>
      </c>
      <c r="G34" s="46" t="n">
        <f aca="false">SUM($B33:G33)</f>
        <v>11433130.609795</v>
      </c>
      <c r="H34" s="46" t="n">
        <f aca="false">SUM($B33:H33)</f>
        <v>13266252.5740706</v>
      </c>
      <c r="I34" s="46" t="n">
        <f aca="false">SUM($B33:I33)</f>
        <v>15020499.9084331</v>
      </c>
      <c r="J34" s="46" t="n">
        <f aca="false">SUM($B33:J33)</f>
        <v>16699255.0605658</v>
      </c>
      <c r="K34" s="46" t="n">
        <f aca="false">SUM($B33:K33)</f>
        <v>18305755.9794187</v>
      </c>
      <c r="L34" s="46" t="n">
        <f aca="false">SUM($B33:L33)</f>
        <v>18821755.3383674</v>
      </c>
      <c r="M34" s="46" t="n">
        <f aca="false">SUM($B33:M33)</f>
        <v>20292914.111837</v>
      </c>
      <c r="N34" s="46" t="n">
        <f aca="false">SUM($B33:N33)</f>
        <v>21700725.6757494</v>
      </c>
      <c r="O34" s="46" t="n">
        <f aca="false">SUM($B33:O33)</f>
        <v>23047908.896383</v>
      </c>
      <c r="P34" s="46" t="n">
        <f aca="false">SUM($B33:P33)</f>
        <v>24337066.3771067</v>
      </c>
      <c r="Q34" s="46" t="n">
        <f aca="false">SUM($B33:Q33)</f>
        <v>25570689.4088465</v>
      </c>
    </row>
    <row r="35" customFormat="false" ht="15" hidden="false" customHeight="false" outlineLevel="0" collapsed="false">
      <c r="A35" s="36" t="s">
        <v>688</v>
      </c>
      <c r="B35" s="46" t="n">
        <f aca="false">('17. Scenarios'!$B$4*'3. Assumptions'!$B$4+'17. Scenarios'!$B$5)*(1+'3. Assumptions'!$B$35)^B30*(1-'3. Assumptions'!$B$27)-'17. Scenarios'!$B$7*(1+'3. Assumptions'!$B$36)^B30</f>
        <v>2786066.15990625</v>
      </c>
      <c r="C35" s="46" t="n">
        <f aca="false">('17. Scenarios'!$B$4*'3. Assumptions'!$B$4+'17. Scenarios'!$B$5)*(1+'3. Assumptions'!$B$35)^C30*(1-'3. Assumptions'!$B$27)-'17. Scenarios'!$B$7*(1+'3. Assumptions'!$B$36)^C30</f>
        <v>2876330.1250843</v>
      </c>
      <c r="D35" s="46" t="n">
        <f aca="false">('17. Scenarios'!$B$4*'3. Assumptions'!$B$4+'17. Scenarios'!$B$5)*(1+'3. Assumptions'!$B$35)^D30*(1-'3. Assumptions'!$B$27)-'17. Scenarios'!$B$7*(1+'3. Assumptions'!$B$36)^D30</f>
        <v>2969501.35878106</v>
      </c>
      <c r="E35" s="46" t="n">
        <f aca="false">('17. Scenarios'!$B$4*'3. Assumptions'!$B$4+'17. Scenarios'!$B$5)*(1+'3. Assumptions'!$B$35)^E30*(1-'3. Assumptions'!$B$27)-'17. Scenarios'!$B$7*(1+'3. Assumptions'!$B$36)^E30</f>
        <v>3065673.04071735</v>
      </c>
      <c r="F35" s="46" t="n">
        <f aca="false">('17. Scenarios'!$B$4*'3. Assumptions'!$B$4+'17. Scenarios'!$B$5)*(1+'3. Assumptions'!$B$35)^F30*(1-'3. Assumptions'!$B$27)-'17. Scenarios'!$B$7*(1+'3. Assumptions'!$B$36)^F30</f>
        <v>3164941.32470846</v>
      </c>
      <c r="G35" s="46" t="n">
        <f aca="false">('17. Scenarios'!$B$4*'3. Assumptions'!$B$4+'17. Scenarios'!$B$5)*(1+'3. Assumptions'!$B$35)^G30*(1-'3. Assumptions'!$B$27)-'17. Scenarios'!$B$7*(1+'3. Assumptions'!$B$36)^G30</f>
        <v>3267405.4332557</v>
      </c>
      <c r="H35" s="46" t="n">
        <f aca="false">('17. Scenarios'!$B$4*'3. Assumptions'!$B$4+'17. Scenarios'!$B$5)*(1+'3. Assumptions'!$B$35)^H30*(1-'3. Assumptions'!$B$27)-'17. Scenarios'!$B$7*(1+'3. Assumptions'!$B$36)^H30</f>
        <v>3373167.75513739</v>
      </c>
      <c r="I35" s="46" t="n">
        <f aca="false">('17. Scenarios'!$B$4*'3. Assumptions'!$B$4+'17. Scenarios'!$B$5)*(1+'3. Assumptions'!$B$35)^I30*(1-'3. Assumptions'!$B$27)-'17. Scenarios'!$B$7*(1+'3. Assumptions'!$B$36)^I30</f>
        <v>3482333.94609403</v>
      </c>
      <c r="J35" s="46" t="n">
        <f aca="false">('17. Scenarios'!$B$4*'3. Assumptions'!$B$4+'17. Scenarios'!$B$5)*(1+'3. Assumptions'!$B$35)^J30*(1-'3. Assumptions'!$B$27)-'17. Scenarios'!$B$7*(1+'3. Assumptions'!$B$36)^J30</f>
        <v>3595013.03270565</v>
      </c>
      <c r="K35" s="46" t="n">
        <f aca="false">('17. Scenarios'!$B$4*'3. Assumptions'!$B$4+'17. Scenarios'!$B$5)*(1+'3. Assumptions'!$B$35)^K30*(1-'3. Assumptions'!$B$27)-'17. Scenarios'!$B$7*(1+'3. Assumptions'!$B$36)^K30</f>
        <v>3711317.51956215</v>
      </c>
      <c r="L35" s="46" t="n">
        <f aca="false">('17. Scenarios'!$B$4*'3. Assumptions'!$B$4+'17. Scenarios'!$B$5)*(1+'3. Assumptions'!$B$35)^L30*(1-'3. Assumptions'!$B$27)-'17. Scenarios'!$B$7*(1+'3. Assumptions'!$B$36)^L30</f>
        <v>3831363.49983079</v>
      </c>
      <c r="M35" s="46" t="n">
        <f aca="false">('17. Scenarios'!$B$4*'3. Assumptions'!$B$4+'17. Scenarios'!$B$5)*(1+'3. Assumptions'!$B$35)^M30*(1-'3. Assumptions'!$B$27)-'17. Scenarios'!$B$7*(1+'3. Assumptions'!$B$36)^M30</f>
        <v>3955270.7693283</v>
      </c>
      <c r="N35" s="46" t="n">
        <f aca="false">('17. Scenarios'!$B$4*'3. Assumptions'!$B$4+'17. Scenarios'!$B$5)*(1+'3. Assumptions'!$B$35)^N30*(1-'3. Assumptions'!$B$27)-'17. Scenarios'!$B$7*(1+'3. Assumptions'!$B$36)^N30</f>
        <v>4083162.94420831</v>
      </c>
      <c r="O35" s="46" t="n">
        <f aca="false">('17. Scenarios'!$B$4*'3. Assumptions'!$B$4+'17. Scenarios'!$B$5)*(1+'3. Assumptions'!$B$35)^O30*(1-'3. Assumptions'!$B$27)-'17. Scenarios'!$B$7*(1+'3. Assumptions'!$B$36)^O30</f>
        <v>4215167.58237847</v>
      </c>
      <c r="P35" s="46" t="n">
        <f aca="false">('17. Scenarios'!$B$4*'3. Assumptions'!$B$4+'17. Scenarios'!$B$5)*(1+'3. Assumptions'!$B$35)^P30*(1-'3. Assumptions'!$B$27)-'17. Scenarios'!$B$7*(1+'3. Assumptions'!$B$36)^P30</f>
        <v>4351416.30876509</v>
      </c>
      <c r="Q35" s="46" t="n">
        <f aca="false">('17. Scenarios'!$B$4*'3. Assumptions'!$B$4+'17. Scenarios'!$B$5)*(1+'3. Assumptions'!$B$35)^Q30*(1-'3. Assumptions'!$B$27)-'17. Scenarios'!$B$7*(1+'3. Assumptions'!$B$36)^Q30</f>
        <v>4492044.94454702</v>
      </c>
    </row>
    <row r="36" customFormat="false" ht="15" hidden="false" customHeight="false" outlineLevel="0" collapsed="false">
      <c r="A36" s="36" t="s">
        <v>689</v>
      </c>
      <c r="B36" s="50" t="n">
        <f aca="false">MOD('3. Assumptions'!$B$30+B30,'3. Assumptions'!$B$29)/'3. Assumptions'!$B$29</f>
        <v>0.571428571428571</v>
      </c>
      <c r="C36" s="50" t="n">
        <f aca="false">MOD('3. Assumptions'!$B$30+C30,'3. Assumptions'!$B$29)/'3. Assumptions'!$B$29</f>
        <v>0.714285714285714</v>
      </c>
      <c r="D36" s="50" t="n">
        <f aca="false">MOD('3. Assumptions'!$B$30+D30,'3. Assumptions'!$B$29)/'3. Assumptions'!$B$29</f>
        <v>0.857142857142857</v>
      </c>
      <c r="E36" s="50" t="n">
        <f aca="false">MOD('3. Assumptions'!$B$30+E30,'3. Assumptions'!$B$29)/'3. Assumptions'!$B$29</f>
        <v>0</v>
      </c>
      <c r="F36" s="50" t="n">
        <f aca="false">MOD('3. Assumptions'!$B$30+F30,'3. Assumptions'!$B$29)/'3. Assumptions'!$B$29</f>
        <v>0.142857142857143</v>
      </c>
      <c r="G36" s="50" t="n">
        <f aca="false">MOD('3. Assumptions'!$B$30+G30,'3. Assumptions'!$B$29)/'3. Assumptions'!$B$29</f>
        <v>0.285714285714286</v>
      </c>
      <c r="H36" s="50" t="n">
        <f aca="false">MOD('3. Assumptions'!$B$30+H30,'3. Assumptions'!$B$29)/'3. Assumptions'!$B$29</f>
        <v>0.428571428571429</v>
      </c>
      <c r="I36" s="50" t="n">
        <f aca="false">MOD('3. Assumptions'!$B$30+I30,'3. Assumptions'!$B$29)/'3. Assumptions'!$B$29</f>
        <v>0.571428571428571</v>
      </c>
      <c r="J36" s="50" t="n">
        <f aca="false">MOD('3. Assumptions'!$B$30+J30,'3. Assumptions'!$B$29)/'3. Assumptions'!$B$29</f>
        <v>0.714285714285714</v>
      </c>
      <c r="K36" s="50" t="n">
        <f aca="false">MOD('3. Assumptions'!$B$30+K30,'3. Assumptions'!$B$29)/'3. Assumptions'!$B$29</f>
        <v>0.857142857142857</v>
      </c>
      <c r="L36" s="50" t="n">
        <f aca="false">MOD('3. Assumptions'!$B$30+L30,'3. Assumptions'!$B$29)/'3. Assumptions'!$B$29</f>
        <v>0</v>
      </c>
      <c r="M36" s="50" t="n">
        <f aca="false">MOD('3. Assumptions'!$B$30+M30,'3. Assumptions'!$B$29)/'3. Assumptions'!$B$29</f>
        <v>0.142857142857143</v>
      </c>
      <c r="N36" s="50" t="n">
        <f aca="false">MOD('3. Assumptions'!$B$30+N30,'3. Assumptions'!$B$29)/'3. Assumptions'!$B$29</f>
        <v>0.285714285714286</v>
      </c>
      <c r="O36" s="50" t="n">
        <f aca="false">MOD('3. Assumptions'!$B$30+O30,'3. Assumptions'!$B$29)/'3. Assumptions'!$B$29</f>
        <v>0.428571428571429</v>
      </c>
      <c r="P36" s="50" t="n">
        <f aca="false">MOD('3. Assumptions'!$B$30+P30,'3. Assumptions'!$B$29)/'3. Assumptions'!$B$29</f>
        <v>0.571428571428571</v>
      </c>
      <c r="Q36" s="50" t="n">
        <f aca="false">MOD('3. Assumptions'!$B$30+Q30,'3. Assumptions'!$B$29)/'3. Assumptions'!$B$29</f>
        <v>0.714285714285714</v>
      </c>
    </row>
    <row r="37" customFormat="false" ht="15" hidden="false" customHeight="false" outlineLevel="0" collapsed="false">
      <c r="A37" s="36" t="s">
        <v>690</v>
      </c>
      <c r="B37" s="46" t="n">
        <f aca="false">B35/'3. Assumptions'!$B$33/(1+'3. Assumptions'!$B$37)*(1-'3. Assumptions'!$B$38)-B36*'17. Scenarios'!$B$9*(1+'3. Assumptions'!$B$36)^B30/(1+'3. Assumptions'!$B$37)</f>
        <v>42452831.3492262</v>
      </c>
      <c r="C37" s="46" t="n">
        <f aca="false">C35/'3. Assumptions'!$B$33/(1+'3. Assumptions'!$B$37)*(1-'3. Assumptions'!$B$38)-C36*'17. Scenarios'!$B$9*(1+'3. Assumptions'!$B$36)^C30/(1+'3. Assumptions'!$B$37)</f>
        <v>43589368.9826617</v>
      </c>
      <c r="D37" s="46" t="n">
        <f aca="false">D35/'3. Assumptions'!$B$33/(1+'3. Assumptions'!$B$37)*(1-'3. Assumptions'!$B$38)-D36*'17. Scenarios'!$B$9*(1+'3. Assumptions'!$B$36)^D30/(1+'3. Assumptions'!$B$37)</f>
        <v>44756842.3493536</v>
      </c>
      <c r="E37" s="46" t="n">
        <f aca="false">E35/'3. Assumptions'!$B$33/(1+'3. Assumptions'!$B$37)*(1-'3. Assumptions'!$B$38)-E36*'17. Scenarios'!$B$9*(1+'3. Assumptions'!$B$36)^E30/(1+'3. Assumptions'!$B$37)</f>
        <v>47753873.9689523</v>
      </c>
      <c r="F37" s="46" t="n">
        <f aca="false">F35/'3. Assumptions'!$B$33/(1+'3. Assumptions'!$B$37)*(1-'3. Assumptions'!$B$38)-F36*'17. Scenarios'!$B$9*(1+'3. Assumptions'!$B$36)^F30/(1+'3. Assumptions'!$B$37)</f>
        <v>49036157.907127</v>
      </c>
      <c r="G37" s="46" t="n">
        <f aca="false">G35/'3. Assumptions'!$B$33/(1+'3. Assumptions'!$B$37)*(1-'3. Assumptions'!$B$38)-G36*'17. Scenarios'!$B$9*(1+'3. Assumptions'!$B$36)^G30/(1+'3. Assumptions'!$B$37)</f>
        <v>50353438.2782437</v>
      </c>
      <c r="H37" s="46" t="n">
        <f aca="false">H35/'3. Assumptions'!$B$33/(1+'3. Assumptions'!$B$37)*(1-'3. Assumptions'!$B$38)-H36*'17. Scenarios'!$B$9*(1+'3. Assumptions'!$B$36)^H30/(1+'3. Assumptions'!$B$37)</f>
        <v>51706689.0265969</v>
      </c>
      <c r="I37" s="46" t="n">
        <f aca="false">I35/'3. Assumptions'!$B$33/(1+'3. Assumptions'!$B$37)*(1-'3. Assumptions'!$B$38)-I36*'17. Scenarios'!$B$9*(1+'3. Assumptions'!$B$36)^I30/(1+'3. Assumptions'!$B$37)</f>
        <v>53096911.803253</v>
      </c>
      <c r="J37" s="46" t="n">
        <f aca="false">J35/'3. Assumptions'!$B$33/(1+'3. Assumptions'!$B$37)*(1-'3. Assumptions'!$B$38)-J36*'17. Scenarios'!$B$9*(1+'3. Assumptions'!$B$36)^J30/(1+'3. Assumptions'!$B$37)</f>
        <v>54525136.7727523</v>
      </c>
      <c r="K37" s="46" t="n">
        <f aca="false">K35/'3. Assumptions'!$B$33/(1+'3. Assumptions'!$B$37)*(1-'3. Assumptions'!$B$38)-K36*'17. Scenarios'!$B$9*(1+'3. Assumptions'!$B$36)^K30/(1+'3. Assumptions'!$B$37)</f>
        <v>55992423.443845</v>
      </c>
      <c r="L37" s="46" t="n">
        <f aca="false">L35/'3. Assumptions'!$B$33/(1+'3. Assumptions'!$B$37)*(1-'3. Assumptions'!$B$38)-L36*'17. Scenarios'!$B$9*(1+'3. Assumptions'!$B$36)^L30/(1+'3. Assumptions'!$B$37)</f>
        <v>59681005.5312851</v>
      </c>
      <c r="M37" s="46" t="n">
        <f aca="false">M35/'3. Assumptions'!$B$33/(1+'3. Assumptions'!$B$37)*(1-'3. Assumptions'!$B$38)-M36*'17. Scenarios'!$B$9*(1+'3. Assumptions'!$B$36)^M30/(1+'3. Assumptions'!$B$37)</f>
        <v>61290787.8438486</v>
      </c>
      <c r="N37" s="46" t="n">
        <f aca="false">N35/'3. Assumptions'!$B$33/(1+'3. Assumptions'!$B$37)*(1-'3. Assumptions'!$B$38)-N36*'17. Scenarios'!$B$9*(1+'3. Assumptions'!$B$36)^N30/(1+'3. Assumptions'!$B$37)</f>
        <v>62944705.1497829</v>
      </c>
      <c r="O37" s="46" t="n">
        <f aca="false">O35/'3. Assumptions'!$B$33/(1+'3. Assumptions'!$B$37)*(1-'3. Assumptions'!$B$38)-O36*'17. Scenarios'!$B$9*(1+'3. Assumptions'!$B$36)^O30/(1+'3. Assumptions'!$B$37)</f>
        <v>64643991.0292422</v>
      </c>
      <c r="P37" s="46" t="n">
        <f aca="false">P35/'3. Assumptions'!$B$33/(1+'3. Assumptions'!$B$37)*(1-'3. Assumptions'!$B$38)-P36*'17. Scenarios'!$B$9*(1+'3. Assumptions'!$B$36)^P30/(1+'3. Assumptions'!$B$37)</f>
        <v>66389914.2878198</v>
      </c>
      <c r="Q37" s="46" t="n">
        <f aca="false">Q35/'3. Assumptions'!$B$33/(1+'3. Assumptions'!$B$37)*(1-'3. Assumptions'!$B$38)-Q36*'17. Scenarios'!$B$9*(1+'3. Assumptions'!$B$36)^Q30/(1+'3. Assumptions'!$B$37)</f>
        <v>68183779.9851968</v>
      </c>
    </row>
    <row r="38" customFormat="false" ht="15" hidden="false" customHeight="false" outlineLevel="0" collapsed="false">
      <c r="A38" s="36" t="s">
        <v>312</v>
      </c>
      <c r="B38" s="46" t="n">
        <f aca="false">B37/(1+'3. Assumptions'!$B$34)^B30</f>
        <v>39344607.3672162</v>
      </c>
      <c r="C38" s="46" t="n">
        <f aca="false">C37/(1+'3. Assumptions'!$B$34)^C30</f>
        <v>37440159.7114874</v>
      </c>
      <c r="D38" s="46" t="n">
        <f aca="false">D37/(1+'3. Assumptions'!$B$34)^D30</f>
        <v>35628300.3558702</v>
      </c>
      <c r="E38" s="46" t="n">
        <f aca="false">E37/(1+'3. Assumptions'!$B$34)^E30</f>
        <v>35230826.3793179</v>
      </c>
      <c r="F38" s="46" t="n">
        <f aca="false">F37/(1+'3. Assumptions'!$B$34)^F30</f>
        <v>33528120.7162173</v>
      </c>
      <c r="G38" s="46" t="n">
        <f aca="false">G37/(1+'3. Assumptions'!$B$34)^G30</f>
        <v>31908064.603562</v>
      </c>
      <c r="H38" s="46" t="n">
        <f aca="false">H37/(1+'3. Assumptions'!$B$34)^H30</f>
        <v>30366631.2948184</v>
      </c>
      <c r="I38" s="46" t="n">
        <f aca="false">I37/(1+'3. Assumptions'!$B$34)^I30</f>
        <v>28899990.8415755</v>
      </c>
      <c r="J38" s="46" t="n">
        <f aca="false">J37/(1+'3. Assumptions'!$B$34)^J30</f>
        <v>27504500.4508675</v>
      </c>
      <c r="K38" s="46" t="n">
        <f aca="false">K37/(1+'3. Assumptions'!$B$34)^K30</f>
        <v>26176695.3159339</v>
      </c>
      <c r="L38" s="46" t="n">
        <f aca="false">L37/(1+'3. Assumptions'!$B$34)^L30</f>
        <v>25858316.1056336</v>
      </c>
      <c r="M38" s="46" t="n">
        <f aca="false">M37/(1+'3. Assumptions'!$B$34)^M30</f>
        <v>24611487.7702176</v>
      </c>
      <c r="N38" s="46" t="n">
        <f aca="false">N37/(1+'3. Assumptions'!$B$34)^N30</f>
        <v>23425044.3961139</v>
      </c>
      <c r="O38" s="46" t="n">
        <f aca="false">O37/(1+'3. Assumptions'!$B$34)^O30</f>
        <v>22296050.314795</v>
      </c>
      <c r="P38" s="46" t="n">
        <f aca="false">P37/(1+'3. Assumptions'!$B$34)^P30</f>
        <v>21221713.0401433</v>
      </c>
      <c r="Q38" s="46" t="n">
        <f aca="false">Q37/(1+'3. Assumptions'!$B$34)^Q30</f>
        <v>20199376.2661752</v>
      </c>
    </row>
    <row r="39" customFormat="false" ht="15" hidden="false" customHeight="false" outlineLevel="0" collapsed="false">
      <c r="A39" s="36" t="s">
        <v>691</v>
      </c>
      <c r="B39" s="45" t="n">
        <f aca="false">B38/(B38+B34)</f>
        <v>0.942816095241009</v>
      </c>
      <c r="C39" s="45" t="n">
        <f aca="false">C38/(C38+C34)</f>
        <v>0.889098430112722</v>
      </c>
      <c r="D39" s="45" t="n">
        <f aca="false">D38/(D38+D34)</f>
        <v>0.838629476181766</v>
      </c>
      <c r="E39" s="45" t="n">
        <f aca="false">E38/(E38+E34)</f>
        <v>0.824174627015006</v>
      </c>
      <c r="F39" s="45" t="n">
        <f aca="false">F38/(F38+F34)</f>
        <v>0.778895547586079</v>
      </c>
      <c r="G39" s="45" t="n">
        <f aca="false">G38/(G38+G34)</f>
        <v>0.736206383937665</v>
      </c>
      <c r="H39" s="45" t="n">
        <f aca="false">H38/(H38+H34)</f>
        <v>0.695957466072288</v>
      </c>
      <c r="I39" s="45" t="n">
        <f aca="false">I38/(I38+I34)</f>
        <v>0.658007011034363</v>
      </c>
      <c r="J39" s="45" t="n">
        <f aca="false">J38/(J38+J34)</f>
        <v>0.622220898035541</v>
      </c>
      <c r="K39" s="45" t="n">
        <f aca="false">K38/(K38+K34)</f>
        <v>0.588472409987639</v>
      </c>
      <c r="L39" s="45" t="n">
        <f aca="false">L38/(L38+L34)</f>
        <v>0.578743839701391</v>
      </c>
      <c r="M39" s="45" t="n">
        <f aca="false">M38/(M38+M34)</f>
        <v>0.54808630643521</v>
      </c>
      <c r="N39" s="45" t="n">
        <f aca="false">N38/(N38+N34)</f>
        <v>0.519105698557814</v>
      </c>
      <c r="O39" s="45" t="n">
        <f aca="false">O38/(O38+O34)</f>
        <v>0.49170938538818</v>
      </c>
      <c r="P39" s="45" t="n">
        <f aca="false">P38/(P38+P34)</f>
        <v>0.465809517102824</v>
      </c>
      <c r="Q39" s="45" t="n">
        <f aca="false">Q38/(Q38+Q34)</f>
        <v>0.441322859564929</v>
      </c>
    </row>
    <row r="41" customFormat="false" ht="15" hidden="false" customHeight="false" outlineLevel="0" collapsed="false">
      <c r="A41" s="5" t="s">
        <v>692</v>
      </c>
      <c r="B41" s="45" t="n">
        <f aca="false">F39</f>
        <v>0.778895547586079</v>
      </c>
    </row>
    <row r="42" customFormat="false" ht="15" hidden="false" customHeight="false" outlineLevel="0" collapsed="false">
      <c r="A42" s="5" t="s">
        <v>693</v>
      </c>
      <c r="B42" s="45" t="n">
        <f aca="false">K39</f>
        <v>0.588472409987639</v>
      </c>
    </row>
    <row r="43" customFormat="false" ht="15" hidden="false" customHeight="false" outlineLevel="0" collapsed="false">
      <c r="A43" s="5" t="s">
        <v>694</v>
      </c>
      <c r="B43" s="45" t="n">
        <f aca="false">P39</f>
        <v>0.465809517102824</v>
      </c>
    </row>
    <row r="44" customFormat="false" ht="15" hidden="false" customHeight="false" outlineLevel="0" collapsed="false">
      <c r="A44" s="5" t="s">
        <v>695</v>
      </c>
      <c r="B44" s="49" t="n">
        <f aca="false">COUNTIF(B39:Q39,"&gt;=0.5")+1</f>
        <v>14</v>
      </c>
    </row>
    <row r="45" customFormat="false" ht="15" hidden="false" customHeight="false" outlineLevel="0" collapsed="false">
      <c r="A45" s="5" t="s">
        <v>696</v>
      </c>
      <c r="B45" s="46" t="n">
        <f aca="false">K38+K34-'10. The exit and the value'!B13</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62"/>
    <col collapsed="false" customWidth="true" hidden="false" outlineLevel="0" max="4" min="3" style="0" width="14"/>
    <col collapsed="false" customWidth="true" hidden="false" outlineLevel="0" max="6" min="5" style="0" width="12"/>
    <col collapsed="false" customWidth="true" hidden="false" outlineLevel="0" max="7" min="7" style="0" width="2"/>
    <col collapsed="false" customWidth="true" hidden="false" outlineLevel="0" max="8" min="8" style="0" width="64"/>
  </cols>
  <sheetData>
    <row r="1" customFormat="false" ht="16.15" hidden="false" customHeight="false" outlineLevel="0" collapsed="false">
      <c r="A1" s="6" t="s">
        <v>697</v>
      </c>
    </row>
    <row r="2" customFormat="false" ht="15" hidden="false" customHeight="false" outlineLevel="0" collapsed="false">
      <c r="A2" s="25" t="s">
        <v>698</v>
      </c>
    </row>
    <row r="3" customFormat="false" ht="15" hidden="false" customHeight="false" outlineLevel="0" collapsed="false">
      <c r="A3" s="25" t="s">
        <v>699</v>
      </c>
    </row>
    <row r="5" customFormat="false" ht="15" hidden="false" customHeight="false" outlineLevel="0" collapsed="false">
      <c r="A5" s="41" t="s">
        <v>700</v>
      </c>
      <c r="B5" s="41" t="s">
        <v>701</v>
      </c>
      <c r="C5" s="41" t="s">
        <v>702</v>
      </c>
      <c r="D5" s="41" t="s">
        <v>703</v>
      </c>
      <c r="E5" s="41" t="s">
        <v>704</v>
      </c>
      <c r="F5" s="41" t="s">
        <v>705</v>
      </c>
      <c r="G5" s="41"/>
      <c r="H5" s="41" t="s">
        <v>44</v>
      </c>
    </row>
    <row r="6" customFormat="false" ht="82.05" hidden="false" customHeight="false" outlineLevel="0" collapsed="false">
      <c r="A6" s="0" t="s">
        <v>706</v>
      </c>
      <c r="B6" s="3" t="s">
        <v>707</v>
      </c>
      <c r="C6" s="17" t="n">
        <v>192.98</v>
      </c>
      <c r="D6" s="17" t="n">
        <f aca="false">'4. The rate card'!$D$10</f>
        <v>192.984615384615</v>
      </c>
      <c r="E6" s="17" t="n">
        <f aca="false">D6-C6</f>
        <v>0.00461538461539135</v>
      </c>
      <c r="F6" s="0" t="str">
        <f aca="false">IF(ABS(E6)&lt;=0.01,"reproduced",IF(ABS(E6)&lt;=0.01*3,"rounding","to check"))</f>
        <v>reproduced</v>
      </c>
      <c r="H6" s="3" t="s">
        <v>708</v>
      </c>
    </row>
    <row r="7" customFormat="false" ht="15" hidden="false" customHeight="false" outlineLevel="0" collapsed="false">
      <c r="A7" s="0" t="s">
        <v>709</v>
      </c>
      <c r="B7" s="3" t="s">
        <v>710</v>
      </c>
      <c r="C7" s="56" t="n">
        <v>0.0603</v>
      </c>
      <c r="D7" s="56" t="n">
        <f aca="false">'4. The rate card'!$D$8</f>
        <v>0.0603</v>
      </c>
      <c r="E7" s="56" t="n">
        <f aca="false">D7-C7</f>
        <v>0</v>
      </c>
      <c r="F7" s="0" t="str">
        <f aca="false">IF(ABS(E7)&lt;=0.00001,"reproduced",IF(ABS(E7)&lt;=0.00001*3,"rounding","to check"))</f>
        <v>reproduced</v>
      </c>
    </row>
    <row r="8" customFormat="false" ht="15" hidden="false" customHeight="false" outlineLevel="0" collapsed="false">
      <c r="A8" s="0" t="s">
        <v>709</v>
      </c>
      <c r="B8" s="3" t="s">
        <v>711</v>
      </c>
      <c r="C8" s="17" t="n">
        <v>181.35</v>
      </c>
      <c r="D8" s="17" t="n">
        <f aca="false">'4. The rate card'!$D$11</f>
        <v>181.347643076923</v>
      </c>
      <c r="E8" s="17" t="n">
        <f aca="false">D8-C8</f>
        <v>-0.00235692307691693</v>
      </c>
      <c r="F8" s="0" t="str">
        <f aca="false">IF(ABS(E8)&lt;=0.01,"reproduced",IF(ABS(E8)&lt;=0.01*3,"rounding","to check"))</f>
        <v>reproduced</v>
      </c>
    </row>
    <row r="9" customFormat="false" ht="15" hidden="false" customHeight="false" outlineLevel="0" collapsed="false">
      <c r="A9" s="0" t="s">
        <v>712</v>
      </c>
      <c r="B9" s="3" t="s">
        <v>713</v>
      </c>
      <c r="C9" s="17" t="n">
        <v>173.61</v>
      </c>
      <c r="D9" s="17" t="n">
        <f aca="false">'5. RevPAB'!B7</f>
        <v>173.613528794978</v>
      </c>
      <c r="E9" s="17" t="n">
        <f aca="false">D9-C9</f>
        <v>0.00352879497845038</v>
      </c>
      <c r="F9" s="0" t="str">
        <f aca="false">IF(ABS(E9)&lt;=0.01,"reproduced",IF(ABS(E9)&lt;=0.01*3,"rounding","to check"))</f>
        <v>reproduced</v>
      </c>
    </row>
    <row r="10" customFormat="false" ht="15" hidden="false" customHeight="false" outlineLevel="0" collapsed="false">
      <c r="A10" s="0" t="s">
        <v>712</v>
      </c>
      <c r="B10" s="3" t="s">
        <v>714</v>
      </c>
      <c r="C10" s="56" t="n">
        <v>0.1004</v>
      </c>
      <c r="D10" s="56" t="n">
        <f aca="false">'5. RevPAB'!B9</f>
        <v>0.1003763256</v>
      </c>
      <c r="E10" s="56" t="n">
        <f aca="false">D10-C10</f>
        <v>-2.36744000000205E-005</v>
      </c>
      <c r="F10" s="0" t="str">
        <f aca="false">IF(ABS(E10)&lt;=0.0001,"reproduced",IF(ABS(E10)&lt;=0.0001*3,"rounding","to check"))</f>
        <v>reproduced</v>
      </c>
    </row>
    <row r="11" customFormat="false" ht="15" hidden="false" customHeight="false" outlineLevel="0" collapsed="false">
      <c r="A11" s="0" t="s">
        <v>715</v>
      </c>
      <c r="B11" s="3" t="s">
        <v>716</v>
      </c>
      <c r="C11" s="17" t="n">
        <v>133304</v>
      </c>
      <c r="D11" s="17" t="n">
        <f aca="false">'6. The summer'!$B$8</f>
        <v>133303.57469184</v>
      </c>
      <c r="E11" s="17" t="n">
        <f aca="false">D11-C11</f>
        <v>-0.425308160018176</v>
      </c>
      <c r="F11" s="0" t="str">
        <f aca="false">IF(ABS(E11)&lt;=1,"reproduced",IF(ABS(E11)&lt;=1*3,"rounding","to check"))</f>
        <v>reproduced</v>
      </c>
    </row>
    <row r="12" customFormat="false" ht="15" hidden="false" customHeight="false" outlineLevel="0" collapsed="false">
      <c r="A12" s="0" t="s">
        <v>715</v>
      </c>
      <c r="B12" s="3" t="s">
        <v>717</v>
      </c>
      <c r="C12" s="17" t="n">
        <v>73317</v>
      </c>
      <c r="D12" s="17" t="n">
        <f aca="false">'6. The summer'!B10</f>
        <v>73316.966080512</v>
      </c>
      <c r="E12" s="17" t="n">
        <f aca="false">D12-C12</f>
        <v>-0.0339194880216382</v>
      </c>
      <c r="F12" s="0" t="str">
        <f aca="false">IF(ABS(E12)&lt;=1,"reproduced",IF(ABS(E12)&lt;=1*3,"rounding","to check"))</f>
        <v>reproduced</v>
      </c>
    </row>
    <row r="13" customFormat="false" ht="15" hidden="false" customHeight="false" outlineLevel="0" collapsed="false">
      <c r="A13" s="0" t="s">
        <v>718</v>
      </c>
      <c r="B13" s="3" t="s">
        <v>719</v>
      </c>
      <c r="C13" s="17" t="n">
        <v>1263267</v>
      </c>
      <c r="D13" s="17" t="n">
        <f aca="false">'7. The cost base'!$C$13</f>
        <v>1263266.60861133</v>
      </c>
      <c r="E13" s="17" t="n">
        <f aca="false">D13-C13</f>
        <v>-0.39138867193833</v>
      </c>
      <c r="F13" s="0" t="str">
        <f aca="false">IF(ABS(E13)&lt;=1,"reproduced",IF(ABS(E13)&lt;=1*3,"rounding","to check"))</f>
        <v>reproduced</v>
      </c>
    </row>
    <row r="14" customFormat="false" ht="15" hidden="false" customHeight="false" outlineLevel="0" collapsed="false">
      <c r="A14" s="0" t="s">
        <v>718</v>
      </c>
      <c r="B14" s="3" t="s">
        <v>720</v>
      </c>
      <c r="C14" s="17" t="n">
        <v>143695</v>
      </c>
      <c r="D14" s="17" t="n">
        <f aca="false">'7. The cost base'!$C$15</f>
        <v>143695.338973233</v>
      </c>
      <c r="E14" s="17" t="n">
        <f aca="false">D14-C14</f>
        <v>0.338973233156139</v>
      </c>
      <c r="F14" s="0" t="str">
        <f aca="false">IF(ABS(E14)&lt;=1,"reproduced",IF(ABS(E14)&lt;=1*3,"rounding","to check"))</f>
        <v>reproduced</v>
      </c>
    </row>
    <row r="15" customFormat="false" ht="15" hidden="false" customHeight="false" outlineLevel="0" collapsed="false">
      <c r="A15" s="0" t="s">
        <v>718</v>
      </c>
      <c r="B15" s="3" t="s">
        <v>721</v>
      </c>
      <c r="C15" s="17" t="n">
        <v>2698619</v>
      </c>
      <c r="D15" s="17" t="n">
        <f aca="false">'7. The cost base'!$C$18</f>
        <v>2698619.16593639</v>
      </c>
      <c r="E15" s="17" t="n">
        <f aca="false">D15-C15</f>
        <v>0.165936386212707</v>
      </c>
      <c r="F15" s="0" t="str">
        <f aca="false">IF(ABS(E15)&lt;=2,"reproduced",IF(ABS(E15)&lt;=2*3,"rounding","to check"))</f>
        <v>reproduced</v>
      </c>
    </row>
    <row r="16" customFormat="false" ht="15" hidden="false" customHeight="false" outlineLevel="0" collapsed="false">
      <c r="A16" s="0" t="s">
        <v>722</v>
      </c>
      <c r="B16" s="3" t="s">
        <v>723</v>
      </c>
      <c r="C16" s="17" t="n">
        <v>378710</v>
      </c>
      <c r="D16" s="17" t="n">
        <f aca="false">'8. Capital expenditure'!$C$8</f>
        <v>378710.191566614</v>
      </c>
      <c r="E16" s="17" t="n">
        <f aca="false">D16-C16</f>
        <v>0.191566613968462</v>
      </c>
      <c r="F16" s="0" t="str">
        <f aca="false">IF(ABS(E16)&lt;=2,"reproduced",IF(ABS(E16)&lt;=2*3,"rounding","to check"))</f>
        <v>reproduced</v>
      </c>
    </row>
    <row r="17" customFormat="false" ht="15" hidden="false" customHeight="false" outlineLevel="0" collapsed="false">
      <c r="A17" s="0" t="s">
        <v>722</v>
      </c>
      <c r="B17" s="3" t="s">
        <v>276</v>
      </c>
      <c r="C17" s="56" t="n">
        <v>0.0545</v>
      </c>
      <c r="D17" s="56" t="n">
        <f aca="false">'8. Capital expenditure'!$C$10</f>
        <v>0.0545</v>
      </c>
      <c r="E17" s="56" t="n">
        <f aca="false">D17-C17</f>
        <v>0</v>
      </c>
      <c r="F17" s="0" t="str">
        <f aca="false">IF(ABS(E17)&lt;=0.000005,"reproduced",IF(ABS(E17)&lt;=0.000005*3,"rounding","to check"))</f>
        <v>reproduced</v>
      </c>
    </row>
    <row r="18" customFormat="false" ht="15" hidden="false" customHeight="false" outlineLevel="0" collapsed="false">
      <c r="A18" s="0" t="s">
        <v>722</v>
      </c>
      <c r="B18" s="3" t="s">
        <v>277</v>
      </c>
      <c r="C18" s="56" t="n">
        <v>0.046852</v>
      </c>
      <c r="D18" s="56" t="n">
        <f aca="false">'8. Capital expenditure'!$C$11</f>
        <v>0.0468517531851447</v>
      </c>
      <c r="E18" s="56" t="n">
        <f aca="false">D18-C18</f>
        <v>-2.46814855296706E-007</v>
      </c>
      <c r="F18" s="0" t="str">
        <f aca="false">IF(ABS(E18)&lt;=0.000005,"reproduced",IF(ABS(E18)&lt;=0.000005*3,"rounding","to check"))</f>
        <v>reproduced</v>
      </c>
    </row>
    <row r="19" customFormat="false" ht="15" hidden="false" customHeight="false" outlineLevel="0" collapsed="false">
      <c r="A19" s="0" t="s">
        <v>724</v>
      </c>
      <c r="B19" s="3" t="s">
        <v>725</v>
      </c>
      <c r="C19" s="17" t="n">
        <v>2574859</v>
      </c>
      <c r="D19" s="17" t="n">
        <f aca="false">'9. Ten-year cash flow'!G5</f>
        <v>2574859.16593639</v>
      </c>
      <c r="E19" s="17" t="n">
        <f aca="false">D19-C19</f>
        <v>0.165936386212707</v>
      </c>
      <c r="F19" s="0" t="str">
        <f aca="false">IF(ABS(E19)&lt;=2,"reproduced",IF(ABS(E19)&lt;=2*3,"rounding","to check"))</f>
        <v>reproduced</v>
      </c>
    </row>
    <row r="20" customFormat="false" ht="15" hidden="false" customHeight="false" outlineLevel="0" collapsed="false">
      <c r="A20" s="0" t="s">
        <v>724</v>
      </c>
      <c r="B20" s="3" t="s">
        <v>726</v>
      </c>
      <c r="C20" s="17" t="n">
        <v>895026</v>
      </c>
      <c r="D20" s="17" t="n">
        <f aca="false">'9. Ten-year cash flow'!G8</f>
        <v>895025.931563567</v>
      </c>
      <c r="E20" s="17" t="n">
        <f aca="false">D20-C20</f>
        <v>-0.0684364326298237</v>
      </c>
      <c r="F20" s="0" t="str">
        <f aca="false">IF(ABS(E20)&lt;=2,"reproduced",IF(ABS(E20)&lt;=2*3,"rounding","to check"))</f>
        <v>reproduced</v>
      </c>
    </row>
    <row r="21" customFormat="false" ht="15" hidden="false" customHeight="false" outlineLevel="0" collapsed="false">
      <c r="A21" s="0" t="s">
        <v>724</v>
      </c>
      <c r="B21" s="3" t="s">
        <v>727</v>
      </c>
      <c r="C21" s="17" t="n">
        <v>3711318</v>
      </c>
      <c r="D21" s="17" t="n">
        <f aca="false">'10. The exit and the value'!B4</f>
        <v>3711317.51956215</v>
      </c>
      <c r="E21" s="17" t="n">
        <f aca="false">D21-C21</f>
        <v>-0.480437853839248</v>
      </c>
      <c r="F21" s="0" t="str">
        <f aca="false">IF(ABS(E21)&lt;=2,"reproduced",IF(ABS(E21)&lt;=2*3,"rounding","to check"))</f>
        <v>reproduced</v>
      </c>
    </row>
    <row r="22" customFormat="false" ht="15" hidden="false" customHeight="false" outlineLevel="0" collapsed="false">
      <c r="A22" s="0" t="s">
        <v>724</v>
      </c>
      <c r="B22" s="3" t="s">
        <v>728</v>
      </c>
      <c r="C22" s="17" t="n">
        <v>55992423</v>
      </c>
      <c r="D22" s="17" t="n">
        <f aca="false">'10. The exit and the value'!$B$9</f>
        <v>55992423.443845</v>
      </c>
      <c r="E22" s="17" t="n">
        <f aca="false">D22-C22</f>
        <v>0.443845011293888</v>
      </c>
      <c r="F22" s="0" t="str">
        <f aca="false">IF(ABS(E22)&lt;=5,"reproduced",IF(ABS(E22)&lt;=5*3,"rounding","to check"))</f>
        <v>reproduced</v>
      </c>
    </row>
    <row r="23" customFormat="false" ht="15" hidden="false" customHeight="false" outlineLevel="0" collapsed="false">
      <c r="A23" s="0" t="s">
        <v>729</v>
      </c>
      <c r="B23" s="3" t="s">
        <v>314</v>
      </c>
      <c r="C23" s="56" t="n">
        <v>0.5885</v>
      </c>
      <c r="D23" s="56" t="n">
        <f aca="false">'10. The exit and the value'!$B$14</f>
        <v>0.588472409987639</v>
      </c>
      <c r="E23" s="56" t="n">
        <f aca="false">D23-C23</f>
        <v>-2.75900123613004E-005</v>
      </c>
      <c r="F23" s="0" t="str">
        <f aca="false">IF(ABS(E23)&lt;=0.0001,"reproduced",IF(ABS(E23)&lt;=0.0001*3,"rounding","to check"))</f>
        <v>reproduced</v>
      </c>
    </row>
    <row r="24" customFormat="false" ht="15" hidden="false" customHeight="false" outlineLevel="0" collapsed="false">
      <c r="A24" s="0" t="s">
        <v>730</v>
      </c>
      <c r="B24" s="3" t="s">
        <v>731</v>
      </c>
      <c r="C24" s="17" t="n">
        <v>44482451</v>
      </c>
      <c r="D24" s="17" t="n">
        <f aca="false">'10. The exit and the value'!$B$13</f>
        <v>44482451.2953527</v>
      </c>
      <c r="E24" s="17" t="n">
        <f aca="false">D24-C24</f>
        <v>0.295352682471275</v>
      </c>
      <c r="F24" s="0" t="str">
        <f aca="false">IF(ABS(E24)&lt;=20,"reproduced",IF(ABS(E24)&lt;=20*3,"rounding","to check"))</f>
        <v>reproduced</v>
      </c>
    </row>
    <row r="25" customFormat="false" ht="15" hidden="false" customHeight="false" outlineLevel="0" collapsed="false">
      <c r="A25" s="0" t="s">
        <v>730</v>
      </c>
      <c r="B25" s="3" t="s">
        <v>732</v>
      </c>
      <c r="C25" s="17" t="n">
        <v>41728378</v>
      </c>
      <c r="D25" s="17" t="n">
        <f aca="false">'10. The exit and the value'!$B$17</f>
        <v>41728378.3258468</v>
      </c>
      <c r="E25" s="17" t="n">
        <f aca="false">D25-C25</f>
        <v>0.325846791267395</v>
      </c>
      <c r="F25" s="0" t="str">
        <f aca="false">IF(ABS(E25)&lt;=20,"reproduced",IF(ABS(E25)&lt;=20*3,"rounding","to check"))</f>
        <v>reproduced</v>
      </c>
    </row>
    <row r="26" customFormat="false" ht="15" hidden="false" customHeight="false" outlineLevel="0" collapsed="false">
      <c r="A26" s="0" t="s">
        <v>730</v>
      </c>
      <c r="B26" s="3" t="s">
        <v>733</v>
      </c>
      <c r="C26" s="56" t="n">
        <v>0.1017</v>
      </c>
      <c r="D26" s="56" t="n">
        <f aca="false">'10. The exit and the value'!$B$18</f>
        <v>0.101654051005925</v>
      </c>
      <c r="E26" s="56" t="n">
        <f aca="false">D26-C26</f>
        <v>-4.59489940749375E-005</v>
      </c>
      <c r="F26" s="0" t="str">
        <f aca="false">IF(ABS(E26)&lt;=0.0005,"reproduced",IF(ABS(E26)&lt;=0.0005*3,"rounding","to check"))</f>
        <v>reproduced</v>
      </c>
    </row>
    <row r="27" customFormat="false" ht="15" hidden="false" customHeight="false" outlineLevel="0" collapsed="false">
      <c r="A27" s="0" t="s">
        <v>734</v>
      </c>
      <c r="B27" s="3" t="s">
        <v>735</v>
      </c>
      <c r="C27" s="17" t="n">
        <v>754406</v>
      </c>
      <c r="D27" s="17" t="n">
        <f aca="false">'13. What a point is worth'!B70</f>
        <v>754406.1952</v>
      </c>
      <c r="E27" s="17" t="n">
        <f aca="false">D27-C27</f>
        <v>0.195199999958277</v>
      </c>
      <c r="F27" s="0" t="str">
        <f aca="false">IF(ABS(E27)&lt;=1,"reproduced",IF(ABS(E27)&lt;=1*3,"rounding","to check"))</f>
        <v>reproduced</v>
      </c>
    </row>
    <row r="28" customFormat="false" ht="15" hidden="false" customHeight="false" outlineLevel="0" collapsed="false">
      <c r="A28" s="0" t="s">
        <v>734</v>
      </c>
      <c r="B28" s="3" t="s">
        <v>736</v>
      </c>
      <c r="C28" s="17" t="n">
        <v>327152</v>
      </c>
      <c r="D28" s="17" t="n">
        <f aca="false">'13. What a point is worth'!B65</f>
        <v>327151.528607738</v>
      </c>
      <c r="E28" s="17" t="n">
        <f aca="false">D28-C28</f>
        <v>-0.471392262494192</v>
      </c>
      <c r="F28" s="0" t="str">
        <f aca="false">IF(ABS(E28)&lt;=1,"reproduced",IF(ABS(E28)&lt;=1*3,"rounding","to check"))</f>
        <v>reproduced</v>
      </c>
    </row>
    <row r="29" customFormat="false" ht="15" hidden="false" customHeight="false" outlineLevel="0" collapsed="false">
      <c r="A29" s="0" t="s">
        <v>734</v>
      </c>
      <c r="B29" s="3" t="s">
        <v>737</v>
      </c>
      <c r="C29" s="17" t="n">
        <v>233840</v>
      </c>
      <c r="D29" s="17" t="n">
        <f aca="false">'13. What a point is worth'!B66</f>
        <v>233839.84</v>
      </c>
      <c r="E29" s="17" t="n">
        <f aca="false">D29-C29</f>
        <v>-0.160000000003492</v>
      </c>
      <c r="F29" s="0" t="str">
        <f aca="false">IF(ABS(E29)&lt;=1,"reproduced",IF(ABS(E29)&lt;=1*3,"rounding","to check"))</f>
        <v>reproduced</v>
      </c>
    </row>
    <row r="30" customFormat="false" ht="15" hidden="false" customHeight="false" outlineLevel="0" collapsed="false">
      <c r="A30" s="0" t="s">
        <v>734</v>
      </c>
      <c r="B30" s="3" t="s">
        <v>738</v>
      </c>
      <c r="C30" s="17" t="n">
        <v>77553</v>
      </c>
      <c r="D30" s="17" t="n">
        <f aca="false">'13. What a point is worth'!B67</f>
        <v>77552.982936</v>
      </c>
      <c r="E30" s="17" t="n">
        <f aca="false">D30-C30</f>
        <v>-0.0170639999996638</v>
      </c>
      <c r="F30" s="0" t="str">
        <f aca="false">IF(ABS(E30)&lt;=1,"reproduced",IF(ABS(E30)&lt;=1*3,"rounding","to check"))</f>
        <v>reproduced</v>
      </c>
    </row>
    <row r="31" customFormat="false" ht="15" hidden="false" customHeight="false" outlineLevel="0" collapsed="false">
      <c r="A31" s="0" t="s">
        <v>734</v>
      </c>
      <c r="B31" s="3" t="s">
        <v>443</v>
      </c>
      <c r="C31" s="17" t="n">
        <v>2492</v>
      </c>
      <c r="D31" s="17" t="n">
        <f aca="false">'13. What a point is worth'!B68</f>
        <v>2491.8889424</v>
      </c>
      <c r="E31" s="17" t="n">
        <f aca="false">D31-C31</f>
        <v>-0.111057599997821</v>
      </c>
      <c r="F31" s="0" t="str">
        <f aca="false">IF(ABS(E31)&lt;=1,"reproduced",IF(ABS(E31)&lt;=1*3,"rounding","to check"))</f>
        <v>reproduced</v>
      </c>
    </row>
    <row r="32" customFormat="false" ht="15" hidden="false" customHeight="false" outlineLevel="0" collapsed="false">
      <c r="A32" s="0" t="s">
        <v>734</v>
      </c>
      <c r="B32" s="3" t="s">
        <v>444</v>
      </c>
      <c r="C32" s="17" t="n">
        <v>13267</v>
      </c>
      <c r="D32" s="17" t="n">
        <f aca="false">'13. What a point is worth'!B69</f>
        <v>13266.8167293376</v>
      </c>
      <c r="E32" s="17" t="n">
        <f aca="false">D32-C32</f>
        <v>-0.183270662399082</v>
      </c>
      <c r="F32" s="0" t="str">
        <f aca="false">IF(ABS(E32)&lt;=1,"reproduced",IF(ABS(E32)&lt;=1*3,"rounding","to check"))</f>
        <v>reproduced</v>
      </c>
    </row>
    <row r="33" customFormat="false" ht="15" hidden="false" customHeight="false" outlineLevel="0" collapsed="false">
      <c r="A33" s="0" t="s">
        <v>734</v>
      </c>
      <c r="B33" s="3" t="s">
        <v>739</v>
      </c>
      <c r="C33" s="17" t="n">
        <v>29821</v>
      </c>
      <c r="D33" s="17" t="n">
        <f aca="false">'6. The summer'!B20</f>
        <v>29821.303631872</v>
      </c>
      <c r="E33" s="17" t="n">
        <f aca="false">D33-C33</f>
        <v>0.303631871982361</v>
      </c>
      <c r="F33" s="0" t="str">
        <f aca="false">IF(ABS(E33)&lt;=1,"reproduced",IF(ABS(E33)&lt;=1*3,"rounding","to check"))</f>
        <v>reproduced</v>
      </c>
    </row>
    <row r="34" customFormat="false" ht="15" hidden="false" customHeight="false" outlineLevel="0" collapsed="false">
      <c r="A34" s="0" t="s">
        <v>706</v>
      </c>
      <c r="B34" s="3" t="s">
        <v>740</v>
      </c>
      <c r="C34" s="17" t="n">
        <v>8124</v>
      </c>
      <c r="D34" s="17" t="n">
        <f aca="false">'18. Affordability and the hold'!C13</f>
        <v>8124.07335384615</v>
      </c>
      <c r="E34" s="17" t="n">
        <f aca="false">D34-C34</f>
        <v>0.0733538461536227</v>
      </c>
      <c r="F34" s="0" t="str">
        <f aca="false">IF(ABS(E34)&lt;=0.5,"reproduced",IF(ABS(E34)&lt;=0.5*3,"rounding","to check"))</f>
        <v>reproduced</v>
      </c>
    </row>
    <row r="35" customFormat="false" ht="15" hidden="false" customHeight="false" outlineLevel="0" collapsed="false">
      <c r="A35" s="0" t="s">
        <v>706</v>
      </c>
      <c r="B35" s="3" t="s">
        <v>741</v>
      </c>
      <c r="C35" s="56" t="n">
        <v>0.75</v>
      </c>
      <c r="D35" s="56" t="n">
        <f aca="false">'18. Affordability and the hold'!D13</f>
        <v>0.750145277363449</v>
      </c>
      <c r="E35" s="56" t="n">
        <f aca="false">D35-C35</f>
        <v>0.000145277363449048</v>
      </c>
      <c r="F35" s="0" t="str">
        <f aca="false">IF(ABS(E35)&lt;=0.0005,"reproduced",IF(ABS(E35)&lt;=0.0005*3,"rounding","to check"))</f>
        <v>reproduced</v>
      </c>
    </row>
    <row r="36" customFormat="false" ht="15" hidden="false" customHeight="false" outlineLevel="0" collapsed="false">
      <c r="A36" s="0" t="s">
        <v>706</v>
      </c>
      <c r="B36" s="3" t="s">
        <v>742</v>
      </c>
      <c r="C36" s="37" t="n">
        <v>61</v>
      </c>
      <c r="D36" s="37" t="n">
        <f aca="false">'18. Affordability and the hold'!B15</f>
        <v>61.4983328671329</v>
      </c>
      <c r="E36" s="37" t="n">
        <f aca="false">D36-C36</f>
        <v>0.498332867132874</v>
      </c>
      <c r="F36" s="0" t="str">
        <f aca="false">IF(ABS(E36)&lt;=0.5,"reproduced",IF(ABS(E36)&lt;=0.5*3,"rounding","to check"))</f>
        <v>reproduced</v>
      </c>
    </row>
    <row r="37" customFormat="false" ht="15" hidden="false" customHeight="false" outlineLevel="0" collapsed="false">
      <c r="A37" s="0" t="s">
        <v>706</v>
      </c>
      <c r="B37" s="3" t="s">
        <v>743</v>
      </c>
      <c r="C37" s="37" t="n">
        <v>1.609</v>
      </c>
      <c r="D37" s="37" t="n">
        <f aca="false">'18. Affordability and the hold'!B16</f>
        <v>1.60936476898696</v>
      </c>
      <c r="E37" s="37" t="n">
        <f aca="false">D37-C37</f>
        <v>0.000364768986955921</v>
      </c>
      <c r="F37" s="0" t="str">
        <f aca="false">IF(ABS(E37)&lt;=0.0005,"reproduced",IF(ABS(E37)&lt;=0.0005*3,"rounding","to check"))</f>
        <v>reproduced</v>
      </c>
    </row>
    <row r="38" customFormat="false" ht="15" hidden="false" customHeight="false" outlineLevel="0" collapsed="false">
      <c r="A38" s="0" t="s">
        <v>709</v>
      </c>
      <c r="B38" s="3" t="s">
        <v>447</v>
      </c>
      <c r="C38" s="17" t="n">
        <v>266254</v>
      </c>
      <c r="D38" s="17" t="n">
        <f aca="false">'13. What a point is worth'!B73</f>
        <v>266253.9264</v>
      </c>
      <c r="E38" s="17" t="n">
        <f aca="false">D38-C38</f>
        <v>-0.0736000001197681</v>
      </c>
      <c r="F38" s="0" t="str">
        <f aca="false">IF(ABS(E38)&lt;=1,"reproduced",IF(ABS(E38)&lt;=1*3,"rounding","to check"))</f>
        <v>reproduced</v>
      </c>
    </row>
    <row r="39" customFormat="false" ht="15" hidden="false" customHeight="false" outlineLevel="0" collapsed="false">
      <c r="A39" s="0" t="s">
        <v>709</v>
      </c>
      <c r="B39" s="3" t="s">
        <v>448</v>
      </c>
      <c r="C39" s="17" t="n">
        <v>75284</v>
      </c>
      <c r="D39" s="17" t="n">
        <f aca="false">'13. What a point is worth'!B74</f>
        <v>75284.0704</v>
      </c>
      <c r="E39" s="17" t="n">
        <f aca="false">D39-C39</f>
        <v>0.0703999999968801</v>
      </c>
      <c r="F39" s="0" t="str">
        <f aca="false">IF(ABS(E39)&lt;=1,"reproduced",IF(ABS(E39)&lt;=1*3,"rounding","to check"))</f>
        <v>reproduced</v>
      </c>
    </row>
    <row r="40" customFormat="false" ht="15" hidden="false" customHeight="false" outlineLevel="0" collapsed="false">
      <c r="A40" s="0" t="s">
        <v>709</v>
      </c>
      <c r="B40" s="3" t="s">
        <v>449</v>
      </c>
      <c r="C40" s="17" t="n">
        <v>44181</v>
      </c>
      <c r="D40" s="17" t="n">
        <f aca="false">'13. What a point is worth'!B75</f>
        <v>44181.0444156928</v>
      </c>
      <c r="E40" s="17" t="n">
        <f aca="false">D40-C40</f>
        <v>0.0444156927987933</v>
      </c>
      <c r="F40" s="0" t="str">
        <f aca="false">IF(ABS(E40)&lt;=1,"reproduced",IF(ABS(E40)&lt;=1*3,"rounding","to check"))</f>
        <v>reproduced</v>
      </c>
    </row>
    <row r="41" customFormat="false" ht="15" hidden="false" customHeight="false" outlineLevel="0" collapsed="false">
      <c r="A41" s="0" t="s">
        <v>709</v>
      </c>
      <c r="B41" s="3" t="s">
        <v>744</v>
      </c>
      <c r="C41" s="56" t="n">
        <v>0.051</v>
      </c>
      <c r="D41" s="56" t="n">
        <f aca="false">'13. What a point is worth'!B85</f>
        <v>0.05105</v>
      </c>
      <c r="E41" s="56" t="n">
        <f aca="false">D41-C41</f>
        <v>5.00000000000014E-005</v>
      </c>
      <c r="F41" s="0" t="str">
        <f aca="false">IF(ABS(E41)&lt;=0.0005,"reproduced",IF(ABS(E41)&lt;=0.0005*3,"rounding","to check"))</f>
        <v>reproduced</v>
      </c>
    </row>
    <row r="42" customFormat="false" ht="15" hidden="false" customHeight="false" outlineLevel="0" collapsed="false">
      <c r="A42" s="0" t="s">
        <v>709</v>
      </c>
      <c r="B42" s="3" t="s">
        <v>745</v>
      </c>
      <c r="C42" s="56" t="n">
        <v>0.07</v>
      </c>
      <c r="D42" s="56" t="n">
        <f aca="false">'13. What a point is worth'!C85</f>
        <v>0.06955</v>
      </c>
      <c r="E42" s="56" t="n">
        <f aca="false">D42-C42</f>
        <v>-0.000450000000000006</v>
      </c>
      <c r="F42" s="0" t="str">
        <f aca="false">IF(ABS(E42)&lt;=0.0005,"reproduced",IF(ABS(E42)&lt;=0.0005*3,"rounding","to check"))</f>
        <v>reproduced</v>
      </c>
    </row>
    <row r="43" customFormat="false" ht="15" hidden="false" customHeight="false" outlineLevel="0" collapsed="false">
      <c r="A43" s="0" t="s">
        <v>746</v>
      </c>
      <c r="B43" s="3" t="s">
        <v>747</v>
      </c>
      <c r="C43" s="56" t="n">
        <v>-0.02</v>
      </c>
      <c r="D43" s="56" t="n">
        <f aca="false">'12. Rate and occupancy'!B4</f>
        <v>-0.02</v>
      </c>
      <c r="E43" s="56" t="n">
        <f aca="false">D43-C43</f>
        <v>0</v>
      </c>
      <c r="F43" s="0" t="str">
        <f aca="false">IF(ABS(E43)&lt;=0.00005,"reproduced",IF(ABS(E43)&lt;=0.00005*3,"rounding","to check"))</f>
        <v>reproduced</v>
      </c>
    </row>
    <row r="44" customFormat="false" ht="15" hidden="false" customHeight="false" outlineLevel="0" collapsed="false">
      <c r="A44" s="0" t="s">
        <v>746</v>
      </c>
      <c r="B44" s="3" t="s">
        <v>748</v>
      </c>
      <c r="C44" s="56" t="n">
        <v>0.0652</v>
      </c>
      <c r="D44" s="56" t="n">
        <f aca="false">'12. Rate and occupancy'!B5</f>
        <v>0.0651851851851852</v>
      </c>
      <c r="E44" s="56" t="n">
        <f aca="false">D44-C44</f>
        <v>-1.48148148148425E-005</v>
      </c>
      <c r="F44" s="0" t="str">
        <f aca="false">IF(ABS(E44)&lt;=0.00005,"reproduced",IF(ABS(E44)&lt;=0.00005*3,"rounding","to check"))</f>
        <v>reproduced</v>
      </c>
    </row>
    <row r="45" customFormat="false" ht="15" hidden="false" customHeight="false" outlineLevel="0" collapsed="false">
      <c r="A45" s="0" t="s">
        <v>746</v>
      </c>
      <c r="B45" s="3" t="s">
        <v>749</v>
      </c>
      <c r="C45" s="17" t="n">
        <v>174.89</v>
      </c>
      <c r="D45" s="17" t="n">
        <f aca="false">'12. Rate and occupancy'!E8</f>
        <v>174.8869338099</v>
      </c>
      <c r="E45" s="17" t="n">
        <f aca="false">D45-C45</f>
        <v>-0.00306619009967335</v>
      </c>
      <c r="F45" s="0" t="str">
        <f aca="false">IF(ABS(E45)&lt;=0.005,"reproduced",IF(ABS(E45)&lt;=0.005*3,"rounding","to check"))</f>
        <v>reproduced</v>
      </c>
    </row>
    <row r="46" customFormat="false" ht="15" hidden="false" customHeight="false" outlineLevel="0" collapsed="false">
      <c r="A46" s="0" t="s">
        <v>746</v>
      </c>
      <c r="B46" s="3" t="s">
        <v>750</v>
      </c>
      <c r="C46" s="17" t="n">
        <v>168.12</v>
      </c>
      <c r="D46" s="17" t="n">
        <f aca="false">'12. Rate and occupancy'!E14</f>
        <v>168.118689836484</v>
      </c>
      <c r="E46" s="17" t="n">
        <f aca="false">D46-C46</f>
        <v>-0.0013101635157966</v>
      </c>
      <c r="F46" s="0" t="str">
        <f aca="false">IF(ABS(E46)&lt;=0.005,"reproduced",IF(ABS(E46)&lt;=0.005*3,"rounding","to check"))</f>
        <v>reproduced</v>
      </c>
    </row>
    <row r="47" customFormat="false" ht="15" hidden="false" customHeight="false" outlineLevel="0" collapsed="false">
      <c r="A47" s="0" t="s">
        <v>746</v>
      </c>
      <c r="B47" s="3" t="s">
        <v>751</v>
      </c>
      <c r="C47" s="56" t="n">
        <v>0.0073</v>
      </c>
      <c r="D47" s="56" t="n">
        <f aca="false">'12. Rate and occupancy'!F8</f>
        <v>0.00733471074380176</v>
      </c>
      <c r="E47" s="56" t="n">
        <f aca="false">D47-C47</f>
        <v>3.47107438017644E-005</v>
      </c>
      <c r="F47" s="0" t="str">
        <f aca="false">IF(ABS(E47)&lt;=0.00005,"reproduced",IF(ABS(E47)&lt;=0.00005*3,"rounding","to check"))</f>
        <v>reproduced</v>
      </c>
    </row>
    <row r="48" customFormat="false" ht="15" hidden="false" customHeight="false" outlineLevel="0" collapsed="false">
      <c r="A48" s="0" t="s">
        <v>746</v>
      </c>
      <c r="B48" s="3" t="s">
        <v>752</v>
      </c>
      <c r="C48" s="56" t="n">
        <v>-0.0316</v>
      </c>
      <c r="D48" s="56" t="n">
        <f aca="false">'12. Rate and occupancy'!F14</f>
        <v>-0.0316498316498316</v>
      </c>
      <c r="E48" s="56" t="n">
        <f aca="false">D48-C48</f>
        <v>-4.98316498315915E-005</v>
      </c>
      <c r="F48" s="0" t="str">
        <f aca="false">IF(ABS(E48)&lt;=0.00005,"reproduced",IF(ABS(E48)&lt;=0.00005*3,"rounding","to check"))</f>
        <v>reproduced</v>
      </c>
    </row>
    <row r="49" customFormat="false" ht="15" hidden="false" customHeight="false" outlineLevel="0" collapsed="false">
      <c r="A49" s="0" t="s">
        <v>746</v>
      </c>
      <c r="B49" s="3" t="s">
        <v>753</v>
      </c>
      <c r="C49" s="56" t="n">
        <v>0.0387</v>
      </c>
      <c r="D49" s="56" t="n">
        <f aca="false">'12. Rate and occupancy'!B17</f>
        <v>0.0387006840703896</v>
      </c>
      <c r="E49" s="56" t="n">
        <f aca="false">D49-C49</f>
        <v>6.8407038962548E-007</v>
      </c>
      <c r="F49" s="0" t="str">
        <f aca="false">IF(ABS(E49)&lt;=0.00005,"reproduced",IF(ABS(E49)&lt;=0.00005*3,"rounding","to check"))</f>
        <v>reproduced</v>
      </c>
    </row>
    <row r="50" customFormat="false" ht="15" hidden="false" customHeight="false" outlineLevel="0" collapsed="false">
      <c r="A50" s="0" t="s">
        <v>746</v>
      </c>
      <c r="B50" s="3" t="s">
        <v>754</v>
      </c>
      <c r="C50" s="37" t="n">
        <v>62</v>
      </c>
      <c r="D50" s="37" t="n">
        <f aca="false">'12. Rate and occupancy'!B18</f>
        <v>62.4</v>
      </c>
      <c r="E50" s="37" t="n">
        <f aca="false">D50-C50</f>
        <v>0.399999999999999</v>
      </c>
      <c r="F50" s="0" t="str">
        <f aca="false">IF(ABS(E50)&lt;=0.5,"reproduced",IF(ABS(E50)&lt;=0.5*3,"rounding","to check"))</f>
        <v>reproduced</v>
      </c>
    </row>
    <row r="51" customFormat="false" ht="15" hidden="false" customHeight="false" outlineLevel="0" collapsed="false">
      <c r="A51" s="0" t="s">
        <v>746</v>
      </c>
      <c r="B51" s="3" t="s">
        <v>755</v>
      </c>
      <c r="C51" s="56" t="n">
        <v>-0.0245</v>
      </c>
      <c r="D51" s="56" t="n">
        <f aca="false">'12. Rate and occupancy'!E21</f>
        <v>-0.024483347797787</v>
      </c>
      <c r="E51" s="56" t="n">
        <f aca="false">D51-C51</f>
        <v>1.66522022129537E-005</v>
      </c>
      <c r="F51" s="0" t="str">
        <f aca="false">IF(ABS(E51)&lt;=0.00005,"reproduced",IF(ABS(E51)&lt;=0.00005*3,"rounding","to check"))</f>
        <v>reproduced</v>
      </c>
    </row>
    <row r="52" customFormat="false" ht="15" hidden="false" customHeight="false" outlineLevel="0" collapsed="false">
      <c r="A52" s="0" t="s">
        <v>746</v>
      </c>
      <c r="B52" s="3" t="s">
        <v>756</v>
      </c>
      <c r="C52" s="56" t="n">
        <v>0.011</v>
      </c>
      <c r="D52" s="56" t="n">
        <f aca="false">'12. Rate and occupancy'!E22</f>
        <v>0.011047013071524</v>
      </c>
      <c r="E52" s="56" t="n">
        <f aca="false">D52-C52</f>
        <v>4.7013071524004E-005</v>
      </c>
      <c r="F52" s="0" t="str">
        <f aca="false">IF(ABS(E52)&lt;=0.00005,"reproduced",IF(ABS(E52)&lt;=0.00005*3,"rounding","to check"))</f>
        <v>reproduced</v>
      </c>
    </row>
    <row r="53" customFormat="false" ht="15" hidden="false" customHeight="false" outlineLevel="0" collapsed="false">
      <c r="A53" s="0" t="s">
        <v>746</v>
      </c>
      <c r="B53" s="3" t="s">
        <v>757</v>
      </c>
      <c r="C53" s="56" t="n">
        <v>0.064</v>
      </c>
      <c r="D53" s="56" t="n">
        <f aca="false">'12. Rate and occupancy'!E24</f>
        <v>0.0640276904033598</v>
      </c>
      <c r="E53" s="56" t="n">
        <f aca="false">D53-C53</f>
        <v>2.76904033597591E-005</v>
      </c>
      <c r="F53" s="0" t="str">
        <f aca="false">IF(ABS(E53)&lt;=0.00005,"reproduced",IF(ABS(E53)&lt;=0.00005*3,"rounding","to check"))</f>
        <v>reproduced</v>
      </c>
    </row>
    <row r="54" customFormat="false" ht="15" hidden="false" customHeight="false" outlineLevel="0" collapsed="false">
      <c r="A54" s="0" t="s">
        <v>746</v>
      </c>
      <c r="B54" s="3" t="s">
        <v>758</v>
      </c>
      <c r="C54" s="56" t="n">
        <v>0.0814</v>
      </c>
      <c r="D54" s="56" t="n">
        <f aca="false">'12. Rate and occupancy'!E25</f>
        <v>0.0813671451776205</v>
      </c>
      <c r="E54" s="56" t="n">
        <f aca="false">D54-C54</f>
        <v>-3.28548223795522E-005</v>
      </c>
      <c r="F54" s="0" t="str">
        <f aca="false">IF(ABS(E54)&lt;=0.00005,"reproduced",IF(ABS(E54)&lt;=0.00005*3,"rounding","to check"))</f>
        <v>reproduced</v>
      </c>
    </row>
    <row r="55" customFormat="false" ht="15" hidden="false" customHeight="false" outlineLevel="0" collapsed="false">
      <c r="A55" s="0" t="s">
        <v>746</v>
      </c>
      <c r="B55" s="3" t="s">
        <v>759</v>
      </c>
      <c r="C55" s="56" t="n">
        <v>0.0112</v>
      </c>
      <c r="D55" s="56" t="n">
        <f aca="false">'12. Rate and occupancy'!F22</f>
        <v>0.0111705995108731</v>
      </c>
      <c r="E55" s="56" t="n">
        <f aca="false">D55-C55</f>
        <v>-2.94004891269305E-005</v>
      </c>
      <c r="F55" s="0" t="str">
        <f aca="false">IF(ABS(E55)&lt;=0.00005,"reproduced",IF(ABS(E55)&lt;=0.00005*3,"rounding","to check"))</f>
        <v>reproduced</v>
      </c>
      <c r="H55" s="25" t="s">
        <v>760</v>
      </c>
    </row>
    <row r="56" customFormat="false" ht="15" hidden="false" customHeight="false" outlineLevel="0" collapsed="false">
      <c r="A56" s="0" t="s">
        <v>746</v>
      </c>
      <c r="B56" s="3" t="s">
        <v>761</v>
      </c>
      <c r="C56" s="56" t="n">
        <v>0.907</v>
      </c>
      <c r="D56" s="56" t="n">
        <f aca="false">'12. Rate and occupancy'!B27</f>
        <v>0.907</v>
      </c>
      <c r="E56" s="56" t="n">
        <f aca="false">D56-C56</f>
        <v>0</v>
      </c>
      <c r="F56" s="0" t="str">
        <f aca="false">IF(ABS(E56)&lt;=0.0005,"reproduced",IF(ABS(E56)&lt;=0.0005*3,"rounding","to check"))</f>
        <v>reproduced</v>
      </c>
    </row>
    <row r="57" customFormat="false" ht="15" hidden="false" customHeight="false" outlineLevel="0" collapsed="false">
      <c r="A57" s="0" t="s">
        <v>746</v>
      </c>
      <c r="B57" s="3" t="s">
        <v>762</v>
      </c>
      <c r="C57" s="56" t="n">
        <v>0.00097</v>
      </c>
      <c r="D57" s="56" t="n">
        <f aca="false">'12. Rate and occupancy'!G22</f>
        <v>0.000971356479206354</v>
      </c>
      <c r="E57" s="56" t="n">
        <f aca="false">D57-C57</f>
        <v>1.35647920635384E-006</v>
      </c>
      <c r="F57" s="0" t="str">
        <f aca="false">IF(ABS(E57)&lt;=0.000005,"reproduced",IF(ABS(E57)&lt;=0.000005*3,"rounding","to check"))</f>
        <v>reproduced</v>
      </c>
    </row>
    <row r="58" customFormat="false" ht="15" hidden="false" customHeight="false" outlineLevel="0" collapsed="false">
      <c r="A58" s="0" t="s">
        <v>746</v>
      </c>
      <c r="B58" s="3" t="s">
        <v>763</v>
      </c>
      <c r="C58" s="56" t="n">
        <v>0.00708</v>
      </c>
      <c r="D58" s="56" t="n">
        <f aca="false">'12. Rate and occupancy'!G25</f>
        <v>0.00707540392848874</v>
      </c>
      <c r="E58" s="56" t="n">
        <f aca="false">D58-C58</f>
        <v>-4.5960715112656E-006</v>
      </c>
      <c r="F58" s="0" t="str">
        <f aca="false">IF(ABS(E58)&lt;=0.000005,"reproduced",IF(ABS(E58)&lt;=0.000005*3,"rounding","to check"))</f>
        <v>reproduced</v>
      </c>
    </row>
    <row r="59" customFormat="false" ht="15" hidden="false" customHeight="false" outlineLevel="0" collapsed="false">
      <c r="A59" s="0" t="s">
        <v>712</v>
      </c>
      <c r="B59" s="3" t="s">
        <v>764</v>
      </c>
      <c r="C59" s="17" t="n">
        <v>151.83</v>
      </c>
      <c r="D59" s="17" t="n">
        <f aca="false">'13. What a point is worth'!B77</f>
        <v>151.833621062165</v>
      </c>
      <c r="E59" s="17" t="n">
        <f aca="false">D59-C59</f>
        <v>0.00362106216519464</v>
      </c>
      <c r="F59" s="0" t="str">
        <f aca="false">IF(ABS(E59)&lt;=0.005,"reproduced",IF(ABS(E59)&lt;=0.005*3,"rounding","to check"))</f>
        <v>reproduced</v>
      </c>
    </row>
    <row r="60" customFormat="false" ht="15" hidden="false" customHeight="false" outlineLevel="0" collapsed="false">
      <c r="A60" s="0" t="s">
        <v>712</v>
      </c>
      <c r="B60" s="3" t="s">
        <v>765</v>
      </c>
      <c r="C60" s="56" t="n">
        <v>0.043</v>
      </c>
      <c r="D60" s="56" t="n">
        <f aca="false">'13. What a point is worth'!B76</f>
        <v>0.042648</v>
      </c>
      <c r="E60" s="56" t="n">
        <f aca="false">D60-C60</f>
        <v>-0.000351999999999977</v>
      </c>
      <c r="F60" s="0" t="str">
        <f aca="false">IF(ABS(E60)&lt;=0.0005,"reproduced",IF(ABS(E60)&lt;=0.0005*3,"rounding","to check"))</f>
        <v>reproduced</v>
      </c>
    </row>
    <row r="61" customFormat="false" ht="15" hidden="false" customHeight="false" outlineLevel="0" collapsed="false">
      <c r="A61" s="0" t="s">
        <v>712</v>
      </c>
      <c r="B61" s="3" t="s">
        <v>766</v>
      </c>
      <c r="C61" s="17" t="n">
        <v>181.32</v>
      </c>
      <c r="D61" s="17" t="n">
        <f aca="false">'13. What a point is worth'!B87</f>
        <v>181.32043146</v>
      </c>
      <c r="E61" s="17" t="n">
        <f aca="false">D61-C61</f>
        <v>0.000431460000015704</v>
      </c>
      <c r="F61" s="0" t="str">
        <f aca="false">IF(ABS(E61)&lt;=0.005,"reproduced",IF(ABS(E61)&lt;=0.005*3,"rounding","to check"))</f>
        <v>reproduced</v>
      </c>
    </row>
    <row r="62" customFormat="false" ht="15" hidden="false" customHeight="false" outlineLevel="0" collapsed="false">
      <c r="A62" s="0" t="s">
        <v>712</v>
      </c>
      <c r="B62" s="3" t="s">
        <v>767</v>
      </c>
      <c r="C62" s="17" t="n">
        <v>177.65</v>
      </c>
      <c r="D62" s="17" t="n">
        <f aca="false">'13. What a point is worth'!C87</f>
        <v>177.6475154025</v>
      </c>
      <c r="E62" s="17" t="n">
        <f aca="false">D62-C62</f>
        <v>-0.00248459750002894</v>
      </c>
      <c r="F62" s="0" t="str">
        <f aca="false">IF(ABS(E62)&lt;=0.005,"reproduced",IF(ABS(E62)&lt;=0.005*3,"rounding","to check"))</f>
        <v>reproduced</v>
      </c>
    </row>
    <row r="63" customFormat="false" ht="15" hidden="false" customHeight="false" outlineLevel="0" collapsed="false">
      <c r="A63" s="0" t="s">
        <v>712</v>
      </c>
      <c r="B63" s="3" t="s">
        <v>768</v>
      </c>
      <c r="C63" s="37" t="n">
        <v>3.67</v>
      </c>
      <c r="D63" s="37" t="n">
        <f aca="false">'13. What a point is worth'!B88</f>
        <v>3.67291605750003</v>
      </c>
      <c r="E63" s="37" t="n">
        <f aca="false">D63-C63</f>
        <v>0.00291605750003221</v>
      </c>
      <c r="F63" s="0" t="str">
        <f aca="false">IF(ABS(E63)&lt;=0.005,"reproduced",IF(ABS(E63)&lt;=0.005*3,"rounding","to check"))</f>
        <v>reproduced</v>
      </c>
    </row>
    <row r="64" customFormat="false" ht="15" hidden="false" customHeight="false" outlineLevel="0" collapsed="false">
      <c r="A64" s="0" t="s">
        <v>769</v>
      </c>
      <c r="B64" s="3" t="s">
        <v>770</v>
      </c>
      <c r="C64" s="17" t="n">
        <v>305</v>
      </c>
      <c r="D64" s="17" t="n">
        <f aca="false">'13. What a point is worth'!B23</f>
        <v>304.612827794826</v>
      </c>
      <c r="E64" s="17" t="n">
        <f aca="false">D64-C64</f>
        <v>-0.387172205174181</v>
      </c>
      <c r="F64" s="0" t="str">
        <f aca="false">IF(ABS(E64)&lt;=0.5,"reproduced",IF(ABS(E64)&lt;=0.5*3,"rounding","to check"))</f>
        <v>reproduced</v>
      </c>
    </row>
    <row r="65" customFormat="false" ht="15" hidden="false" customHeight="false" outlineLevel="0" collapsed="false">
      <c r="A65" s="0" t="s">
        <v>769</v>
      </c>
      <c r="B65" s="3" t="s">
        <v>771</v>
      </c>
      <c r="C65" s="17" t="n">
        <v>876</v>
      </c>
      <c r="D65" s="17" t="n">
        <f aca="false">'13. What a point is worth'!B24</f>
        <v>875.761879910124</v>
      </c>
      <c r="E65" s="17" t="n">
        <f aca="false">D65-C65</f>
        <v>-0.238120089875679</v>
      </c>
      <c r="F65" s="0" t="str">
        <f aca="false">IF(ABS(E65)&lt;=0.5,"reproduced",IF(ABS(E65)&lt;=0.5*3,"rounding","to check"))</f>
        <v>reproduced</v>
      </c>
    </row>
    <row r="66" customFormat="false" ht="15" hidden="false" customHeight="false" outlineLevel="0" collapsed="false">
      <c r="A66" s="0" t="s">
        <v>769</v>
      </c>
      <c r="B66" s="3" t="s">
        <v>772</v>
      </c>
      <c r="C66" s="17" t="n">
        <v>7615</v>
      </c>
      <c r="D66" s="17" t="n">
        <f aca="false">'13. What a point is worth'!B25</f>
        <v>7615.32069487065</v>
      </c>
      <c r="E66" s="17" t="n">
        <f aca="false">D66-C66</f>
        <v>0.320694870645639</v>
      </c>
      <c r="F66" s="0" t="str">
        <f aca="false">IF(ABS(E66)&lt;=0.5,"reproduced",IF(ABS(E66)&lt;=0.5*3,"rounding","to check"))</f>
        <v>reproduced</v>
      </c>
    </row>
    <row r="67" customFormat="false" ht="15" hidden="false" customHeight="false" outlineLevel="0" collapsed="false">
      <c r="A67" s="0" t="s">
        <v>769</v>
      </c>
      <c r="B67" s="3" t="s">
        <v>413</v>
      </c>
      <c r="C67" s="37" t="n">
        <v>25</v>
      </c>
      <c r="D67" s="37" t="n">
        <f aca="false">'13. What a point is worth'!B26</f>
        <v>25</v>
      </c>
      <c r="E67" s="37" t="n">
        <f aca="false">D67-C67</f>
        <v>0</v>
      </c>
      <c r="F67" s="0" t="str">
        <f aca="false">IF(ABS(E67)&lt;=0.5,"reproduced",IF(ABS(E67)&lt;=0.5*3,"rounding","to check"))</f>
        <v>reproduced</v>
      </c>
    </row>
    <row r="68" customFormat="false" ht="15" hidden="false" customHeight="false" outlineLevel="0" collapsed="false">
      <c r="A68" s="0" t="s">
        <v>769</v>
      </c>
      <c r="B68" s="3" t="s">
        <v>773</v>
      </c>
      <c r="C68" s="17" t="n">
        <v>43000000</v>
      </c>
      <c r="D68" s="17" t="n">
        <f aca="false">'13. What a point is worth'!E32</f>
        <v>43042167.8893876</v>
      </c>
      <c r="E68" s="17" t="n">
        <f aca="false">D68-C68</f>
        <v>42167.8893875703</v>
      </c>
      <c r="F68" s="0" t="str">
        <f aca="false">IF(ABS(E68)&lt;=50000,"reproduced",IF(ABS(E68)&lt;=50000*3,"rounding","to check"))</f>
        <v>reproduced</v>
      </c>
    </row>
    <row r="69" customFormat="false" ht="15" hidden="false" customHeight="false" outlineLevel="0" collapsed="false">
      <c r="A69" s="0" t="s">
        <v>769</v>
      </c>
      <c r="B69" s="3" t="s">
        <v>774</v>
      </c>
      <c r="C69" s="56" t="n">
        <v>-0.073</v>
      </c>
      <c r="D69" s="56" t="n">
        <f aca="false">'13. What a point is worth'!F32</f>
        <v>-0.0733702408127428</v>
      </c>
      <c r="E69" s="56" t="n">
        <f aca="false">D69-C69</f>
        <v>-0.000370240812742798</v>
      </c>
      <c r="F69" s="0" t="str">
        <f aca="false">IF(ABS(E69)&lt;=0.0005,"reproduced",IF(ABS(E69)&lt;=0.0005*3,"rounding","to check"))</f>
        <v>reproduced</v>
      </c>
    </row>
    <row r="70" customFormat="false" ht="15" hidden="false" customHeight="false" outlineLevel="0" collapsed="false">
      <c r="A70" s="0" t="s">
        <v>769</v>
      </c>
      <c r="B70" s="3" t="s">
        <v>775</v>
      </c>
      <c r="C70" s="56" t="n">
        <v>-0.176</v>
      </c>
      <c r="D70" s="56" t="n">
        <f aca="false">'13. What a point is worth'!F34</f>
        <v>-0.176088577950583</v>
      </c>
      <c r="E70" s="56" t="n">
        <f aca="false">D70-C70</f>
        <v>-8.85779505834239E-005</v>
      </c>
      <c r="F70" s="0" t="str">
        <f aca="false">IF(ABS(E70)&lt;=0.0005,"reproduced",IF(ABS(E70)&lt;=0.0005*3,"rounding","to check"))</f>
        <v>reproduced</v>
      </c>
    </row>
    <row r="71" customFormat="false" ht="15" hidden="false" customHeight="false" outlineLevel="0" collapsed="false">
      <c r="A71" s="0" t="s">
        <v>769</v>
      </c>
      <c r="B71" s="3" t="s">
        <v>776</v>
      </c>
      <c r="C71" s="37" t="n">
        <v>43</v>
      </c>
      <c r="D71" s="37" t="n">
        <f aca="false">'13. What a point is worth'!C32</f>
        <v>42.64</v>
      </c>
      <c r="E71" s="37" t="n">
        <f aca="false">D71-C71</f>
        <v>-0.359999999999964</v>
      </c>
      <c r="F71" s="0" t="str">
        <f aca="false">IF(ABS(E71)&lt;=0.5,"reproduced",IF(ABS(E71)&lt;=0.5*3,"rounding","to check"))</f>
        <v>reproduced</v>
      </c>
    </row>
    <row r="72" customFormat="false" ht="15" hidden="false" customHeight="false" outlineLevel="0" collapsed="false">
      <c r="A72" s="0" t="s">
        <v>769</v>
      </c>
      <c r="B72" s="3" t="s">
        <v>777</v>
      </c>
      <c r="C72" s="17" t="n">
        <v>165</v>
      </c>
      <c r="D72" s="17" t="n">
        <f aca="false">'13. What a point is worth'!B38</f>
        <v>165.022458145871</v>
      </c>
      <c r="E72" s="17" t="n">
        <f aca="false">D72-C72</f>
        <v>0.0224581458707007</v>
      </c>
      <c r="F72" s="0" t="str">
        <f aca="false">IF(ABS(E72)&lt;=0.5,"reproduced",IF(ABS(E72)&lt;=0.5*3,"rounding","to check"))</f>
        <v>reproduced</v>
      </c>
    </row>
    <row r="73" customFormat="false" ht="15" hidden="false" customHeight="false" outlineLevel="0" collapsed="false">
      <c r="A73" s="0" t="s">
        <v>769</v>
      </c>
      <c r="B73" s="3" t="s">
        <v>778</v>
      </c>
      <c r="C73" s="17" t="n">
        <v>27460</v>
      </c>
      <c r="D73" s="17" t="n">
        <f aca="false">'13. What a point is worth'!B39</f>
        <v>27459.7370354729</v>
      </c>
      <c r="E73" s="17" t="n">
        <f aca="false">D73-C73</f>
        <v>-0.2629645271154</v>
      </c>
      <c r="F73" s="0" t="str">
        <f aca="false">IF(ABS(E73)&lt;=1,"reproduced",IF(ABS(E73)&lt;=1*3,"rounding","to check"))</f>
        <v>reproduced</v>
      </c>
    </row>
    <row r="74" customFormat="false" ht="15" hidden="false" customHeight="false" outlineLevel="0" collapsed="false">
      <c r="A74" s="0" t="s">
        <v>769</v>
      </c>
      <c r="B74" s="3" t="s">
        <v>779</v>
      </c>
      <c r="C74" s="17" t="n">
        <v>26499</v>
      </c>
      <c r="D74" s="17" t="n">
        <f aca="false">'13. What a point is worth'!B40</f>
        <v>26498.6462392313</v>
      </c>
      <c r="E74" s="17" t="n">
        <f aca="false">D74-C74</f>
        <v>-0.353760768666689</v>
      </c>
      <c r="F74" s="0" t="str">
        <f aca="false">IF(ABS(E74)&lt;=1,"reproduced",IF(ABS(E74)&lt;=1*3,"rounding","to check"))</f>
        <v>reproduced</v>
      </c>
    </row>
    <row r="75" customFormat="false" ht="15" hidden="false" customHeight="false" outlineLevel="0" collapsed="false">
      <c r="A75" s="0" t="s">
        <v>769</v>
      </c>
      <c r="B75" s="3" t="s">
        <v>423</v>
      </c>
      <c r="C75" s="17" t="n">
        <v>456110</v>
      </c>
      <c r="D75" s="17" t="n">
        <f aca="false">'13. What a point is worth'!B41</f>
        <v>456110.40568758</v>
      </c>
      <c r="E75" s="17" t="n">
        <f aca="false">D75-C75</f>
        <v>0.405687579943333</v>
      </c>
      <c r="F75" s="0" t="str">
        <f aca="false">IF(ABS(E75)&lt;=1,"reproduced",IF(ABS(E75)&lt;=1*3,"rounding","to check"))</f>
        <v>reproduced</v>
      </c>
    </row>
    <row r="76" customFormat="false" ht="15" hidden="false" customHeight="false" outlineLevel="0" collapsed="false">
      <c r="A76" s="0" t="s">
        <v>780</v>
      </c>
      <c r="B76" s="3" t="s">
        <v>781</v>
      </c>
      <c r="C76" s="17" t="n">
        <v>39600</v>
      </c>
      <c r="D76" s="17" t="n">
        <f aca="false">'13. What a point is worth'!B6</f>
        <v>39599.6676133274</v>
      </c>
      <c r="E76" s="17" t="n">
        <f aca="false">D76-C76</f>
        <v>-0.332386672642315</v>
      </c>
      <c r="F76" s="0" t="str">
        <f aca="false">IF(ABS(E76)&lt;=0.5,"reproduced",IF(ABS(E76)&lt;=0.5*3,"rounding","to check"))</f>
        <v>reproduced</v>
      </c>
    </row>
    <row r="77" customFormat="false" ht="15" hidden="false" customHeight="false" outlineLevel="0" collapsed="false">
      <c r="A77" s="0" t="s">
        <v>780</v>
      </c>
      <c r="B77" s="3" t="s">
        <v>782</v>
      </c>
      <c r="C77" s="17" t="n">
        <v>681613</v>
      </c>
      <c r="D77" s="17" t="n">
        <f aca="false">'13. What a point is worth'!B7</f>
        <v>681612.950984171</v>
      </c>
      <c r="E77" s="17" t="n">
        <f aca="false">D77-C77</f>
        <v>-0.0490158294560388</v>
      </c>
      <c r="F77" s="0" t="str">
        <f aca="false">IF(ABS(E77)&lt;=1,"reproduced",IF(ABS(E77)&lt;=1*3,"rounding","to check"))</f>
        <v>reproduced</v>
      </c>
    </row>
    <row r="78" customFormat="false" ht="15" hidden="false" customHeight="false" outlineLevel="0" collapsed="false">
      <c r="A78" s="0" t="s">
        <v>769</v>
      </c>
      <c r="B78" s="3" t="s">
        <v>783</v>
      </c>
      <c r="C78" s="17" t="n">
        <v>41036</v>
      </c>
      <c r="D78" s="17" t="n">
        <f aca="false">'13. What a point is worth'!B5</f>
        <v>41035.924987904</v>
      </c>
      <c r="E78" s="17" t="n">
        <f aca="false">D78-C78</f>
        <v>-0.0750120960001368</v>
      </c>
      <c r="F78" s="0" t="str">
        <f aca="false">IF(ABS(E78)&lt;=0.5,"reproduced",IF(ABS(E78)&lt;=0.5*3,"rounding","to check"))</f>
        <v>reproduced</v>
      </c>
    </row>
    <row r="79" customFormat="false" ht="15" hidden="false" customHeight="false" outlineLevel="0" collapsed="false">
      <c r="A79" s="0" t="s">
        <v>780</v>
      </c>
      <c r="B79" s="3" t="s">
        <v>784</v>
      </c>
      <c r="C79" s="17" t="n">
        <v>38332</v>
      </c>
      <c r="D79" s="17" t="n">
        <f aca="false">'13. What a point is worth'!B8</f>
        <v>38332.4782497009</v>
      </c>
      <c r="E79" s="17" t="n">
        <f aca="false">D79-C79</f>
        <v>0.478249700885499</v>
      </c>
      <c r="F79" s="0" t="str">
        <f aca="false">IF(ABS(E79)&lt;=0.5,"reproduced",IF(ABS(E79)&lt;=0.5*3,"rounding","to check"))</f>
        <v>reproduced</v>
      </c>
    </row>
    <row r="80" customFormat="false" ht="15" hidden="false" customHeight="false" outlineLevel="0" collapsed="false">
      <c r="A80" s="0" t="s">
        <v>780</v>
      </c>
      <c r="B80" s="3" t="s">
        <v>785</v>
      </c>
      <c r="C80" s="56" t="n">
        <v>0.0103</v>
      </c>
      <c r="D80" s="56" t="n">
        <f aca="false">'13. What a point is worth'!B9</f>
        <v>0.0103305785123967</v>
      </c>
      <c r="E80" s="56" t="n">
        <f aca="false">D80-C80</f>
        <v>3.05785123966926E-005</v>
      </c>
      <c r="F80" s="0" t="str">
        <f aca="false">IF(ABS(E80)&lt;=0.00005,"reproduced",IF(ABS(E80)&lt;=0.00005*3,"rounding","to check"))</f>
        <v>reproduced</v>
      </c>
    </row>
    <row r="81" customFormat="false" ht="15" hidden="false" customHeight="false" outlineLevel="0" collapsed="false">
      <c r="A81" s="0" t="s">
        <v>780</v>
      </c>
      <c r="B81" s="3" t="s">
        <v>786</v>
      </c>
      <c r="C81" s="56" t="n">
        <v>0.01</v>
      </c>
      <c r="D81" s="56" t="n">
        <f aca="false">'13. What a point is worth'!B10</f>
        <v>0.00996900826446281</v>
      </c>
      <c r="E81" s="56" t="n">
        <f aca="false">D81-C81</f>
        <v>-3.09917355371912E-005</v>
      </c>
      <c r="F81" s="0" t="str">
        <f aca="false">IF(ABS(E81)&lt;=0.00005,"reproduced",IF(ABS(E81)&lt;=0.00005*3,"rounding","to check"))</f>
        <v>reproduced</v>
      </c>
    </row>
    <row r="82" customFormat="false" ht="15" hidden="false" customHeight="false" outlineLevel="0" collapsed="false">
      <c r="A82" s="0" t="s">
        <v>780</v>
      </c>
      <c r="B82" s="3" t="s">
        <v>397</v>
      </c>
      <c r="C82" s="56" t="n">
        <v>0.036</v>
      </c>
      <c r="D82" s="56" t="n">
        <f aca="false">'13. What a point is worth'!B11</f>
        <v>0.0362694300518134</v>
      </c>
      <c r="E82" s="56" t="n">
        <f aca="false">D82-C82</f>
        <v>0.000269430051813381</v>
      </c>
      <c r="F82" s="0" t="str">
        <f aca="false">IF(ABS(E82)&lt;=0.0005,"reproduced",IF(ABS(E82)&lt;=0.0005*3,"rounding","to check"))</f>
        <v>reproduced</v>
      </c>
    </row>
    <row r="83" customFormat="false" ht="15" hidden="false" customHeight="false" outlineLevel="0" collapsed="false">
      <c r="A83" s="0" t="s">
        <v>780</v>
      </c>
      <c r="B83" s="3" t="s">
        <v>787</v>
      </c>
      <c r="C83" s="17" t="n">
        <v>1980</v>
      </c>
      <c r="D83" s="17" t="n">
        <f aca="false">'13. What a point is worth'!B15</f>
        <v>1979.98338066637</v>
      </c>
      <c r="E83" s="17" t="n">
        <f aca="false">D83-C83</f>
        <v>-0.0166193336319793</v>
      </c>
      <c r="F83" s="0" t="str">
        <f aca="false">IF(ABS(E83)&lt;=0.5,"reproduced",IF(ABS(E83)&lt;=0.5*3,"rounding","to check"))</f>
        <v>reproduced</v>
      </c>
    </row>
    <row r="84" customFormat="false" ht="15" hidden="false" customHeight="false" outlineLevel="0" collapsed="false">
      <c r="A84" s="0" t="s">
        <v>780</v>
      </c>
      <c r="B84" s="3" t="s">
        <v>788</v>
      </c>
      <c r="C84" s="17" t="n">
        <v>114997</v>
      </c>
      <c r="D84" s="17" t="n">
        <f aca="false">'13. What a point is worth'!B18</f>
        <v>114997.434749103</v>
      </c>
      <c r="E84" s="17" t="n">
        <f aca="false">D84-C84</f>
        <v>0.434749102656497</v>
      </c>
      <c r="F84" s="0" t="str">
        <f aca="false">IF(ABS(E84)&lt;=1,"reproduced",IF(ABS(E84)&lt;=1*3,"rounding","to check"))</f>
        <v>reproduced</v>
      </c>
    </row>
    <row r="85" customFormat="false" ht="15" hidden="false" customHeight="false" outlineLevel="0" collapsed="false">
      <c r="A85" s="0" t="s">
        <v>780</v>
      </c>
      <c r="B85" s="3" t="s">
        <v>789</v>
      </c>
      <c r="C85" s="17" t="n">
        <v>79199</v>
      </c>
      <c r="D85" s="17" t="n">
        <f aca="false">'13. What a point is worth'!C18</f>
        <v>79199.3352266547</v>
      </c>
      <c r="E85" s="17" t="n">
        <f aca="false">D85-C85</f>
        <v>0.33522665471537</v>
      </c>
      <c r="F85" s="0" t="str">
        <f aca="false">IF(ABS(E85)&lt;=1,"reproduced",IF(ABS(E85)&lt;=1*3,"rounding","to check"))</f>
        <v>reproduced</v>
      </c>
    </row>
    <row r="86" customFormat="false" ht="15" hidden="false" customHeight="false" outlineLevel="0" collapsed="false">
      <c r="A86" s="0" t="s">
        <v>780</v>
      </c>
      <c r="B86" s="3" t="s">
        <v>790</v>
      </c>
      <c r="C86" s="17" t="n">
        <v>7033</v>
      </c>
      <c r="D86" s="17" t="n">
        <f aca="false">'13. What a point is worth'!C49</f>
        <v>7033.4214544</v>
      </c>
      <c r="E86" s="17" t="n">
        <f aca="false">D86-C86</f>
        <v>0.421454399999675</v>
      </c>
      <c r="F86" s="0" t="str">
        <f aca="false">IF(ABS(E86)&lt;=0.5,"reproduced",IF(ABS(E86)&lt;=0.5*3,"rounding","to check"))</f>
        <v>reproduced</v>
      </c>
    </row>
    <row r="87" customFormat="false" ht="15" hidden="false" customHeight="false" outlineLevel="0" collapsed="false">
      <c r="A87" s="0" t="s">
        <v>780</v>
      </c>
      <c r="B87" s="3" t="s">
        <v>791</v>
      </c>
      <c r="C87" s="17" t="n">
        <v>116826</v>
      </c>
      <c r="D87" s="17" t="n">
        <f aca="false">'13. What a point is worth'!E49</f>
        <v>116826.199347574</v>
      </c>
      <c r="E87" s="17" t="n">
        <f aca="false">D87-C87</f>
        <v>0.199347573870909</v>
      </c>
      <c r="F87" s="0" t="str">
        <f aca="false">IF(ABS(E87)&lt;=1,"reproduced",IF(ABS(E87)&lt;=1*3,"rounding","to check"))</f>
        <v>reproduced</v>
      </c>
    </row>
    <row r="88" customFormat="false" ht="15" hidden="false" customHeight="false" outlineLevel="0" collapsed="false">
      <c r="A88" s="0" t="s">
        <v>780</v>
      </c>
      <c r="B88" s="3" t="s">
        <v>792</v>
      </c>
      <c r="C88" s="17" t="n">
        <v>190861</v>
      </c>
      <c r="D88" s="17" t="n">
        <f aca="false">'13. What a point is worth'!E53</f>
        <v>190861.407073653</v>
      </c>
      <c r="E88" s="17" t="n">
        <f aca="false">D88-C88</f>
        <v>0.407073652662803</v>
      </c>
      <c r="F88" s="0" t="str">
        <f aca="false">IF(ABS(E88)&lt;=1,"reproduced",IF(ABS(E88)&lt;=1*3,"rounding","to check"))</f>
        <v>reproduced</v>
      </c>
    </row>
    <row r="89" customFormat="false" ht="15" hidden="false" customHeight="false" outlineLevel="0" collapsed="false">
      <c r="A89" s="0" t="s">
        <v>780</v>
      </c>
      <c r="B89" s="3" t="s">
        <v>793</v>
      </c>
      <c r="C89" s="17" t="n">
        <v>131079</v>
      </c>
      <c r="D89" s="17" t="n">
        <f aca="false">'13. What a point is worth'!B55</f>
        <v>131079.413650802</v>
      </c>
      <c r="E89" s="17" t="n">
        <f aca="false">D89-C89</f>
        <v>0.413650802045595</v>
      </c>
      <c r="F89" s="0" t="str">
        <f aca="false">IF(ABS(E89)&lt;=1,"reproduced",IF(ABS(E89)&lt;=1*3,"rounding","to check"))</f>
        <v>reproduced</v>
      </c>
    </row>
    <row r="90" customFormat="false" ht="15" hidden="false" customHeight="false" outlineLevel="0" collapsed="false">
      <c r="A90" s="0" t="s">
        <v>780</v>
      </c>
      <c r="B90" s="3" t="s">
        <v>794</v>
      </c>
      <c r="C90" s="37" t="n">
        <v>1.46</v>
      </c>
      <c r="D90" s="37" t="n">
        <f aca="false">'13. What a point is worth'!B57</f>
        <v>1.46201683763543</v>
      </c>
      <c r="E90" s="37" t="n">
        <f aca="false">D90-C90</f>
        <v>0.0020168376354317</v>
      </c>
      <c r="F90" s="0" t="str">
        <f aca="false">IF(ABS(E90)&lt;=0.005,"reproduced",IF(ABS(E90)&lt;=0.005*3,"rounding","to check"))</f>
        <v>reproduced</v>
      </c>
    </row>
    <row r="91" customFormat="false" ht="15" hidden="false" customHeight="false" outlineLevel="0" collapsed="false">
      <c r="A91" s="0" t="s">
        <v>780</v>
      </c>
      <c r="B91" s="3" t="s">
        <v>795</v>
      </c>
      <c r="C91" s="37" t="n">
        <v>1.72</v>
      </c>
      <c r="D91" s="37" t="n">
        <f aca="false">'13. What a point is worth'!B58</f>
        <v>1.7239263803681</v>
      </c>
      <c r="E91" s="37" t="n">
        <f aca="false">D91-C91</f>
        <v>0.00392638036809823</v>
      </c>
      <c r="F91" s="0" t="str">
        <f aca="false">IF(ABS(E91)&lt;=0.005,"reproduced",IF(ABS(E91)&lt;=0.005*3,"rounding","to check"))</f>
        <v>reproduced</v>
      </c>
    </row>
    <row r="92" customFormat="false" ht="15" hidden="false" customHeight="false" outlineLevel="0" collapsed="false">
      <c r="A92" s="0" t="s">
        <v>780</v>
      </c>
      <c r="B92" s="3" t="s">
        <v>367</v>
      </c>
      <c r="C92" s="37" t="n">
        <v>1.39</v>
      </c>
      <c r="D92" s="37" t="n">
        <f aca="false">'12. Rate and occupancy'!B29</f>
        <v>1.39462809917355</v>
      </c>
      <c r="E92" s="37" t="n">
        <f aca="false">D92-C92</f>
        <v>0.00462809917355389</v>
      </c>
      <c r="F92" s="0" t="str">
        <f aca="false">IF(ABS(E92)&lt;=0.005,"reproduced",IF(ABS(E92)&lt;=0.005*3,"rounding","to check"))</f>
        <v>reproduced</v>
      </c>
    </row>
    <row r="93" customFormat="false" ht="15" hidden="false" customHeight="false" outlineLevel="0" collapsed="false">
      <c r="A93" s="0" t="s">
        <v>780</v>
      </c>
      <c r="B93" s="3" t="s">
        <v>796</v>
      </c>
      <c r="C93" s="56" t="n">
        <v>0.0074</v>
      </c>
      <c r="D93" s="56" t="n">
        <f aca="false">'12. Rate and occupancy'!B31</f>
        <v>0.00740740740740741</v>
      </c>
      <c r="E93" s="56" t="n">
        <f aca="false">D93-C93</f>
        <v>7.4074074074065E-006</v>
      </c>
      <c r="F93" s="0" t="str">
        <f aca="false">IF(ABS(E93)&lt;=0.00005,"reproduced",IF(ABS(E93)&lt;=0.00005*3,"rounding","to check"))</f>
        <v>reproduced</v>
      </c>
    </row>
    <row r="94" customFormat="false" ht="15" hidden="false" customHeight="false" outlineLevel="0" collapsed="false">
      <c r="A94" s="0" t="s">
        <v>780</v>
      </c>
      <c r="B94" s="3" t="s">
        <v>797</v>
      </c>
      <c r="C94" s="56" t="n">
        <v>0.39</v>
      </c>
      <c r="D94" s="56" t="n">
        <f aca="false">'12. Rate and occupancy'!B32</f>
        <v>0.394628099173554</v>
      </c>
      <c r="E94" s="56" t="n">
        <f aca="false">D94-C94</f>
        <v>0.00462809917355378</v>
      </c>
      <c r="F94" s="0" t="str">
        <f aca="false">IF(ABS(E94)&lt;=0.005,"reproduced",IF(ABS(E94)&lt;=0.005*3,"rounding","to check"))</f>
        <v>reproduced</v>
      </c>
    </row>
    <row r="95" customFormat="false" ht="15" hidden="false" customHeight="false" outlineLevel="0" collapsed="false">
      <c r="A95" s="0" t="s">
        <v>780</v>
      </c>
      <c r="B95" s="3" t="s">
        <v>798</v>
      </c>
      <c r="C95" s="56" t="n">
        <v>0.283</v>
      </c>
      <c r="D95" s="56" t="n">
        <f aca="false">'12. Rate and occupancy'!B33</f>
        <v>0.282962962962963</v>
      </c>
      <c r="E95" s="56" t="n">
        <f aca="false">D95-C95</f>
        <v>-3.70370370368911E-005</v>
      </c>
      <c r="F95" s="0" t="str">
        <f aca="false">IF(ABS(E95)&lt;=0.0005,"reproduced",IF(ABS(E95)&lt;=0.0005*3,"rounding","to check"))</f>
        <v>reproduced</v>
      </c>
    </row>
    <row r="96" customFormat="false" ht="15" hidden="false" customHeight="false" outlineLevel="0" collapsed="false">
      <c r="A96" s="0" t="s">
        <v>780</v>
      </c>
      <c r="B96" s="3" t="s">
        <v>799</v>
      </c>
      <c r="C96" s="37" t="n">
        <v>1.0331</v>
      </c>
      <c r="D96" s="37" t="n">
        <f aca="false">'12. Rate and occupancy'!B34</f>
        <v>1.03305785123967</v>
      </c>
      <c r="E96" s="37" t="n">
        <f aca="false">D96-C96</f>
        <v>-4.21487603303739E-005</v>
      </c>
      <c r="F96" s="0" t="str">
        <f aca="false">IF(ABS(E96)&lt;=0.00005,"reproduced",IF(ABS(E96)&lt;=0.00005*3,"rounding","to check"))</f>
        <v>reproduced</v>
      </c>
    </row>
    <row r="97" customFormat="false" ht="15" hidden="false" customHeight="false" outlineLevel="0" collapsed="false">
      <c r="A97" s="0" t="s">
        <v>800</v>
      </c>
      <c r="B97" s="3" t="s">
        <v>801</v>
      </c>
      <c r="C97" s="17" t="n">
        <v>158.19</v>
      </c>
      <c r="D97" s="17" t="n">
        <f aca="false">'14. The nomination'!B6</f>
        <v>158.190916774194</v>
      </c>
      <c r="E97" s="17" t="n">
        <f aca="false">D97-C97</f>
        <v>0.000916774193541414</v>
      </c>
      <c r="F97" s="0" t="str">
        <f aca="false">IF(ABS(E97)&lt;=0.005,"reproduced",IF(ABS(E97)&lt;=0.005*3,"rounding","to check"))</f>
        <v>reproduced</v>
      </c>
    </row>
    <row r="98" customFormat="false" ht="15" hidden="false" customHeight="false" outlineLevel="0" collapsed="false">
      <c r="A98" s="0" t="s">
        <v>800</v>
      </c>
      <c r="B98" s="3" t="s">
        <v>802</v>
      </c>
      <c r="C98" s="17" t="n">
        <v>144.27</v>
      </c>
      <c r="D98" s="17" t="n">
        <f aca="false">'14. The nomination'!B7</f>
        <v>144.270116098065</v>
      </c>
      <c r="E98" s="17" t="n">
        <f aca="false">D98-C98</f>
        <v>0.000116098064495418</v>
      </c>
      <c r="F98" s="0" t="str">
        <f aca="false">IF(ABS(E98)&lt;=0.005,"reproduced",IF(ABS(E98)&lt;=0.005*3,"rounding","to check"))</f>
        <v>reproduced</v>
      </c>
    </row>
    <row r="99" customFormat="false" ht="15" hidden="false" customHeight="false" outlineLevel="0" collapsed="false">
      <c r="A99" s="0" t="s">
        <v>800</v>
      </c>
      <c r="B99" s="3" t="s">
        <v>803</v>
      </c>
      <c r="C99" s="17" t="n">
        <v>6960</v>
      </c>
      <c r="D99" s="17" t="n">
        <f aca="false">'14. The nomination'!B8</f>
        <v>6960.40033806452</v>
      </c>
      <c r="E99" s="17" t="n">
        <f aca="false">D99-C99</f>
        <v>0.400338064515381</v>
      </c>
      <c r="F99" s="0" t="str">
        <f aca="false">IF(ABS(E99)&lt;=0.5,"reproduced",IF(ABS(E99)&lt;=0.5*3,"rounding","to check"))</f>
        <v>reproduced</v>
      </c>
    </row>
    <row r="100" customFormat="false" ht="15" hidden="false" customHeight="false" outlineLevel="0" collapsed="false">
      <c r="A100" s="0" t="s">
        <v>800</v>
      </c>
      <c r="B100" s="3" t="s">
        <v>804</v>
      </c>
      <c r="C100" s="17" t="n">
        <v>5482</v>
      </c>
      <c r="D100" s="17" t="n">
        <f aca="false">'14. The nomination'!B9</f>
        <v>5482.26441172645</v>
      </c>
      <c r="E100" s="17" t="n">
        <f aca="false">D100-C100</f>
        <v>0.264411726450817</v>
      </c>
      <c r="F100" s="0" t="str">
        <f aca="false">IF(ABS(E100)&lt;=0.5,"reproduced",IF(ABS(E100)&lt;=0.5*3,"rounding","to check"))</f>
        <v>reproduced</v>
      </c>
    </row>
    <row r="101" customFormat="false" ht="15" hidden="false" customHeight="false" outlineLevel="0" collapsed="false">
      <c r="A101" s="0" t="s">
        <v>800</v>
      </c>
      <c r="B101" s="3" t="s">
        <v>805</v>
      </c>
      <c r="C101" s="17" t="n">
        <v>6664</v>
      </c>
      <c r="D101" s="17" t="n">
        <f aca="false">'14. The nomination'!B10</f>
        <v>6663.55318444674</v>
      </c>
      <c r="E101" s="17" t="n">
        <f aca="false">D101-C101</f>
        <v>-0.446815553260421</v>
      </c>
      <c r="F101" s="0" t="str">
        <f aca="false">IF(ABS(E101)&lt;=0.5,"reproduced",IF(ABS(E101)&lt;=0.5*3,"rounding","to check"))</f>
        <v>reproduced</v>
      </c>
    </row>
    <row r="102" customFormat="false" ht="15" hidden="false" customHeight="false" outlineLevel="0" collapsed="false">
      <c r="A102" s="0" t="s">
        <v>800</v>
      </c>
      <c r="B102" s="3" t="s">
        <v>806</v>
      </c>
      <c r="C102" s="56" t="n">
        <v>0.212</v>
      </c>
      <c r="D102" s="56" t="n">
        <f aca="false">'14. The nomination'!B11</f>
        <v>0.212363636363636</v>
      </c>
      <c r="E102" s="56" t="n">
        <f aca="false">D102-C102</f>
        <v>0.000363636363636427</v>
      </c>
      <c r="F102" s="0" t="str">
        <f aca="false">IF(ABS(E102)&lt;=0.0005,"reproduced",IF(ABS(E102)&lt;=0.0005*3,"rounding","to check"))</f>
        <v>reproduced</v>
      </c>
    </row>
    <row r="103" customFormat="false" ht="15" hidden="false" customHeight="false" outlineLevel="0" collapsed="false">
      <c r="A103" s="0" t="s">
        <v>800</v>
      </c>
      <c r="B103" s="3" t="s">
        <v>807</v>
      </c>
      <c r="C103" s="56" t="n">
        <v>0.177</v>
      </c>
      <c r="D103" s="56" t="n">
        <f aca="false">'14. The nomination'!B12</f>
        <v>0.177276107809496</v>
      </c>
      <c r="E103" s="56" t="n">
        <f aca="false">D103-C103</f>
        <v>0.000276107809495774</v>
      </c>
      <c r="F103" s="0" t="str">
        <f aca="false">IF(ABS(E103)&lt;=0.0005,"reproduced",IF(ABS(E103)&lt;=0.0005*3,"rounding","to check"))</f>
        <v>reproduced</v>
      </c>
    </row>
    <row r="104" customFormat="false" ht="15" hidden="false" customHeight="false" outlineLevel="0" collapsed="false">
      <c r="A104" s="0" t="s">
        <v>800</v>
      </c>
      <c r="B104" s="3" t="s">
        <v>808</v>
      </c>
      <c r="C104" s="17" t="n">
        <v>153568</v>
      </c>
      <c r="D104" s="17" t="n">
        <f aca="false">'14. The nomination'!B15</f>
        <v>153567.540453638</v>
      </c>
      <c r="E104" s="17" t="n">
        <f aca="false">D104-C104</f>
        <v>-0.459546362457331</v>
      </c>
      <c r="F104" s="0" t="str">
        <f aca="false">IF(ABS(E104)&lt;=1,"reproduced",IF(ABS(E104)&lt;=1*3,"rounding","to check"))</f>
        <v>reproduced</v>
      </c>
    </row>
    <row r="105" customFormat="false" ht="15" hidden="false" customHeight="false" outlineLevel="0" collapsed="false">
      <c r="A105" s="0" t="s">
        <v>800</v>
      </c>
      <c r="B105" s="3" t="s">
        <v>809</v>
      </c>
      <c r="C105" s="17" t="n">
        <v>112531</v>
      </c>
      <c r="D105" s="17" t="n">
        <f aca="false">'14. The nomination'!B16</f>
        <v>112530.69055649</v>
      </c>
      <c r="E105" s="17" t="n">
        <f aca="false">D105-C105</f>
        <v>-0.309443509671837</v>
      </c>
      <c r="F105" s="0" t="str">
        <f aca="false">IF(ABS(E105)&lt;=1,"reproduced",IF(ABS(E105)&lt;=1*3,"rounding","to check"))</f>
        <v>reproduced</v>
      </c>
    </row>
    <row r="106" customFormat="false" ht="15" hidden="false" customHeight="false" outlineLevel="0" collapsed="false">
      <c r="A106" s="0" t="s">
        <v>800</v>
      </c>
      <c r="B106" s="3" t="s">
        <v>810</v>
      </c>
      <c r="C106" s="56" t="n">
        <v>0.796</v>
      </c>
      <c r="D106" s="56" t="n">
        <f aca="false">'14. The nomination'!B17</f>
        <v>0.796396727640408</v>
      </c>
      <c r="E106" s="56" t="n">
        <f aca="false">D106-C106</f>
        <v>0.00039672764040799</v>
      </c>
      <c r="F106" s="0" t="str">
        <f aca="false">IF(ABS(E106)&lt;=0.0005,"reproduced",IF(ABS(E106)&lt;=0.0005*3,"rounding","to check"))</f>
        <v>reproduced</v>
      </c>
    </row>
    <row r="107" customFormat="false" ht="15" hidden="false" customHeight="false" outlineLevel="0" collapsed="false">
      <c r="A107" s="0" t="s">
        <v>800</v>
      </c>
      <c r="B107" s="3" t="s">
        <v>811</v>
      </c>
      <c r="C107" s="17" t="n">
        <v>280375</v>
      </c>
      <c r="D107" s="17" t="n">
        <f aca="false">'14. The nomination'!B19</f>
        <v>280375.011182838</v>
      </c>
      <c r="E107" s="17" t="n">
        <f aca="false">D107-C107</f>
        <v>0.0111828381195664</v>
      </c>
      <c r="F107" s="0" t="str">
        <f aca="false">IF(ABS(E107)&lt;=1,"reproduced",IF(ABS(E107)&lt;=1*3,"rounding","to check"))</f>
        <v>reproduced</v>
      </c>
    </row>
    <row r="108" customFormat="false" ht="15" hidden="false" customHeight="false" outlineLevel="0" collapsed="false">
      <c r="A108" s="0" t="s">
        <v>800</v>
      </c>
      <c r="B108" s="3" t="s">
        <v>479</v>
      </c>
      <c r="C108" s="56" t="n">
        <v>0.83</v>
      </c>
      <c r="D108" s="56" t="n">
        <f aca="false">'14. The nomination'!B20</f>
        <v>0.825743971379708</v>
      </c>
      <c r="E108" s="56" t="n">
        <f aca="false">D108-C108</f>
        <v>-0.00425602862029229</v>
      </c>
      <c r="F108" s="0" t="str">
        <f aca="false">IF(ABS(E108)&lt;=0.005,"reproduced",IF(ABS(E108)&lt;=0.005*3,"rounding","to check"))</f>
        <v>reproduced</v>
      </c>
    </row>
    <row r="109" customFormat="false" ht="15" hidden="false" customHeight="false" outlineLevel="0" collapsed="false">
      <c r="A109" s="0" t="s">
        <v>800</v>
      </c>
      <c r="B109" s="3" t="s">
        <v>812</v>
      </c>
      <c r="C109" s="56" t="n">
        <v>0.146</v>
      </c>
      <c r="D109" s="56" t="n">
        <f aca="false">'14. The nomination'!B21</f>
        <v>0.14638467729335</v>
      </c>
      <c r="E109" s="56" t="n">
        <f aca="false">D109-C109</f>
        <v>0.00038467729335015</v>
      </c>
      <c r="F109" s="0" t="str">
        <f aca="false">IF(ABS(E109)&lt;=0.0005,"reproduced",IF(ABS(E109)&lt;=0.0005*3,"rounding","to check"))</f>
        <v>reproduced</v>
      </c>
    </row>
    <row r="110" customFormat="false" ht="15" hidden="false" customHeight="false" outlineLevel="0" collapsed="false">
      <c r="A110" s="0" t="s">
        <v>800</v>
      </c>
      <c r="B110" s="3" t="s">
        <v>813</v>
      </c>
      <c r="C110" s="17" t="n">
        <v>43900000</v>
      </c>
      <c r="D110" s="17" t="n">
        <f aca="false">'14. The nomination'!B26</f>
        <v>43899452.457074</v>
      </c>
      <c r="E110" s="17" t="n">
        <f aca="false">D110-C110</f>
        <v>-547.542926035821</v>
      </c>
      <c r="F110" s="0" t="str">
        <f aca="false">IF(ABS(E110)&lt;=50000,"reproduced",IF(ABS(E110)&lt;=50000*3,"rounding","to check"))</f>
        <v>reproduced</v>
      </c>
    </row>
    <row r="111" customFormat="false" ht="15" hidden="false" customHeight="false" outlineLevel="0" collapsed="false">
      <c r="A111" s="0" t="s">
        <v>800</v>
      </c>
      <c r="B111" s="3" t="s">
        <v>485</v>
      </c>
      <c r="C111" s="17" t="n">
        <v>-2600000</v>
      </c>
      <c r="D111" s="17" t="n">
        <f aca="false">'14. The nomination'!B27</f>
        <v>-2550780.18723445</v>
      </c>
      <c r="E111" s="17" t="n">
        <f aca="false">D111-C111</f>
        <v>49219.8127655461</v>
      </c>
      <c r="F111" s="0" t="str">
        <f aca="false">IF(ABS(E111)&lt;=50000,"reproduced",IF(ABS(E111)&lt;=50000*3,"rounding","to check"))</f>
        <v>reproduced</v>
      </c>
    </row>
    <row r="112" customFormat="false" ht="15" hidden="false" customHeight="false" outlineLevel="0" collapsed="false">
      <c r="A112" s="0" t="s">
        <v>800</v>
      </c>
      <c r="B112" s="3" t="s">
        <v>814</v>
      </c>
      <c r="C112" s="56" t="n">
        <v>0.18</v>
      </c>
      <c r="D112" s="56" t="n">
        <f aca="false">'14. The nomination'!B28</f>
        <v>0.180337025758565</v>
      </c>
      <c r="E112" s="56" t="n">
        <f aca="false">D112-C112</f>
        <v>0.000337025758565174</v>
      </c>
      <c r="F112" s="0" t="str">
        <f aca="false">IF(ABS(E112)&lt;=0.0005,"reproduced",IF(ABS(E112)&lt;=0.0005*3,"rounding","to check"))</f>
        <v>reproduced</v>
      </c>
    </row>
    <row r="113" customFormat="false" ht="15" hidden="false" customHeight="false" outlineLevel="0" collapsed="false">
      <c r="A113" s="0" t="s">
        <v>800</v>
      </c>
      <c r="B113" s="3" t="s">
        <v>815</v>
      </c>
      <c r="C113" s="56" t="n">
        <v>0.0515</v>
      </c>
      <c r="D113" s="56" t="n">
        <f aca="false">'14. The nomination'!B29</f>
        <v>0.0515071727892344</v>
      </c>
      <c r="E113" s="56" t="n">
        <f aca="false">D113-C113</f>
        <v>7.17278923444142E-006</v>
      </c>
      <c r="F113" s="0" t="str">
        <f aca="false">IF(ABS(E113)&lt;=0.00005,"reproduced",IF(ABS(E113)&lt;=0.00005*3,"rounding","to check"))</f>
        <v>reproduced</v>
      </c>
    </row>
    <row r="114" customFormat="false" ht="15" hidden="false" customHeight="false" outlineLevel="0" collapsed="false">
      <c r="A114" s="0" t="s">
        <v>800</v>
      </c>
      <c r="B114" s="3" t="s">
        <v>816</v>
      </c>
      <c r="C114" s="37" t="n">
        <v>30</v>
      </c>
      <c r="D114" s="37" t="n">
        <f aca="false">'14. The nomination'!B30</f>
        <v>29.9282721076556</v>
      </c>
      <c r="E114" s="37" t="n">
        <f aca="false">D114-C114</f>
        <v>-0.0717278923443878</v>
      </c>
      <c r="F114" s="0" t="str">
        <f aca="false">IF(ABS(E114)&lt;=0.5,"reproduced",IF(ABS(E114)&lt;=0.5*3,"rounding","to check"))</f>
        <v>reproduced</v>
      </c>
    </row>
    <row r="115" customFormat="false" ht="15" hidden="false" customHeight="false" outlineLevel="0" collapsed="false">
      <c r="A115" s="0" t="s">
        <v>715</v>
      </c>
      <c r="B115" s="3" t="s">
        <v>817</v>
      </c>
      <c r="C115" s="17" t="n">
        <v>22217</v>
      </c>
      <c r="D115" s="17" t="n">
        <f aca="false">'6. The summer'!B13</f>
        <v>22217.26244864</v>
      </c>
      <c r="E115" s="17" t="n">
        <f aca="false">D115-C115</f>
        <v>0.262448639998183</v>
      </c>
      <c r="F115" s="0" t="str">
        <f aca="false">IF(ABS(E115)&lt;=1,"reproduced",IF(ABS(E115)&lt;=1*3,"rounding","to check"))</f>
        <v>reproduced</v>
      </c>
    </row>
    <row r="116" customFormat="false" ht="15" hidden="false" customHeight="false" outlineLevel="0" collapsed="false">
      <c r="A116" s="0" t="s">
        <v>715</v>
      </c>
      <c r="B116" s="3" t="s">
        <v>818</v>
      </c>
      <c r="C116" s="17" t="n">
        <v>21278</v>
      </c>
      <c r="D116" s="17" t="n">
        <f aca="false">'6. The summer'!B15</f>
        <v>21278.4</v>
      </c>
      <c r="E116" s="17" t="n">
        <f aca="false">D116-C116</f>
        <v>0.400000000001455</v>
      </c>
      <c r="F116" s="0" t="str">
        <f aca="false">IF(ABS(E116)&lt;=1,"reproduced",IF(ABS(E116)&lt;=1*3,"rounding","to check"))</f>
        <v>reproduced</v>
      </c>
    </row>
    <row r="117" customFormat="false" ht="15" hidden="false" customHeight="false" outlineLevel="0" collapsed="false">
      <c r="A117" s="0" t="s">
        <v>715</v>
      </c>
      <c r="B117" s="3" t="s">
        <v>819</v>
      </c>
      <c r="C117" s="17" t="n">
        <v>13042</v>
      </c>
      <c r="D117" s="17" t="n">
        <f aca="false">'6. The summer'!B16</f>
        <v>13041.6</v>
      </c>
      <c r="E117" s="17" t="n">
        <f aca="false">D117-C117</f>
        <v>-0.399999999999636</v>
      </c>
      <c r="F117" s="0" t="str">
        <f aca="false">IF(ABS(E117)&lt;=1,"reproduced",IF(ABS(E117)&lt;=1*3,"rounding","to check"))</f>
        <v>reproduced</v>
      </c>
    </row>
    <row r="118" customFormat="false" ht="15" hidden="false" customHeight="false" outlineLevel="0" collapsed="false">
      <c r="A118" s="0" t="s">
        <v>715</v>
      </c>
      <c r="B118" s="3" t="s">
        <v>820</v>
      </c>
      <c r="C118" s="17" t="n">
        <v>34320</v>
      </c>
      <c r="D118" s="17" t="n">
        <f aca="false">'6. The summer'!B14</f>
        <v>34320</v>
      </c>
      <c r="E118" s="17" t="n">
        <f aca="false">D118-C118</f>
        <v>0</v>
      </c>
      <c r="F118" s="0" t="str">
        <f aca="false">IF(ABS(E118)&lt;=1,"reproduced",IF(ABS(E118)&lt;=1*3,"rounding","to check"))</f>
        <v>reproduced</v>
      </c>
    </row>
    <row r="119" customFormat="false" ht="15" hidden="false" customHeight="false" outlineLevel="0" collapsed="false">
      <c r="A119" s="0" t="s">
        <v>715</v>
      </c>
      <c r="B119" s="3" t="s">
        <v>821</v>
      </c>
      <c r="C119" s="17" t="n">
        <v>43496</v>
      </c>
      <c r="D119" s="17" t="n">
        <f aca="false">'6. The summer'!B17</f>
        <v>43495.66244864</v>
      </c>
      <c r="E119" s="17" t="n">
        <f aca="false">D119-C119</f>
        <v>-0.337551360003999</v>
      </c>
      <c r="F119" s="0" t="str">
        <f aca="false">IF(ABS(E119)&lt;=1,"reproduced",IF(ABS(E119)&lt;=1*3,"rounding","to check"))</f>
        <v>reproduced</v>
      </c>
    </row>
    <row r="120" customFormat="false" ht="15" hidden="false" customHeight="false" outlineLevel="0" collapsed="false">
      <c r="A120" s="0" t="s">
        <v>715</v>
      </c>
      <c r="B120" s="3" t="s">
        <v>203</v>
      </c>
      <c r="C120" s="17" t="n">
        <v>35259</v>
      </c>
      <c r="D120" s="17" t="n">
        <f aca="false">'6. The summer'!B18</f>
        <v>35258.86244864</v>
      </c>
      <c r="E120" s="17" t="n">
        <f aca="false">D120-C120</f>
        <v>-0.137551359999634</v>
      </c>
      <c r="F120" s="0" t="str">
        <f aca="false">IF(ABS(E120)&lt;=1,"reproduced",IF(ABS(E120)&lt;=1*3,"rounding","to check"))</f>
        <v>reproduced</v>
      </c>
    </row>
    <row r="121" customFormat="false" ht="15" hidden="false" customHeight="false" outlineLevel="0" collapsed="false">
      <c r="A121" s="0" t="s">
        <v>715</v>
      </c>
      <c r="B121" s="3" t="s">
        <v>204</v>
      </c>
      <c r="C121" s="17" t="n">
        <v>56537</v>
      </c>
      <c r="D121" s="17" t="n">
        <f aca="false">'6. The summer'!B19</f>
        <v>56537.26244864</v>
      </c>
      <c r="E121" s="17" t="n">
        <f aca="false">D121-C121</f>
        <v>0.262448640001821</v>
      </c>
      <c r="F121" s="0" t="str">
        <f aca="false">IF(ABS(E121)&lt;=1,"reproduced",IF(ABS(E121)&lt;=1*3,"rounding","to check"))</f>
        <v>reproduced</v>
      </c>
    </row>
    <row r="122" customFormat="false" ht="15" hidden="false" customHeight="false" outlineLevel="0" collapsed="false">
      <c r="A122" s="0" t="s">
        <v>715</v>
      </c>
      <c r="B122" s="3" t="s">
        <v>822</v>
      </c>
      <c r="C122" s="17" t="n">
        <v>68651</v>
      </c>
      <c r="D122" s="17" t="n">
        <f aca="false">'6. The summer'!B21</f>
        <v>68651.3409662976</v>
      </c>
      <c r="E122" s="17" t="n">
        <f aca="false">D122-C122</f>
        <v>0.340966297575505</v>
      </c>
      <c r="F122" s="0" t="str">
        <f aca="false">IF(ABS(E122)&lt;=1,"reproduced",IF(ABS(E122)&lt;=1*3,"rounding","to check"))</f>
        <v>reproduced</v>
      </c>
    </row>
    <row r="123" customFormat="false" ht="15" hidden="false" customHeight="false" outlineLevel="0" collapsed="false">
      <c r="A123" s="0" t="s">
        <v>715</v>
      </c>
      <c r="B123" s="3" t="s">
        <v>823</v>
      </c>
      <c r="C123" s="17" t="n">
        <v>25933</v>
      </c>
      <c r="D123" s="17" t="n">
        <f aca="false">'6. The summer'!B22</f>
        <v>25933.28270336</v>
      </c>
      <c r="E123" s="17" t="n">
        <f aca="false">D123-C123</f>
        <v>0.28270335997513</v>
      </c>
      <c r="F123" s="0" t="str">
        <f aca="false">IF(ABS(E123)&lt;=1,"reproduced",IF(ABS(E123)&lt;=1*3,"rounding","to check"))</f>
        <v>reproduced</v>
      </c>
    </row>
    <row r="124" customFormat="false" ht="15" hidden="false" customHeight="false" outlineLevel="0" collapsed="false">
      <c r="A124" s="0" t="s">
        <v>715</v>
      </c>
      <c r="B124" s="3" t="s">
        <v>824</v>
      </c>
      <c r="C124" s="17" t="n">
        <v>778</v>
      </c>
      <c r="D124" s="17" t="n">
        <f aca="false">'6. The summer'!B23</f>
        <v>777.6041857024</v>
      </c>
      <c r="E124" s="17" t="n">
        <f aca="false">D124-C124</f>
        <v>-0.395814297599941</v>
      </c>
      <c r="F124" s="0" t="str">
        <f aca="false">IF(ABS(E124)&lt;=1,"reproduced",IF(ABS(E124)&lt;=1*3,"rounding","to check"))</f>
        <v>reproduced</v>
      </c>
    </row>
    <row r="125" customFormat="false" ht="15" hidden="false" customHeight="false" outlineLevel="0" collapsed="false">
      <c r="A125" s="0" t="s">
        <v>715</v>
      </c>
      <c r="B125" s="3" t="s">
        <v>825</v>
      </c>
      <c r="C125" s="17" t="n">
        <v>42718</v>
      </c>
      <c r="D125" s="17" t="n">
        <f aca="false">'6. The summer'!B24</f>
        <v>42718.0582629376</v>
      </c>
      <c r="E125" s="17" t="n">
        <f aca="false">D125-C125</f>
        <v>0.0582629376003752</v>
      </c>
      <c r="F125" s="0" t="str">
        <f aca="false">IF(ABS(E125)&lt;=1,"reproduced",IF(ABS(E125)&lt;=1*3,"rounding","to check"))</f>
        <v>reproduced</v>
      </c>
    </row>
    <row r="126" customFormat="false" ht="15" hidden="false" customHeight="false" outlineLevel="0" collapsed="false">
      <c r="A126" s="0" t="s">
        <v>715</v>
      </c>
      <c r="B126" s="3" t="s">
        <v>826</v>
      </c>
      <c r="C126" s="17" t="n">
        <v>223190</v>
      </c>
      <c r="D126" s="17" t="n">
        <f aca="false">'6. The summer'!B27</f>
        <v>223189.516699313</v>
      </c>
      <c r="E126" s="17" t="n">
        <f aca="false">D126-C126</f>
        <v>-0.483300687017618</v>
      </c>
      <c r="F126" s="0" t="str">
        <f aca="false">IF(ABS(E126)&lt;=1,"reproduced",IF(ABS(E126)&lt;=1*3,"rounding","to check"))</f>
        <v>reproduced</v>
      </c>
    </row>
    <row r="127" customFormat="false" ht="15" hidden="false" customHeight="false" outlineLevel="0" collapsed="false">
      <c r="A127" s="0" t="s">
        <v>715</v>
      </c>
      <c r="B127" s="3" t="s">
        <v>827</v>
      </c>
      <c r="C127" s="17" t="n">
        <v>141858</v>
      </c>
      <c r="D127" s="17" t="n">
        <f aca="false">'6. The summer'!B28</f>
        <v>141857.5872</v>
      </c>
      <c r="E127" s="17" t="n">
        <f aca="false">D127-C127</f>
        <v>-0.412799999990966</v>
      </c>
      <c r="F127" s="0" t="str">
        <f aca="false">IF(ABS(E127)&lt;=1,"reproduced",IF(ABS(E127)&lt;=1*3,"rounding","to check"))</f>
        <v>reproduced</v>
      </c>
    </row>
    <row r="128" customFormat="false" ht="15" hidden="false" customHeight="false" outlineLevel="0" collapsed="false">
      <c r="A128" s="0" t="s">
        <v>715</v>
      </c>
      <c r="B128" s="3" t="s">
        <v>828</v>
      </c>
      <c r="C128" s="17" t="n">
        <v>4405</v>
      </c>
      <c r="D128" s="17" t="n">
        <f aca="false">'6. The summer'!B29</f>
        <v>4405.31644170241</v>
      </c>
      <c r="E128" s="17" t="n">
        <f aca="false">D128-C128</f>
        <v>0.316441702414522</v>
      </c>
      <c r="F128" s="0" t="str">
        <f aca="false">IF(ABS(E128)&lt;=1,"reproduced",IF(ABS(E128)&lt;=1*3,"rounding","to check"))</f>
        <v>reproduced</v>
      </c>
    </row>
    <row r="129" customFormat="false" ht="15" hidden="false" customHeight="false" outlineLevel="0" collapsed="false">
      <c r="A129" s="0" t="s">
        <v>715</v>
      </c>
      <c r="B129" s="3" t="s">
        <v>829</v>
      </c>
      <c r="C129" s="17" t="n">
        <v>75827</v>
      </c>
      <c r="D129" s="17" t="n">
        <f aca="false">'6. The summer'!B30</f>
        <v>75826.9177703223</v>
      </c>
      <c r="E129" s="17" t="n">
        <f aca="false">D129-C129</f>
        <v>-0.0822296777041629</v>
      </c>
      <c r="F129" s="0" t="str">
        <f aca="false">IF(ABS(E129)&lt;=1,"reproduced",IF(ABS(E129)&lt;=1*3,"rounding","to check"))</f>
        <v>reproduced</v>
      </c>
    </row>
    <row r="130" customFormat="false" ht="15" hidden="false" customHeight="false" outlineLevel="0" collapsed="false">
      <c r="A130" s="0" t="s">
        <v>715</v>
      </c>
      <c r="B130" s="3" t="s">
        <v>830</v>
      </c>
      <c r="C130" s="17" t="n">
        <v>297440</v>
      </c>
      <c r="D130" s="17" t="n">
        <f aca="false">'6. The summer'!B31</f>
        <v>297440</v>
      </c>
      <c r="E130" s="17" t="n">
        <f aca="false">D130-C130</f>
        <v>0</v>
      </c>
      <c r="F130" s="0" t="str">
        <f aca="false">IF(ABS(E130)&lt;=1,"reproduced",IF(ABS(E130)&lt;=1*3,"rounding","to check"))</f>
        <v>reproduced</v>
      </c>
    </row>
    <row r="131" customFormat="false" ht="15" hidden="false" customHeight="false" outlineLevel="0" collapsed="false">
      <c r="A131" s="0" t="s">
        <v>715</v>
      </c>
      <c r="B131" s="3" t="s">
        <v>831</v>
      </c>
      <c r="C131" s="37" t="n">
        <v>4.1</v>
      </c>
      <c r="D131" s="37" t="n">
        <f aca="false">'6. The summer'!B32</f>
        <v>4.05690545996367</v>
      </c>
      <c r="E131" s="37" t="n">
        <f aca="false">D131-C131</f>
        <v>-0.043094540036333</v>
      </c>
      <c r="F131" s="0" t="str">
        <f aca="false">IF(ABS(E131)&lt;=0.05,"reproduced",IF(ABS(E131)&lt;=0.05*3,"rounding","to check"))</f>
        <v>reproduced</v>
      </c>
    </row>
    <row r="132" customFormat="false" ht="15" hidden="false" customHeight="false" outlineLevel="0" collapsed="false">
      <c r="A132" s="0" t="s">
        <v>832</v>
      </c>
      <c r="B132" s="3" t="s">
        <v>833</v>
      </c>
      <c r="C132" s="17" t="n">
        <v>68640</v>
      </c>
      <c r="D132" s="17" t="n">
        <f aca="false">'7. The cost base'!B49</f>
        <v>68640</v>
      </c>
      <c r="E132" s="17" t="n">
        <f aca="false">D132-C132</f>
        <v>0</v>
      </c>
      <c r="F132" s="0" t="str">
        <f aca="false">IF(ABS(E132)&lt;=1,"reproduced",IF(ABS(E132)&lt;=1*3,"rounding","to check"))</f>
        <v>reproduced</v>
      </c>
    </row>
    <row r="133" customFormat="false" ht="15" hidden="false" customHeight="false" outlineLevel="0" collapsed="false">
      <c r="A133" s="0" t="s">
        <v>832</v>
      </c>
      <c r="B133" s="3" t="s">
        <v>834</v>
      </c>
      <c r="C133" s="17" t="n">
        <v>122571</v>
      </c>
      <c r="D133" s="17" t="n">
        <f aca="false">'7. The cost base'!D49</f>
        <v>122571.323291312</v>
      </c>
      <c r="E133" s="17" t="n">
        <f aca="false">D133-C133</f>
        <v>0.323291311637149</v>
      </c>
      <c r="F133" s="0" t="str">
        <f aca="false">IF(ABS(E133)&lt;=1,"reproduced",IF(ABS(E133)&lt;=1*3,"rounding","to check"))</f>
        <v>reproduced</v>
      </c>
    </row>
    <row r="134" customFormat="false" ht="15" hidden="false" customHeight="false" outlineLevel="0" collapsed="false">
      <c r="A134" s="0" t="s">
        <v>832</v>
      </c>
      <c r="B134" s="3" t="s">
        <v>835</v>
      </c>
      <c r="C134" s="17" t="n">
        <v>-137280</v>
      </c>
      <c r="D134" s="17" t="n">
        <f aca="false">'7. The cost base'!B51</f>
        <v>-137280</v>
      </c>
      <c r="E134" s="17" t="n">
        <f aca="false">D134-C134</f>
        <v>0</v>
      </c>
      <c r="F134" s="0" t="str">
        <f aca="false">IF(ABS(E134)&lt;=1,"reproduced",IF(ABS(E134)&lt;=1*3,"rounding","to check"))</f>
        <v>reproduced</v>
      </c>
    </row>
    <row r="135" customFormat="false" ht="15" hidden="false" customHeight="false" outlineLevel="0" collapsed="false">
      <c r="A135" s="0" t="s">
        <v>832</v>
      </c>
      <c r="B135" s="3" t="s">
        <v>834</v>
      </c>
      <c r="C135" s="17" t="n">
        <v>-245143</v>
      </c>
      <c r="D135" s="17" t="n">
        <f aca="false">'7. The cost base'!D51</f>
        <v>-245142.646582623</v>
      </c>
      <c r="E135" s="17" t="n">
        <f aca="false">D135-C135</f>
        <v>0.353417376725702</v>
      </c>
      <c r="F135" s="0" t="str">
        <f aca="false">IF(ABS(E135)&lt;=1,"reproduced",IF(ABS(E135)&lt;=1*3,"rounding","to check"))</f>
        <v>reproduced</v>
      </c>
    </row>
    <row r="136" customFormat="false" ht="15" hidden="false" customHeight="false" outlineLevel="0" collapsed="false">
      <c r="A136" s="0" t="s">
        <v>832</v>
      </c>
      <c r="B136" s="3" t="s">
        <v>836</v>
      </c>
      <c r="C136" s="17" t="n">
        <v>-2400000</v>
      </c>
      <c r="D136" s="17" t="n">
        <f aca="false">'7. The cost base'!E51</f>
        <v>-2362944.73036474</v>
      </c>
      <c r="E136" s="17" t="n">
        <f aca="false">D136-C136</f>
        <v>37055.2696352652</v>
      </c>
      <c r="F136" s="0" t="str">
        <f aca="false">IF(ABS(E136)&lt;=50000,"reproduced",IF(ABS(E136)&lt;=50000*3,"rounding","to check"))</f>
        <v>reproduced</v>
      </c>
    </row>
    <row r="137" customFormat="false" ht="15" hidden="false" customHeight="false" outlineLevel="0" collapsed="false">
      <c r="A137" s="0" t="s">
        <v>832</v>
      </c>
      <c r="B137" s="3" t="s">
        <v>837</v>
      </c>
      <c r="C137" s="56" t="n">
        <v>0.42</v>
      </c>
      <c r="D137" s="56" t="n">
        <f aca="false">'7. The cost base'!B54</f>
        <v>0.418692712625971</v>
      </c>
      <c r="E137" s="56" t="n">
        <f aca="false">D137-C137</f>
        <v>-0.00130728737402924</v>
      </c>
      <c r="F137" s="0" t="str">
        <f aca="false">IF(ABS(E137)&lt;=0.005,"reproduced",IF(ABS(E137)&lt;=0.005*3,"rounding","to check"))</f>
        <v>reproduced</v>
      </c>
    </row>
    <row r="138" customFormat="false" ht="15" hidden="false" customHeight="false" outlineLevel="0" collapsed="false">
      <c r="A138" s="0" t="s">
        <v>718</v>
      </c>
      <c r="B138" s="3" t="s">
        <v>838</v>
      </c>
      <c r="C138" s="56" t="n">
        <v>0.24393</v>
      </c>
      <c r="D138" s="56" t="n">
        <f aca="false">'7. The cost base'!D4</f>
        <v>0.243929838038049</v>
      </c>
      <c r="E138" s="56" t="n">
        <f aca="false">D138-C138</f>
        <v>-1.61961951017364E-007</v>
      </c>
      <c r="F138" s="0" t="str">
        <f aca="false">IF(ABS(E138)&lt;=0.000005,"reproduced",IF(ABS(E138)&lt;=0.000005*3,"rounding","to check"))</f>
        <v>reproduced</v>
      </c>
    </row>
    <row r="139" customFormat="false" ht="15" hidden="false" customHeight="false" outlineLevel="0" collapsed="false">
      <c r="A139" s="0" t="s">
        <v>718</v>
      </c>
      <c r="B139" s="3" t="s">
        <v>239</v>
      </c>
      <c r="C139" s="56" t="n">
        <v>0.657</v>
      </c>
      <c r="D139" s="56" t="n">
        <f aca="false">'7. The cost base'!C19</f>
        <v>0.657305041921837</v>
      </c>
      <c r="E139" s="56" t="n">
        <f aca="false">D139-C139</f>
        <v>0.000305041921836446</v>
      </c>
      <c r="F139" s="0" t="str">
        <f aca="false">IF(ABS(E139)&lt;=0.0005,"reproduced",IF(ABS(E139)&lt;=0.0005*3,"rounding","to check"))</f>
        <v>reproduced</v>
      </c>
    </row>
    <row r="140" customFormat="false" ht="15" hidden="false" customHeight="false" outlineLevel="0" collapsed="false">
      <c r="A140" s="0" t="s">
        <v>718</v>
      </c>
      <c r="B140" s="3" t="s">
        <v>839</v>
      </c>
      <c r="C140" s="17" t="n">
        <v>88954.28</v>
      </c>
      <c r="D140" s="17" t="n">
        <f aca="false">'7. The cost base'!D27</f>
        <v>88954.2828622316</v>
      </c>
      <c r="E140" s="17" t="n">
        <f aca="false">D140-C140</f>
        <v>0.00286223157308996</v>
      </c>
      <c r="F140" s="0" t="str">
        <f aca="false">IF(ABS(E140)&lt;=0.005,"reproduced",IF(ABS(E140)&lt;=0.005*3,"rounding","to check"))</f>
        <v>reproduced</v>
      </c>
    </row>
    <row r="141" customFormat="false" ht="15" hidden="false" customHeight="false" outlineLevel="0" collapsed="false">
      <c r="A141" s="0" t="s">
        <v>718</v>
      </c>
      <c r="B141" s="3" t="s">
        <v>840</v>
      </c>
      <c r="C141" s="17" t="n">
        <v>16342.86</v>
      </c>
      <c r="D141" s="17" t="n">
        <f aca="false">'7. The cost base'!D28</f>
        <v>16342.8571428571</v>
      </c>
      <c r="E141" s="17" t="n">
        <f aca="false">D141-C141</f>
        <v>-0.00285714285928407</v>
      </c>
      <c r="F141" s="0" t="str">
        <f aca="false">IF(ABS(E141)&lt;=0.005,"reproduced",IF(ABS(E141)&lt;=0.005*3,"rounding","to check"))</f>
        <v>reproduced</v>
      </c>
    </row>
    <row r="142" customFormat="false" ht="15" hidden="false" customHeight="false" outlineLevel="0" collapsed="false">
      <c r="A142" s="0" t="s">
        <v>718</v>
      </c>
      <c r="B142" s="3" t="s">
        <v>841</v>
      </c>
      <c r="C142" s="17" t="n">
        <v>105297.14</v>
      </c>
      <c r="D142" s="17" t="n">
        <f aca="false">'7. The cost base'!D29</f>
        <v>105297.140005089</v>
      </c>
      <c r="E142" s="17" t="n">
        <f aca="false">D142-C142</f>
        <v>5.08871744386852E-006</v>
      </c>
      <c r="F142" s="0" t="str">
        <f aca="false">IF(ABS(E142)&lt;=0.005,"reproduced",IF(ABS(E142)&lt;=0.005*3,"rounding","to check"))</f>
        <v>reproduced</v>
      </c>
    </row>
    <row r="143" customFormat="false" ht="15" hidden="false" customHeight="false" outlineLevel="0" collapsed="false">
      <c r="A143" s="0" t="s">
        <v>718</v>
      </c>
      <c r="B143" s="3" t="s">
        <v>842</v>
      </c>
      <c r="C143" s="17" t="n">
        <v>202</v>
      </c>
      <c r="D143" s="17" t="n">
        <f aca="false">'7. The cost base'!B30</f>
        <v>202.494500009786</v>
      </c>
      <c r="E143" s="17" t="n">
        <f aca="false">D143-C143</f>
        <v>0.49450000978598</v>
      </c>
      <c r="F143" s="0" t="str">
        <f aca="false">IF(ABS(E143)&lt;=0.5,"reproduced",IF(ABS(E143)&lt;=0.5*3,"rounding","to check"))</f>
        <v>reproduced</v>
      </c>
    </row>
    <row r="144" customFormat="false" ht="15" hidden="false" customHeight="false" outlineLevel="0" collapsed="false">
      <c r="A144" s="0" t="s">
        <v>718</v>
      </c>
      <c r="B144" s="3" t="s">
        <v>250</v>
      </c>
      <c r="C144" s="56" t="n">
        <v>0.075</v>
      </c>
      <c r="D144" s="56" t="n">
        <f aca="false">'7. The cost base'!B31</f>
        <v>0.0748400766530043</v>
      </c>
      <c r="E144" s="56" t="n">
        <f aca="false">D144-C144</f>
        <v>-0.000159923346995744</v>
      </c>
      <c r="F144" s="0" t="str">
        <f aca="false">IF(ABS(E144)&lt;=0.0005,"reproduced",IF(ABS(E144)&lt;=0.0005*3,"rounding","to check"))</f>
        <v>reproduced</v>
      </c>
    </row>
    <row r="145" customFormat="false" ht="15" hidden="false" customHeight="false" outlineLevel="0" collapsed="false">
      <c r="A145" s="0" t="s">
        <v>718</v>
      </c>
      <c r="B145" s="3" t="s">
        <v>829</v>
      </c>
      <c r="C145" s="17" t="n">
        <v>1800000</v>
      </c>
      <c r="D145" s="17" t="n">
        <f aca="false">'7. The cost base'!B32</f>
        <v>1812436.78684078</v>
      </c>
      <c r="E145" s="17" t="n">
        <f aca="false">D145-C145</f>
        <v>12436.7868407785</v>
      </c>
      <c r="F145" s="0" t="str">
        <f aca="false">IF(ABS(E145)&lt;=50000,"reproduced",IF(ABS(E145)&lt;=50000*3,"rounding","to check"))</f>
        <v>reproduced</v>
      </c>
    </row>
    <row r="146" customFormat="false" ht="15" hidden="false" customHeight="false" outlineLevel="0" collapsed="false">
      <c r="A146" s="0" t="s">
        <v>718</v>
      </c>
      <c r="B146" s="3" t="s">
        <v>843</v>
      </c>
      <c r="C146" s="56" t="n">
        <v>0.177</v>
      </c>
      <c r="D146" s="56" t="n">
        <f aca="false">'7. The cost base'!B33</f>
        <v>0.176718944395734</v>
      </c>
      <c r="E146" s="56" t="n">
        <f aca="false">D146-C146</f>
        <v>-0.000281055604265557</v>
      </c>
      <c r="F146" s="0" t="str">
        <f aca="false">IF(ABS(E146)&lt;=0.0005,"reproduced",IF(ABS(E146)&lt;=0.0005*3,"rounding","to check"))</f>
        <v>reproduced</v>
      </c>
    </row>
    <row r="147" customFormat="false" ht="15" hidden="false" customHeight="false" outlineLevel="0" collapsed="false">
      <c r="A147" s="0" t="s">
        <v>718</v>
      </c>
      <c r="B147" s="3" t="s">
        <v>844</v>
      </c>
      <c r="C147" s="17" t="n">
        <v>146154</v>
      </c>
      <c r="D147" s="17" t="n">
        <f aca="false">'7. The cost base'!B34</f>
        <v>146154.282862232</v>
      </c>
      <c r="E147" s="17" t="n">
        <f aca="false">D147-C147</f>
        <v>0.282862231571926</v>
      </c>
      <c r="F147" s="0" t="str">
        <f aca="false">IF(ABS(E147)&lt;=1,"reproduced",IF(ABS(E147)&lt;=1*3,"rounding","to check"))</f>
        <v>reproduced</v>
      </c>
    </row>
    <row r="148" customFormat="false" ht="15" hidden="false" customHeight="false" outlineLevel="0" collapsed="false">
      <c r="A148" s="0" t="s">
        <v>718</v>
      </c>
      <c r="B148" s="3" t="s">
        <v>253</v>
      </c>
      <c r="C148" s="56" t="n">
        <v>0.388</v>
      </c>
      <c r="D148" s="56" t="n">
        <f aca="false">'7. The cost base'!B35</f>
        <v>0.388017593404421</v>
      </c>
      <c r="E148" s="56" t="n">
        <f aca="false">D148-C148</f>
        <v>1.7593404420535E-005</v>
      </c>
      <c r="F148" s="0" t="str">
        <f aca="false">IF(ABS(E148)&lt;=0.0005,"reproduced",IF(ABS(E148)&lt;=0.0005*3,"rounding","to check"))</f>
        <v>reproduced</v>
      </c>
    </row>
    <row r="149" customFormat="false" ht="15" hidden="false" customHeight="false" outlineLevel="0" collapsed="false">
      <c r="A149" s="0" t="s">
        <v>718</v>
      </c>
      <c r="B149" s="3" t="s">
        <v>845</v>
      </c>
      <c r="C149" s="17" t="n">
        <v>7198</v>
      </c>
      <c r="D149" s="17" t="n">
        <f aca="false">'7. The cost base'!B36</f>
        <v>7198.39303335936</v>
      </c>
      <c r="E149" s="17" t="n">
        <f aca="false">D149-C149</f>
        <v>0.393033359360743</v>
      </c>
      <c r="F149" s="0" t="str">
        <f aca="false">IF(ABS(E149)&lt;=1,"reproduced",IF(ABS(E149)&lt;=1*3,"rounding","to check"))</f>
        <v>reproduced</v>
      </c>
    </row>
    <row r="150" customFormat="false" ht="15" hidden="false" customHeight="false" outlineLevel="0" collapsed="false">
      <c r="A150" s="0" t="s">
        <v>718</v>
      </c>
      <c r="B150" s="3" t="s">
        <v>846</v>
      </c>
      <c r="C150" s="56" t="n">
        <v>0.068</v>
      </c>
      <c r="D150" s="56" t="n">
        <f aca="false">'7. The cost base'!B37</f>
        <v>0.0683626642946948</v>
      </c>
      <c r="E150" s="56" t="n">
        <f aca="false">D150-C150</f>
        <v>0.000362664294694823</v>
      </c>
      <c r="F150" s="0" t="str">
        <f aca="false">IF(ABS(E150)&lt;=0.0005,"reproduced",IF(ABS(E150)&lt;=0.0005*3,"rounding","to check"))</f>
        <v>reproduced</v>
      </c>
    </row>
    <row r="151" customFormat="false" ht="15" hidden="false" customHeight="false" outlineLevel="0" collapsed="false">
      <c r="A151" s="0" t="s">
        <v>718</v>
      </c>
      <c r="B151" s="3" t="s">
        <v>847</v>
      </c>
      <c r="C151" s="17" t="n">
        <v>98099</v>
      </c>
      <c r="D151" s="17" t="n">
        <f aca="false">'7. The cost base'!B38</f>
        <v>98098.7469717294</v>
      </c>
      <c r="E151" s="17" t="n">
        <f aca="false">D151-C151</f>
        <v>-0.253028270642972</v>
      </c>
      <c r="F151" s="0" t="str">
        <f aca="false">IF(ABS(E151)&lt;=1,"reproduced",IF(ABS(E151)&lt;=1*3,"rounding","to check"))</f>
        <v>reproduced</v>
      </c>
    </row>
    <row r="152" customFormat="false" ht="15" hidden="false" customHeight="false" outlineLevel="0" collapsed="false">
      <c r="A152" s="0" t="s">
        <v>718</v>
      </c>
      <c r="B152" s="3" t="s">
        <v>848</v>
      </c>
      <c r="C152" s="17" t="n">
        <v>117520</v>
      </c>
      <c r="D152" s="17" t="n">
        <f aca="false">'7. The cost base'!B40</f>
        <v>117520</v>
      </c>
      <c r="E152" s="17" t="n">
        <f aca="false">D152-C152</f>
        <v>0</v>
      </c>
      <c r="F152" s="0" t="str">
        <f aca="false">IF(ABS(E152)&lt;=1,"reproduced",IF(ABS(E152)&lt;=1*3,"rounding","to check"))</f>
        <v>reproduced</v>
      </c>
    </row>
    <row r="153" customFormat="false" ht="15" hidden="false" customHeight="false" outlineLevel="0" collapsed="false">
      <c r="A153" s="0" t="s">
        <v>718</v>
      </c>
      <c r="B153" s="3" t="s">
        <v>258</v>
      </c>
      <c r="C153" s="56" t="n">
        <v>0.629</v>
      </c>
      <c r="D153" s="56" t="n">
        <f aca="false">'7. The cost base'!B41</f>
        <v>0.628680592239678</v>
      </c>
      <c r="E153" s="56" t="n">
        <f aca="false">D153-C153</f>
        <v>-0.00031940776032191</v>
      </c>
      <c r="F153" s="0" t="str">
        <f aca="false">IF(ABS(E153)&lt;=0.0005,"reproduced",IF(ABS(E153)&lt;=0.0005*3,"rounding","to check"))</f>
        <v>reproduced</v>
      </c>
    </row>
    <row r="154" customFormat="false" ht="15" hidden="false" customHeight="false" outlineLevel="0" collapsed="false">
      <c r="A154" s="0" t="s">
        <v>718</v>
      </c>
      <c r="B154" s="3" t="s">
        <v>849</v>
      </c>
      <c r="C154" s="17" t="n">
        <v>2000000</v>
      </c>
      <c r="D154" s="17" t="n">
        <f aca="false">'7. The cost base'!B42</f>
        <v>2022823.89796375</v>
      </c>
      <c r="E154" s="17" t="n">
        <f aca="false">D154-C154</f>
        <v>22823.8979637502</v>
      </c>
      <c r="F154" s="0" t="str">
        <f aca="false">IF(ABS(E154)&lt;=50000,"reproduced",IF(ABS(E154)&lt;=50000*3,"rounding","to check"))</f>
        <v>reproduced</v>
      </c>
    </row>
    <row r="155" customFormat="false" ht="15" hidden="false" customHeight="false" outlineLevel="0" collapsed="false">
      <c r="A155" s="0" t="s">
        <v>718</v>
      </c>
      <c r="B155" s="3" t="s">
        <v>850</v>
      </c>
      <c r="C155" s="17" t="n">
        <v>4633</v>
      </c>
      <c r="D155" s="17" t="n">
        <f aca="false">'7. The cost base'!B44</f>
        <v>4633.2</v>
      </c>
      <c r="E155" s="17" t="n">
        <f aca="false">D155-C155</f>
        <v>0.199999999999818</v>
      </c>
      <c r="F155" s="0" t="str">
        <f aca="false">IF(ABS(E155)&lt;=1,"reproduced",IF(ABS(E155)&lt;=1*3,"rounding","to check"))</f>
        <v>reproduced</v>
      </c>
    </row>
    <row r="156" customFormat="false" ht="15" hidden="false" customHeight="false" outlineLevel="0" collapsed="false">
      <c r="A156" s="0" t="s">
        <v>718</v>
      </c>
      <c r="B156" s="3" t="s">
        <v>851</v>
      </c>
      <c r="C156" s="17" t="n">
        <v>927</v>
      </c>
      <c r="D156" s="17" t="n">
        <f aca="false">'7. The cost base'!B45</f>
        <v>926.64</v>
      </c>
      <c r="E156" s="17" t="n">
        <f aca="false">D156-C156</f>
        <v>-0.360000000000014</v>
      </c>
      <c r="F156" s="0" t="str">
        <f aca="false">IF(ABS(E156)&lt;=0.5,"reproduced",IF(ABS(E156)&lt;=0.5*3,"rounding","to check"))</f>
        <v>reproduced</v>
      </c>
    </row>
    <row r="157" customFormat="false" ht="15" hidden="false" customHeight="false" outlineLevel="0" collapsed="false">
      <c r="A157" s="0" t="s">
        <v>722</v>
      </c>
      <c r="B157" s="3" t="s">
        <v>852</v>
      </c>
      <c r="C157" s="37" t="n">
        <v>49.51</v>
      </c>
      <c r="D157" s="37" t="n">
        <f aca="false">'8. Capital expenditure'!C15</f>
        <v>49.5078589929523</v>
      </c>
      <c r="E157" s="37" t="n">
        <f aca="false">D157-C157</f>
        <v>-0.00214100704768327</v>
      </c>
      <c r="F157" s="0" t="str">
        <f aca="false">IF(ABS(E157)&lt;=0.005,"reproduced",IF(ABS(E157)&lt;=0.005*3,"rounding","to check"))</f>
        <v>reproduced</v>
      </c>
    </row>
    <row r="158" customFormat="false" ht="15" hidden="false" customHeight="false" outlineLevel="0" collapsed="false">
      <c r="A158" s="0" t="s">
        <v>722</v>
      </c>
      <c r="B158" s="3" t="s">
        <v>853</v>
      </c>
      <c r="C158" s="37" t="n">
        <v>24.99</v>
      </c>
      <c r="D158" s="37" t="n">
        <f aca="false">'8. Capital expenditure'!C16</f>
        <v>24.9939676006844</v>
      </c>
      <c r="E158" s="37" t="n">
        <f aca="false">D158-C158</f>
        <v>0.00396760068441182</v>
      </c>
      <c r="F158" s="0" t="str">
        <f aca="false">IF(ABS(E158)&lt;=0.005,"reproduced",IF(ABS(E158)&lt;=0.005*3,"rounding","to check"))</f>
        <v>reproduced</v>
      </c>
    </row>
    <row r="159" customFormat="false" ht="15" hidden="false" customHeight="false" outlineLevel="0" collapsed="false">
      <c r="A159" s="0" t="s">
        <v>722</v>
      </c>
      <c r="B159" s="3" t="s">
        <v>854</v>
      </c>
      <c r="C159" s="37" t="n">
        <v>1.98</v>
      </c>
      <c r="D159" s="37" t="n">
        <f aca="false">'8. Capital expenditure'!C17</f>
        <v>1.98064155491641</v>
      </c>
      <c r="E159" s="37" t="n">
        <f aca="false">D159-C159</f>
        <v>0.000641554916405163</v>
      </c>
      <c r="F159" s="0" t="str">
        <f aca="false">IF(ABS(E159)&lt;=0.005,"reproduced",IF(ABS(E159)&lt;=0.005*3,"rounding","to check"))</f>
        <v>reproduced</v>
      </c>
    </row>
    <row r="160" customFormat="false" ht="15" hidden="false" customHeight="false" outlineLevel="0" collapsed="false">
      <c r="A160" s="0" t="s">
        <v>722</v>
      </c>
      <c r="B160" s="3" t="s">
        <v>855</v>
      </c>
      <c r="C160" s="37" t="n">
        <v>76.48</v>
      </c>
      <c r="D160" s="37" t="n">
        <f aca="false">'8. Capital expenditure'!C12</f>
        <v>76.4824681485531</v>
      </c>
      <c r="E160" s="37" t="n">
        <f aca="false">D160-C160</f>
        <v>0.00246814855312039</v>
      </c>
      <c r="F160" s="0" t="str">
        <f aca="false">IF(ABS(E160)&lt;=0.005,"reproduced",IF(ABS(E160)&lt;=0.005*3,"rounding","to check"))</f>
        <v>reproduced</v>
      </c>
    </row>
    <row r="161" customFormat="false" ht="15" hidden="false" customHeight="false" outlineLevel="0" collapsed="false">
      <c r="A161" s="0" t="s">
        <v>722</v>
      </c>
      <c r="B161" s="3" t="s">
        <v>283</v>
      </c>
      <c r="C161" s="56" t="n">
        <v>0.0581</v>
      </c>
      <c r="D161" s="56" t="n">
        <f aca="false">'8. Capital expenditure'!C18</f>
        <v>0.058097</v>
      </c>
      <c r="E161" s="56" t="n">
        <f aca="false">D161-C161</f>
        <v>-2.99999999998218E-006</v>
      </c>
      <c r="F161" s="0" t="str">
        <f aca="false">IF(ABS(E161)&lt;=0.00005,"reproduced",IF(ABS(E161)&lt;=0.00005*3,"rounding","to check"))</f>
        <v>reproduced</v>
      </c>
    </row>
    <row r="162" customFormat="false" ht="15" hidden="false" customHeight="false" outlineLevel="0" collapsed="false">
      <c r="A162" s="0" t="s">
        <v>722</v>
      </c>
      <c r="B162" s="3" t="s">
        <v>856</v>
      </c>
      <c r="C162" s="56" t="n">
        <v>0.0499</v>
      </c>
      <c r="D162" s="56" t="n">
        <f aca="false">'8. Capital expenditure'!C19</f>
        <v>0.0499439688953643</v>
      </c>
      <c r="E162" s="56" t="n">
        <f aca="false">D162-C162</f>
        <v>4.39688953642534E-005</v>
      </c>
      <c r="F162" s="0" t="str">
        <f aca="false">IF(ABS(E162)&lt;=0.00005,"reproduced",IF(ABS(E162)&lt;=0.00005*3,"rounding","to check"))</f>
        <v>reproduced</v>
      </c>
    </row>
    <row r="163" customFormat="false" ht="15" hidden="false" customHeight="false" outlineLevel="0" collapsed="false">
      <c r="A163" s="0" t="s">
        <v>857</v>
      </c>
      <c r="B163" s="3" t="s">
        <v>858</v>
      </c>
      <c r="C163" s="17" t="n">
        <v>112</v>
      </c>
      <c r="D163" s="17" t="n">
        <f aca="false">'8. Capital expenditure'!C20</f>
        <v>112.452468148553</v>
      </c>
      <c r="E163" s="17" t="n">
        <f aca="false">D163-C163</f>
        <v>0.452468148553152</v>
      </c>
      <c r="F163" s="0" t="str">
        <f aca="false">IF(ABS(E163)&lt;=0.5,"reproduced",IF(ABS(E163)&lt;=0.5*3,"rounding","to check"))</f>
        <v>reproduced</v>
      </c>
    </row>
    <row r="164" customFormat="false" ht="15" hidden="false" customHeight="false" outlineLevel="0" collapsed="false">
      <c r="A164" s="0" t="s">
        <v>722</v>
      </c>
      <c r="B164" s="3" t="s">
        <v>859</v>
      </c>
      <c r="C164" s="17" t="n">
        <v>3096</v>
      </c>
      <c r="D164" s="17" t="n">
        <f aca="false">'8. Capital expenditure'!C22</f>
        <v>3096.24336905922</v>
      </c>
      <c r="E164" s="17" t="n">
        <f aca="false">D164-C164</f>
        <v>0.243369059218367</v>
      </c>
      <c r="F164" s="0" t="str">
        <f aca="false">IF(ABS(E164)&lt;=0.5,"reproduced",IF(ABS(E164)&lt;=0.5*3,"rounding","to check"))</f>
        <v>reproduced</v>
      </c>
    </row>
    <row r="165" customFormat="false" ht="15" hidden="false" customHeight="false" outlineLevel="0" collapsed="false">
      <c r="A165" s="0" t="s">
        <v>722</v>
      </c>
      <c r="B165" s="3" t="s">
        <v>860</v>
      </c>
      <c r="C165" s="17" t="n">
        <v>3994</v>
      </c>
      <c r="D165" s="17" t="n">
        <f aca="false">'8. Capital expenditure'!C23</f>
        <v>3994.15394608639</v>
      </c>
      <c r="E165" s="17" t="n">
        <f aca="false">D165-C165</f>
        <v>0.153946086391898</v>
      </c>
      <c r="F165" s="0" t="str">
        <f aca="false">IF(ABS(E165)&lt;=0.5,"reproduced",IF(ABS(E165)&lt;=0.5*3,"rounding","to check"))</f>
        <v>reproduced</v>
      </c>
    </row>
    <row r="166" customFormat="false" ht="15" hidden="false" customHeight="false" outlineLevel="0" collapsed="false">
      <c r="A166" s="0" t="s">
        <v>724</v>
      </c>
      <c r="B166" s="3" t="s">
        <v>861</v>
      </c>
      <c r="C166" s="17" t="n">
        <v>735429</v>
      </c>
      <c r="D166" s="17" t="n">
        <f aca="false">'8. Capital expenditure'!C24</f>
        <v>735428.571428571</v>
      </c>
      <c r="E166" s="17" t="n">
        <f aca="false">D166-C166</f>
        <v>-0.428571428637952</v>
      </c>
      <c r="F166" s="0" t="str">
        <f aca="false">IF(ABS(E166)&lt;=1,"reproduced",IF(ABS(E166)&lt;=1*3,"rounding","to check"))</f>
        <v>reproduced</v>
      </c>
    </row>
    <row r="167" customFormat="false" ht="15" hidden="false" customHeight="false" outlineLevel="0" collapsed="false">
      <c r="A167" s="0" t="s">
        <v>722</v>
      </c>
      <c r="B167" s="3" t="s">
        <v>862</v>
      </c>
      <c r="C167" s="56" t="n">
        <v>0.64</v>
      </c>
      <c r="D167" s="56" t="n">
        <f aca="false">'8. Capital expenditure'!C25</f>
        <v>0.644234728921474</v>
      </c>
      <c r="E167" s="56" t="n">
        <f aca="false">D167-C167</f>
        <v>0.00423472892147392</v>
      </c>
      <c r="F167" s="0" t="str">
        <f aca="false">IF(ABS(E167)&lt;=0.005,"reproduced",IF(ABS(E167)&lt;=0.005*3,"rounding","to check"))</f>
        <v>reproduced</v>
      </c>
    </row>
    <row r="168" customFormat="false" ht="15" hidden="false" customHeight="false" outlineLevel="0" collapsed="false">
      <c r="A168" s="0" t="s">
        <v>722</v>
      </c>
      <c r="B168" s="3" t="s">
        <v>863</v>
      </c>
      <c r="C168" s="17" t="n">
        <v>196120</v>
      </c>
      <c r="D168" s="17" t="n">
        <f aca="false">'17. Scenarios'!B90</f>
        <v>196120.206026196</v>
      </c>
      <c r="E168" s="17" t="n">
        <f aca="false">D168-C168</f>
        <v>0.206026196479797</v>
      </c>
      <c r="F168" s="0" t="str">
        <f aca="false">IF(ABS(E168)&lt;=1,"reproduced",IF(ABS(E168)&lt;=1*3,"rounding","to check"))</f>
        <v>reproduced</v>
      </c>
    </row>
    <row r="169" customFormat="false" ht="15" hidden="false" customHeight="false" outlineLevel="0" collapsed="false">
      <c r="A169" s="0" t="s">
        <v>722</v>
      </c>
      <c r="B169" s="3" t="s">
        <v>864</v>
      </c>
      <c r="C169" s="17" t="n">
        <v>2209</v>
      </c>
      <c r="D169" s="17" t="n">
        <f aca="false">'17. Scenarios'!B92</f>
        <v>2208.55627739281</v>
      </c>
      <c r="E169" s="17" t="n">
        <f aca="false">D169-C169</f>
        <v>-0.44372260719183</v>
      </c>
      <c r="F169" s="0" t="str">
        <f aca="false">IF(ABS(E169)&lt;=1,"reproduced",IF(ABS(E169)&lt;=1*3,"rounding","to check"))</f>
        <v>reproduced</v>
      </c>
    </row>
    <row r="170" customFormat="false" ht="15" hidden="false" customHeight="false" outlineLevel="0" collapsed="false">
      <c r="A170" s="0" t="s">
        <v>722</v>
      </c>
      <c r="B170" s="3" t="s">
        <v>865</v>
      </c>
      <c r="C170" s="17" t="n">
        <v>84829</v>
      </c>
      <c r="D170" s="17" t="n">
        <f aca="false">'17. Scenarios'!B96</f>
        <v>84829.3744459822</v>
      </c>
      <c r="E170" s="17" t="n">
        <f aca="false">D170-C170</f>
        <v>0.374445982190082</v>
      </c>
      <c r="F170" s="0" t="str">
        <f aca="false">IF(ABS(E170)&lt;=1,"reproduced",IF(ABS(E170)&lt;=1*3,"rounding","to check"))</f>
        <v>reproduced</v>
      </c>
    </row>
    <row r="171" customFormat="false" ht="15" hidden="false" customHeight="false" outlineLevel="0" collapsed="false">
      <c r="A171" s="0" t="s">
        <v>722</v>
      </c>
      <c r="B171" s="3" t="s">
        <v>653</v>
      </c>
      <c r="C171" s="17" t="n">
        <v>111291</v>
      </c>
      <c r="D171" s="17" t="n">
        <f aca="false">'17. Scenarios'!B97</f>
        <v>111290.831580214</v>
      </c>
      <c r="E171" s="17" t="n">
        <f aca="false">D171-C171</f>
        <v>-0.168419785710285</v>
      </c>
      <c r="F171" s="0" t="str">
        <f aca="false">IF(ABS(E171)&lt;=1,"reproduced",IF(ABS(E171)&lt;=1*3,"rounding","to check"))</f>
        <v>reproduced</v>
      </c>
    </row>
    <row r="172" customFormat="false" ht="15" hidden="false" customHeight="false" outlineLevel="0" collapsed="false">
      <c r="A172" s="0" t="s">
        <v>722</v>
      </c>
      <c r="B172" s="3" t="s">
        <v>866</v>
      </c>
      <c r="C172" s="17" t="n">
        <v>26461</v>
      </c>
      <c r="D172" s="17" t="n">
        <f aca="false">'17. Scenarios'!B98</f>
        <v>26461.4571342321</v>
      </c>
      <c r="E172" s="17" t="n">
        <f aca="false">D172-C172</f>
        <v>0.457134232099634</v>
      </c>
      <c r="F172" s="0" t="str">
        <f aca="false">IF(ABS(E172)&lt;=1,"reproduced",IF(ABS(E172)&lt;=1*3,"rounding","to check"))</f>
        <v>reproduced</v>
      </c>
    </row>
    <row r="173" customFormat="false" ht="15" hidden="false" customHeight="false" outlineLevel="0" collapsed="false">
      <c r="A173" s="0" t="s">
        <v>722</v>
      </c>
      <c r="B173" s="3" t="s">
        <v>867</v>
      </c>
      <c r="C173" s="37" t="n">
        <v>1.16</v>
      </c>
      <c r="D173" s="37" t="n">
        <f aca="false">'17. Scenarios'!B99</f>
        <v>1.15596871547769</v>
      </c>
      <c r="E173" s="37" t="n">
        <f aca="false">D173-C173</f>
        <v>-0.00403128452230717</v>
      </c>
      <c r="F173" s="0" t="str">
        <f aca="false">IF(ABS(E173)&lt;=0.005,"reproduced",IF(ABS(E173)&lt;=0.005*3,"rounding","to check"))</f>
        <v>reproduced</v>
      </c>
    </row>
    <row r="174" customFormat="false" ht="15" hidden="false" customHeight="false" outlineLevel="0" collapsed="false">
      <c r="A174" s="0" t="s">
        <v>722</v>
      </c>
      <c r="B174" s="3" t="s">
        <v>868</v>
      </c>
      <c r="C174" s="37" t="n">
        <v>3</v>
      </c>
      <c r="D174" s="37" t="n">
        <f aca="false">'17. Scenarios'!B100</f>
        <v>2.62329827211721</v>
      </c>
      <c r="E174" s="37" t="n">
        <f aca="false">D174-C174</f>
        <v>-0.376701727882786</v>
      </c>
      <c r="F174" s="0" t="str">
        <f aca="false">IF(ABS(E174)&lt;=0.5,"reproduced",IF(ABS(E174)&lt;=0.5*3,"rounding","to check"))</f>
        <v>reproduced</v>
      </c>
    </row>
    <row r="175" customFormat="false" ht="15" hidden="false" customHeight="false" outlineLevel="0" collapsed="false">
      <c r="A175" s="0" t="s">
        <v>869</v>
      </c>
      <c r="B175" s="3" t="s">
        <v>870</v>
      </c>
      <c r="C175" s="37" t="n">
        <v>67</v>
      </c>
      <c r="D175" s="37" t="n">
        <f aca="false">'15. City and competitor'!B5</f>
        <v>66.9748696064486</v>
      </c>
      <c r="E175" s="37" t="n">
        <f aca="false">D175-C175</f>
        <v>-0.02513039355145</v>
      </c>
      <c r="F175" s="0" t="str">
        <f aca="false">IF(ABS(E175)&lt;=0.05,"reproduced",IF(ABS(E175)&lt;=0.05*3,"rounding","to check"))</f>
        <v>reproduced</v>
      </c>
    </row>
    <row r="176" customFormat="false" ht="15" hidden="false" customHeight="false" outlineLevel="0" collapsed="false">
      <c r="A176" s="0" t="s">
        <v>869</v>
      </c>
      <c r="B176" s="3" t="s">
        <v>502</v>
      </c>
      <c r="C176" s="37" t="n">
        <v>71.8</v>
      </c>
      <c r="D176" s="37" t="n">
        <f aca="false">'15. City and competitor'!B6</f>
        <v>71.8152362889205</v>
      </c>
      <c r="E176" s="37" t="n">
        <f aca="false">D176-C176</f>
        <v>0.0152362889205051</v>
      </c>
      <c r="F176" s="0" t="str">
        <f aca="false">IF(ABS(E176)&lt;=0.05,"reproduced",IF(ABS(E176)&lt;=0.05*3,"rounding","to check"))</f>
        <v>reproduced</v>
      </c>
    </row>
    <row r="177" customFormat="false" ht="15" hidden="false" customHeight="false" outlineLevel="0" collapsed="false">
      <c r="A177" s="0" t="s">
        <v>869</v>
      </c>
      <c r="B177" s="3" t="s">
        <v>871</v>
      </c>
      <c r="C177" s="56" t="n">
        <v>0.072</v>
      </c>
      <c r="D177" s="56" t="n">
        <f aca="false">'15. City and competitor'!B7</f>
        <v>0.0722713864306785</v>
      </c>
      <c r="E177" s="56" t="n">
        <f aca="false">D177-C177</f>
        <v>0.000271386430678477</v>
      </c>
      <c r="F177" s="0" t="str">
        <f aca="false">IF(ABS(E177)&lt;=0.0005,"reproduced",IF(ABS(E177)&lt;=0.0005*3,"rounding","to check"))</f>
        <v>reproduced</v>
      </c>
    </row>
    <row r="178" customFormat="false" ht="15" hidden="false" customHeight="false" outlineLevel="0" collapsed="false">
      <c r="A178" s="0" t="s">
        <v>869</v>
      </c>
      <c r="B178" s="3" t="s">
        <v>872</v>
      </c>
      <c r="C178" s="56" t="n">
        <v>0.015</v>
      </c>
      <c r="D178" s="56" t="n">
        <f aca="false">'15. City and competitor'!B8</f>
        <v>0.0153392330383481</v>
      </c>
      <c r="E178" s="56" t="n">
        <f aca="false">D178-C178</f>
        <v>0.000339233038348083</v>
      </c>
      <c r="F178" s="0" t="str">
        <f aca="false">IF(ABS(E178)&lt;=0.0005,"reproduced",IF(ABS(E178)&lt;=0.0005*3,"rounding","to check"))</f>
        <v>reproduced</v>
      </c>
    </row>
    <row r="179" customFormat="false" ht="15" hidden="false" customHeight="false" outlineLevel="0" collapsed="false">
      <c r="A179" s="0" t="s">
        <v>869</v>
      </c>
      <c r="B179" s="3" t="s">
        <v>873</v>
      </c>
      <c r="C179" s="37" t="n">
        <v>49.6</v>
      </c>
      <c r="D179" s="37" t="n">
        <f aca="false">'15. City and competitor'!B9</f>
        <v>49.5614035087719</v>
      </c>
      <c r="E179" s="37" t="n">
        <f aca="false">D179-C179</f>
        <v>-0.0385964912280699</v>
      </c>
      <c r="F179" s="0" t="str">
        <f aca="false">IF(ABS(E179)&lt;=0.05,"reproduced",IF(ABS(E179)&lt;=0.05*3,"rounding","to check"))</f>
        <v>reproduced</v>
      </c>
    </row>
    <row r="180" customFormat="false" ht="15" hidden="false" customHeight="false" outlineLevel="0" collapsed="false">
      <c r="A180" s="0" t="s">
        <v>869</v>
      </c>
      <c r="B180" s="3" t="s">
        <v>874</v>
      </c>
      <c r="C180" s="17" t="n">
        <v>4238</v>
      </c>
      <c r="D180" s="17" t="n">
        <f aca="false">'15. City and competitor'!B10</f>
        <v>4237.5</v>
      </c>
      <c r="E180" s="17" t="n">
        <f aca="false">D180-C180</f>
        <v>-0.5</v>
      </c>
      <c r="F180" s="0" t="str">
        <f aca="false">IF(ABS(E180)&lt;=0.5,"reproduced",IF(ABS(E180)&lt;=0.5*3,"rounding","to check"))</f>
        <v>reproduced</v>
      </c>
    </row>
    <row r="181" customFormat="false" ht="15" hidden="false" customHeight="false" outlineLevel="0" collapsed="false">
      <c r="A181" s="0" t="s">
        <v>875</v>
      </c>
      <c r="B181" s="3" t="s">
        <v>876</v>
      </c>
      <c r="C181" s="17" t="n">
        <v>-217929</v>
      </c>
      <c r="D181" s="17" t="n">
        <f aca="false">'15. City and competitor'!E15</f>
        <v>-217929.148527058</v>
      </c>
      <c r="E181" s="17" t="n">
        <f aca="false">D181-C181</f>
        <v>-0.148527057754109</v>
      </c>
      <c r="F181" s="0" t="str">
        <f aca="false">IF(ABS(E181)&lt;=1,"reproduced",IF(ABS(E181)&lt;=1*3,"rounding","to check"))</f>
        <v>reproduced</v>
      </c>
    </row>
    <row r="182" customFormat="false" ht="15" hidden="false" customHeight="false" outlineLevel="0" collapsed="false">
      <c r="A182" s="0" t="s">
        <v>875</v>
      </c>
      <c r="B182" s="3" t="s">
        <v>877</v>
      </c>
      <c r="C182" s="17" t="n">
        <v>-435858</v>
      </c>
      <c r="D182" s="17" t="n">
        <f aca="false">'15. City and competitor'!E16</f>
        <v>-435858.297054116</v>
      </c>
      <c r="E182" s="17" t="n">
        <f aca="false">D182-C182</f>
        <v>-0.297054115508217</v>
      </c>
      <c r="F182" s="0" t="str">
        <f aca="false">IF(ABS(E182)&lt;=1,"reproduced",IF(ABS(E182)&lt;=1*3,"rounding","to check"))</f>
        <v>reproduced</v>
      </c>
    </row>
    <row r="183" customFormat="false" ht="15" hidden="false" customHeight="false" outlineLevel="0" collapsed="false">
      <c r="A183" s="0" t="s">
        <v>875</v>
      </c>
      <c r="B183" s="3" t="s">
        <v>878</v>
      </c>
      <c r="C183" s="17" t="n">
        <v>-871717</v>
      </c>
      <c r="D183" s="17" t="n">
        <f aca="false">'15. City and competitor'!E17</f>
        <v>-871716.594108231</v>
      </c>
      <c r="E183" s="17" t="n">
        <f aca="false">D183-C183</f>
        <v>0.405891768983565</v>
      </c>
      <c r="F183" s="0" t="str">
        <f aca="false">IF(ABS(E183)&lt;=1,"reproduced",IF(ABS(E183)&lt;=1*3,"rounding","to check"))</f>
        <v>reproduced</v>
      </c>
    </row>
    <row r="184" customFormat="false" ht="15" hidden="false" customHeight="false" outlineLevel="0" collapsed="false">
      <c r="A184" s="0" t="s">
        <v>875</v>
      </c>
      <c r="B184" s="3" t="s">
        <v>879</v>
      </c>
      <c r="C184" s="56" t="n">
        <v>-0.0397</v>
      </c>
      <c r="D184" s="56" t="n">
        <f aca="false">'15. City and competitor'!C18</f>
        <v>-0.0397492625368732</v>
      </c>
      <c r="E184" s="56" t="n">
        <f aca="false">D184-C184</f>
        <v>-4.92625368731653E-005</v>
      </c>
      <c r="F184" s="0" t="str">
        <f aca="false">IF(ABS(E184)&lt;=0.00005,"reproduced",IF(ABS(E184)&lt;=0.00005*3,"rounding","to check"))</f>
        <v>reproduced</v>
      </c>
    </row>
    <row r="185" customFormat="false" ht="15" hidden="false" customHeight="false" outlineLevel="0" collapsed="false">
      <c r="A185" s="0" t="s">
        <v>875</v>
      </c>
      <c r="B185" s="3" t="s">
        <v>880</v>
      </c>
      <c r="C185" s="17" t="n">
        <v>-2700000</v>
      </c>
      <c r="D185" s="17" t="n">
        <f aca="false">'15. City and competitor'!E18</f>
        <v>-2669632.06945646</v>
      </c>
      <c r="E185" s="17" t="n">
        <f aca="false">D185-C185</f>
        <v>30367.9305435424</v>
      </c>
      <c r="F185" s="0" t="str">
        <f aca="false">IF(ABS(E185)&lt;=50000,"reproduced",IF(ABS(E185)&lt;=50000*3,"rounding","to check"))</f>
        <v>reproduced</v>
      </c>
    </row>
    <row r="186" customFormat="false" ht="15" hidden="false" customHeight="false" outlineLevel="0" collapsed="false">
      <c r="A186" s="0" t="s">
        <v>875</v>
      </c>
      <c r="B186" s="3" t="s">
        <v>881</v>
      </c>
      <c r="C186" s="56" t="n">
        <v>0.057</v>
      </c>
      <c r="D186" s="56" t="n">
        <f aca="false">'15. City and competitor'!B21</f>
        <v>0.0574729536857028</v>
      </c>
      <c r="E186" s="56" t="n">
        <f aca="false">D186-C186</f>
        <v>0.000472953685702805</v>
      </c>
      <c r="F186" s="0" t="str">
        <f aca="false">IF(ABS(E186)&lt;=0.0005,"reproduced",IF(ABS(E186)&lt;=0.0005*3,"rounding","to check"))</f>
        <v>reproduced</v>
      </c>
    </row>
    <row r="187" customFormat="false" ht="15" hidden="false" customHeight="false" outlineLevel="0" collapsed="false">
      <c r="A187" s="0" t="s">
        <v>882</v>
      </c>
      <c r="B187" s="3" t="s">
        <v>883</v>
      </c>
      <c r="C187" s="56" t="n">
        <v>-0.0519</v>
      </c>
      <c r="D187" s="56" t="n">
        <f aca="false">'15. City and competitor'!C19</f>
        <v>-0.0519174041297935</v>
      </c>
      <c r="E187" s="56" t="n">
        <f aca="false">D187-C187</f>
        <v>-1.74041297935149E-005</v>
      </c>
      <c r="F187" s="0" t="str">
        <f aca="false">IF(ABS(E187)&lt;=0.00005,"reproduced",IF(ABS(E187)&lt;=0.00005*3,"rounding","to check"))</f>
        <v>reproduced</v>
      </c>
    </row>
    <row r="188" customFormat="false" ht="15" hidden="false" customHeight="false" outlineLevel="0" collapsed="false">
      <c r="A188" s="0" t="s">
        <v>882</v>
      </c>
      <c r="B188" s="3" t="s">
        <v>880</v>
      </c>
      <c r="C188" s="17" t="n">
        <v>-3500000</v>
      </c>
      <c r="D188" s="17" t="n">
        <f aca="false">'15. City and competitor'!E19</f>
        <v>-3486866.37643292</v>
      </c>
      <c r="E188" s="17" t="n">
        <f aca="false">D188-C188</f>
        <v>13133.6235670759</v>
      </c>
      <c r="F188" s="0" t="str">
        <f aca="false">IF(ABS(E188)&lt;=50000,"reproduced",IF(ABS(E188)&lt;=50000*3,"rounding","to check"))</f>
        <v>reproduced</v>
      </c>
    </row>
    <row r="189" customFormat="false" ht="15" hidden="false" customHeight="false" outlineLevel="0" collapsed="false">
      <c r="A189" s="0" t="s">
        <v>882</v>
      </c>
      <c r="B189" s="3" t="s">
        <v>884</v>
      </c>
      <c r="C189" s="37" t="n">
        <v>8</v>
      </c>
      <c r="D189" s="37" t="n">
        <f aca="false">'15. City and competitor'!B23</f>
        <v>8</v>
      </c>
      <c r="E189" s="37" t="n">
        <f aca="false">D189-C189</f>
        <v>0</v>
      </c>
      <c r="F189" s="0" t="str">
        <f aca="false">IF(ABS(E189)&lt;=0.5,"reproduced",IF(ABS(E189)&lt;=0.5*3,"rounding","to check"))</f>
        <v>reproduced</v>
      </c>
    </row>
    <row r="190" customFormat="false" ht="15" hidden="false" customHeight="false" outlineLevel="0" collapsed="false">
      <c r="A190" s="0" t="s">
        <v>730</v>
      </c>
      <c r="B190" s="3" t="s">
        <v>514</v>
      </c>
      <c r="C190" s="17" t="n">
        <v>43800000</v>
      </c>
      <c r="D190" s="17" t="n">
        <f aca="false">'15. City and competitor'!B22</f>
        <v>43780600.5748519</v>
      </c>
      <c r="E190" s="17" t="n">
        <f aca="false">D190-C190</f>
        <v>-19399.425148055</v>
      </c>
      <c r="F190" s="0" t="str">
        <f aca="false">IF(ABS(E190)&lt;=50000,"reproduced",IF(ABS(E190)&lt;=50000*3,"rounding","to check"))</f>
        <v>reproduced</v>
      </c>
    </row>
    <row r="191" customFormat="false" ht="15" hidden="false" customHeight="false" outlineLevel="0" collapsed="false">
      <c r="A191" s="0" t="s">
        <v>885</v>
      </c>
      <c r="B191" s="3" t="s">
        <v>886</v>
      </c>
      <c r="C191" s="17" t="n">
        <v>9635</v>
      </c>
      <c r="D191" s="17" t="n">
        <f aca="false">'14. The nomination'!B33</f>
        <v>9634.86456396243</v>
      </c>
      <c r="E191" s="17" t="n">
        <f aca="false">D191-C191</f>
        <v>-0.135436037575346</v>
      </c>
      <c r="F191" s="0" t="str">
        <f aca="false">IF(ABS(E191)&lt;=1,"reproduced",IF(ABS(E191)&lt;=1*3,"rounding","to check"))</f>
        <v>reproduced</v>
      </c>
    </row>
    <row r="192" customFormat="false" ht="15" hidden="false" customHeight="false" outlineLevel="0" collapsed="false">
      <c r="A192" s="0" t="s">
        <v>885</v>
      </c>
      <c r="B192" s="3" t="s">
        <v>887</v>
      </c>
      <c r="C192" s="56" t="n">
        <v>0.06</v>
      </c>
      <c r="D192" s="56" t="n">
        <f aca="false">'14. The nomination'!B34</f>
        <v>0.0627402414305855</v>
      </c>
      <c r="E192" s="56" t="n">
        <f aca="false">D192-C192</f>
        <v>0.0027402414305855</v>
      </c>
      <c r="F192" s="0" t="str">
        <f aca="false">IF(ABS(E192)&lt;=0.005,"reproduced",IF(ABS(E192)&lt;=0.005*3,"rounding","to check"))</f>
        <v>reproduced</v>
      </c>
    </row>
    <row r="193" customFormat="false" ht="15" hidden="false" customHeight="false" outlineLevel="0" collapsed="false">
      <c r="A193" s="0" t="s">
        <v>724</v>
      </c>
      <c r="B193" s="3" t="s">
        <v>330</v>
      </c>
      <c r="C193" s="56" t="n">
        <v>0.0648</v>
      </c>
      <c r="D193" s="56" t="n">
        <f aca="false">'10. The exit and the value'!B33</f>
        <v>0.0648056220165264</v>
      </c>
      <c r="E193" s="56" t="n">
        <f aca="false">D193-C193</f>
        <v>5.62201652637429E-006</v>
      </c>
      <c r="F193" s="0" t="str">
        <f aca="false">IF(ABS(E193)&lt;=0.00005,"reproduced",IF(ABS(E193)&lt;=0.00005*3,"rounding","to check"))</f>
        <v>reproduced</v>
      </c>
    </row>
    <row r="194" customFormat="false" ht="15" hidden="false" customHeight="false" outlineLevel="0" collapsed="false">
      <c r="A194" s="0" t="s">
        <v>724</v>
      </c>
      <c r="B194" s="3" t="s">
        <v>888</v>
      </c>
      <c r="C194" s="56" t="n">
        <v>0.045</v>
      </c>
      <c r="D194" s="56" t="n">
        <f aca="false">'10. The exit and the value'!B34</f>
        <v>0.0450201785986268</v>
      </c>
      <c r="E194" s="56" t="n">
        <f aca="false">D194-C194</f>
        <v>2.01785986268382E-005</v>
      </c>
      <c r="F194" s="0" t="str">
        <f aca="false">IF(ABS(E194)&lt;=0.0005,"reproduced",IF(ABS(E194)&lt;=0.0005*3,"rounding","to check"))</f>
        <v>reproduced</v>
      </c>
    </row>
    <row r="195" customFormat="false" ht="15" hidden="false" customHeight="false" outlineLevel="0" collapsed="false">
      <c r="A195" s="0" t="s">
        <v>724</v>
      </c>
      <c r="B195" s="3" t="s">
        <v>889</v>
      </c>
      <c r="C195" s="56" t="n">
        <v>0.088</v>
      </c>
      <c r="D195" s="56" t="n">
        <f aca="false">'10. The exit and the value'!B36</f>
        <v>0.0881103395884899</v>
      </c>
      <c r="E195" s="56" t="n">
        <f aca="false">D195-C195</f>
        <v>0.000110339588489911</v>
      </c>
      <c r="F195" s="0" t="str">
        <f aca="false">IF(ABS(E195)&lt;=0.0005,"reproduced",IF(ABS(E195)&lt;=0.0005*3,"rounding","to check"))</f>
        <v>reproduced</v>
      </c>
    </row>
    <row r="196" customFormat="false" ht="15" hidden="false" customHeight="false" outlineLevel="0" collapsed="false">
      <c r="A196" s="0" t="s">
        <v>729</v>
      </c>
      <c r="B196" s="3" t="s">
        <v>890</v>
      </c>
      <c r="C196" s="37" t="n">
        <v>17.2</v>
      </c>
      <c r="D196" s="37" t="n">
        <f aca="false">'10. The exit and the value'!B45</f>
        <v>17.2125927328433</v>
      </c>
      <c r="E196" s="37" t="n">
        <f aca="false">D196-C196</f>
        <v>0.0125927328433448</v>
      </c>
      <c r="F196" s="0" t="str">
        <f aca="false">IF(ABS(E196)&lt;=0.05,"reproduced",IF(ABS(E196)&lt;=0.05*3,"rounding","to check"))</f>
        <v>reproduced</v>
      </c>
    </row>
    <row r="197" customFormat="false" ht="15" hidden="false" customHeight="false" outlineLevel="0" collapsed="false">
      <c r="A197" s="0" t="s">
        <v>729</v>
      </c>
      <c r="B197" s="3" t="s">
        <v>891</v>
      </c>
      <c r="C197" s="37" t="n">
        <v>18.3</v>
      </c>
      <c r="D197" s="37" t="n">
        <f aca="false">'10. The exit and the value'!B46</f>
        <v>18.348623853211</v>
      </c>
      <c r="E197" s="37" t="n">
        <f aca="false">D197-C197</f>
        <v>0.0486238532110086</v>
      </c>
      <c r="F197" s="0" t="str">
        <f aca="false">IF(ABS(E197)&lt;=0.05,"reproduced",IF(ABS(E197)&lt;=0.05*3,"rounding","to check"))</f>
        <v>reproduced</v>
      </c>
    </row>
    <row r="198" customFormat="false" ht="15" hidden="false" customHeight="false" outlineLevel="0" collapsed="false">
      <c r="A198" s="0" t="s">
        <v>729</v>
      </c>
      <c r="B198" s="3" t="s">
        <v>892</v>
      </c>
      <c r="C198" s="37" t="n">
        <v>12.9</v>
      </c>
      <c r="D198" s="37" t="n">
        <f aca="false">'10. The exit and the value'!B47</f>
        <v>12.9032258064516</v>
      </c>
      <c r="E198" s="37" t="n">
        <f aca="false">D198-C198</f>
        <v>0.00322580645161352</v>
      </c>
      <c r="F198" s="0" t="str">
        <f aca="false">IF(ABS(E198)&lt;=0.05,"reproduced",IF(ABS(E198)&lt;=0.05*3,"rounding","to check"))</f>
        <v>reproduced</v>
      </c>
    </row>
    <row r="199" customFormat="false" ht="15" hidden="false" customHeight="false" outlineLevel="0" collapsed="false">
      <c r="A199" s="0" t="s">
        <v>729</v>
      </c>
      <c r="B199" s="3" t="s">
        <v>893</v>
      </c>
      <c r="C199" s="56" t="n">
        <v>0.779</v>
      </c>
      <c r="D199" s="56" t="n">
        <f aca="false">'18. Affordability and the hold'!B41</f>
        <v>0.778895547586079</v>
      </c>
      <c r="E199" s="56" t="n">
        <f aca="false">D199-C199</f>
        <v>-0.000104452413920653</v>
      </c>
      <c r="F199" s="0" t="str">
        <f aca="false">IF(ABS(E199)&lt;=0.0005,"reproduced",IF(ABS(E199)&lt;=0.0005*3,"rounding","to check"))</f>
        <v>reproduced</v>
      </c>
    </row>
    <row r="200" customFormat="false" ht="15" hidden="false" customHeight="false" outlineLevel="0" collapsed="false">
      <c r="A200" s="0" t="s">
        <v>729</v>
      </c>
      <c r="B200" s="3" t="s">
        <v>894</v>
      </c>
      <c r="C200" s="56" t="n">
        <v>0.466</v>
      </c>
      <c r="D200" s="56" t="n">
        <f aca="false">'18. Affordability and the hold'!B43</f>
        <v>0.465809517102824</v>
      </c>
      <c r="E200" s="56" t="n">
        <f aca="false">D200-C200</f>
        <v>-0.000190482897175881</v>
      </c>
      <c r="F200" s="0" t="str">
        <f aca="false">IF(ABS(E200)&lt;=0.0005,"reproduced",IF(ABS(E200)&lt;=0.0005*3,"rounding","to check"))</f>
        <v>reproduced</v>
      </c>
    </row>
    <row r="201" customFormat="false" ht="15" hidden="false" customHeight="false" outlineLevel="0" collapsed="false">
      <c r="A201" s="0" t="s">
        <v>729</v>
      </c>
      <c r="B201" s="3" t="s">
        <v>895</v>
      </c>
      <c r="C201" s="37" t="n">
        <v>14</v>
      </c>
      <c r="D201" s="37" t="n">
        <f aca="false">'18. Affordability and the hold'!B44</f>
        <v>14</v>
      </c>
      <c r="E201" s="37" t="n">
        <f aca="false">D201-C201</f>
        <v>0</v>
      </c>
      <c r="F201" s="0" t="str">
        <f aca="false">IF(ABS(E201)&lt;=0.5,"reproduced",IF(ABS(E201)&lt;=0.5*3,"rounding","to check"))</f>
        <v>reproduced</v>
      </c>
    </row>
    <row r="202" customFormat="false" ht="15" hidden="false" customHeight="false" outlineLevel="0" collapsed="false">
      <c r="A202" s="0" t="s">
        <v>729</v>
      </c>
      <c r="B202" s="3" t="s">
        <v>896</v>
      </c>
      <c r="C202" s="17" t="n">
        <v>44100000</v>
      </c>
      <c r="D202" s="17" t="n">
        <f aca="false">'17. Scenarios'!B107</f>
        <v>44054394.532915</v>
      </c>
      <c r="E202" s="17" t="n">
        <f aca="false">D202-C202</f>
        <v>-45605.4670849592</v>
      </c>
      <c r="F202" s="0" t="str">
        <f aca="false">IF(ABS(E202)&lt;=50000,"reproduced",IF(ABS(E202)&lt;=50000*3,"rounding","to check"))</f>
        <v>reproduced</v>
      </c>
    </row>
    <row r="203" customFormat="false" ht="15" hidden="false" customHeight="false" outlineLevel="0" collapsed="false">
      <c r="A203" s="0" t="s">
        <v>729</v>
      </c>
      <c r="B203" s="3" t="s">
        <v>897</v>
      </c>
      <c r="C203" s="17" t="n">
        <v>1800000</v>
      </c>
      <c r="D203" s="17" t="n">
        <f aca="false">'17. Scenarios'!B103</f>
        <v>1818630.35544237</v>
      </c>
      <c r="E203" s="17" t="n">
        <f aca="false">D203-C203</f>
        <v>18630.355442368</v>
      </c>
      <c r="F203" s="0" t="str">
        <f aca="false">IF(ABS(E203)&lt;=50000,"reproduced",IF(ABS(E203)&lt;=50000*3,"rounding","to check"))</f>
        <v>reproduced</v>
      </c>
    </row>
    <row r="204" customFormat="false" ht="15" hidden="false" customHeight="false" outlineLevel="0" collapsed="false">
      <c r="A204" s="0" t="s">
        <v>729</v>
      </c>
      <c r="B204" s="3" t="s">
        <v>898</v>
      </c>
      <c r="C204" s="17" t="n">
        <v>2300000</v>
      </c>
      <c r="D204" s="17" t="n">
        <f aca="false">'17. Scenarios'!B104</f>
        <v>2261769.95205183</v>
      </c>
      <c r="E204" s="17" t="n">
        <f aca="false">D204-C204</f>
        <v>-38230.0479481746</v>
      </c>
      <c r="F204" s="0" t="str">
        <f aca="false">IF(ABS(E204)&lt;=50000,"reproduced",IF(ABS(E204)&lt;=50000*3,"rounding","to check"))</f>
        <v>reproduced</v>
      </c>
    </row>
    <row r="205" customFormat="false" ht="15" hidden="false" customHeight="false" outlineLevel="0" collapsed="false">
      <c r="A205" s="0" t="s">
        <v>882</v>
      </c>
      <c r="B205" s="3" t="s">
        <v>899</v>
      </c>
      <c r="C205" s="17" t="n">
        <v>3500000</v>
      </c>
      <c r="D205" s="17" t="n">
        <f aca="false">'17. Scenarios'!B105</f>
        <v>3448915.52840147</v>
      </c>
      <c r="E205" s="17" t="n">
        <f aca="false">D205-C205</f>
        <v>-51084.4715985283</v>
      </c>
      <c r="F205" s="0" t="str">
        <f aca="false">IF(ABS(E205)&lt;=60000,"reproduced",IF(ABS(E205)&lt;=60000*3,"rounding","to check"))</f>
        <v>reproduced</v>
      </c>
      <c r="H205" s="25" t="s">
        <v>900</v>
      </c>
    </row>
    <row r="206" customFormat="false" ht="15" hidden="false" customHeight="false" outlineLevel="0" collapsed="false">
      <c r="A206" s="0" t="s">
        <v>882</v>
      </c>
      <c r="B206" s="3" t="s">
        <v>901</v>
      </c>
      <c r="C206" s="17" t="n">
        <v>2400000</v>
      </c>
      <c r="D206" s="17" t="n">
        <f aca="false">'17. Scenarios'!B106</f>
        <v>2392613.58126308</v>
      </c>
      <c r="E206" s="17" t="n">
        <f aca="false">D206-C206</f>
        <v>-7386.41873691976</v>
      </c>
      <c r="F206" s="0" t="str">
        <f aca="false">IF(ABS(E206)&lt;=50000,"reproduced",IF(ABS(E206)&lt;=50000*3,"rounding","to check"))</f>
        <v>reproduced</v>
      </c>
    </row>
    <row r="207" customFormat="false" ht="15" hidden="false" customHeight="false" outlineLevel="0" collapsed="false">
      <c r="A207" s="0" t="s">
        <v>902</v>
      </c>
      <c r="B207" s="3" t="s">
        <v>903</v>
      </c>
      <c r="C207" s="17" t="n">
        <v>25500000</v>
      </c>
      <c r="D207" s="17" t="n">
        <f aca="false">'16. Debt'!B4</f>
        <v>25547627.9543696</v>
      </c>
      <c r="E207" s="17" t="n">
        <f aca="false">D207-C207</f>
        <v>47627.9543696232</v>
      </c>
      <c r="F207" s="0" t="str">
        <f aca="false">IF(ABS(E207)&lt;=50000,"reproduced",IF(ABS(E207)&lt;=50000*3,"rounding","to check"))</f>
        <v>reproduced</v>
      </c>
    </row>
    <row r="208" customFormat="false" ht="15" hidden="false" customHeight="false" outlineLevel="0" collapsed="false">
      <c r="A208" s="0" t="s">
        <v>902</v>
      </c>
      <c r="B208" s="3" t="s">
        <v>904</v>
      </c>
      <c r="C208" s="17" t="n">
        <v>27300000</v>
      </c>
      <c r="D208" s="17" t="n">
        <f aca="false">'16. Debt'!B5</f>
        <v>27293240.6162972</v>
      </c>
      <c r="E208" s="17" t="n">
        <f aca="false">D208-C208</f>
        <v>-6759.38370279595</v>
      </c>
      <c r="F208" s="0" t="str">
        <f aca="false">IF(ABS(E208)&lt;=50000,"reproduced",IF(ABS(E208)&lt;=50000*3,"rounding","to check"))</f>
        <v>reproduced</v>
      </c>
    </row>
    <row r="209" customFormat="false" ht="15" hidden="false" customHeight="false" outlineLevel="0" collapsed="false">
      <c r="A209" s="0" t="s">
        <v>902</v>
      </c>
      <c r="B209" s="3" t="s">
        <v>905</v>
      </c>
      <c r="C209" s="17" t="n">
        <v>23500000</v>
      </c>
      <c r="D209" s="17" t="n">
        <f aca="false">'16. Debt'!B6</f>
        <v>23463049.0454591</v>
      </c>
      <c r="E209" s="17" t="n">
        <f aca="false">D209-C209</f>
        <v>-36950.9545408636</v>
      </c>
      <c r="F209" s="0" t="str">
        <f aca="false">IF(ABS(E209)&lt;=50000,"reproduced",IF(ABS(E209)&lt;=50000*3,"rounding","to check"))</f>
        <v>reproduced</v>
      </c>
    </row>
    <row r="210" customFormat="false" ht="15" hidden="false" customHeight="false" outlineLevel="0" collapsed="false">
      <c r="A210" s="0" t="s">
        <v>902</v>
      </c>
      <c r="B210" s="3" t="s">
        <v>522</v>
      </c>
      <c r="C210" s="56" t="n">
        <v>0.505</v>
      </c>
      <c r="D210" s="56" t="n">
        <f aca="false">'16. Debt'!B8</f>
        <v>0.505122314997363</v>
      </c>
      <c r="E210" s="56" t="n">
        <f aca="false">D210-C210</f>
        <v>0.000122314997362816</v>
      </c>
      <c r="F210" s="0" t="str">
        <f aca="false">IF(ABS(E210)&lt;=0.0005,"reproduced",IF(ABS(E210)&lt;=0.0005*3,"rounding","to check"))</f>
        <v>reproduced</v>
      </c>
    </row>
    <row r="211" customFormat="false" ht="15" hidden="false" customHeight="false" outlineLevel="0" collapsed="false">
      <c r="A211" s="0" t="s">
        <v>902</v>
      </c>
      <c r="B211" s="3" t="s">
        <v>906</v>
      </c>
      <c r="C211" s="17" t="n">
        <v>2100000</v>
      </c>
      <c r="D211" s="17" t="n">
        <f aca="false">'16. Debt'!B10</f>
        <v>2084578.90891049</v>
      </c>
      <c r="E211" s="17" t="n">
        <f aca="false">D211-C211</f>
        <v>-15421.0910895132</v>
      </c>
      <c r="F211" s="0" t="str">
        <f aca="false">IF(ABS(E211)&lt;=50000,"reproduced",IF(ABS(E211)&lt;=50000*3,"rounding","to check"))</f>
        <v>reproduced</v>
      </c>
    </row>
    <row r="212" customFormat="false" ht="15" hidden="false" customHeight="false" outlineLevel="0" collapsed="false">
      <c r="A212" s="0" t="s">
        <v>902</v>
      </c>
      <c r="B212" s="3" t="s">
        <v>907</v>
      </c>
      <c r="C212" s="17" t="n">
        <v>23000000</v>
      </c>
      <c r="D212" s="17" t="n">
        <f aca="false">'16. Debt'!B12</f>
        <v>22950608.0792157</v>
      </c>
      <c r="E212" s="17" t="n">
        <f aca="false">D212-C212</f>
        <v>-49391.9207842648</v>
      </c>
      <c r="F212" s="0" t="str">
        <f aca="false">IF(ABS(E212)&lt;=50000,"reproduced",IF(ABS(E212)&lt;=50000*3,"rounding","to check"))</f>
        <v>reproduced</v>
      </c>
    </row>
    <row r="213" customFormat="false" ht="15" hidden="false" customHeight="false" outlineLevel="0" collapsed="false">
      <c r="A213" s="0" t="s">
        <v>902</v>
      </c>
      <c r="B213" s="3" t="s">
        <v>908</v>
      </c>
      <c r="C213" s="56" t="n">
        <v>0.562</v>
      </c>
      <c r="D213" s="56" t="n">
        <f aca="false">'16. Debt'!B13</f>
        <v>0.562280394944703</v>
      </c>
      <c r="E213" s="56" t="n">
        <f aca="false">D213-C213</f>
        <v>0.000280394944703333</v>
      </c>
      <c r="F213" s="0" t="str">
        <f aca="false">IF(ABS(E213)&lt;=0.0005,"reproduced",IF(ABS(E213)&lt;=0.0005*3,"rounding","to check"))</f>
        <v>reproduced</v>
      </c>
    </row>
    <row r="214" customFormat="false" ht="15" hidden="false" customHeight="false" outlineLevel="0" collapsed="false">
      <c r="A214" s="0" t="s">
        <v>902</v>
      </c>
      <c r="B214" s="3" t="s">
        <v>529</v>
      </c>
      <c r="C214" s="56" t="n">
        <v>0.0522</v>
      </c>
      <c r="D214" s="56" t="n">
        <f aca="false">'16. Debt'!B15</f>
        <v>0.0521533527675024</v>
      </c>
      <c r="E214" s="56" t="n">
        <f aca="false">D214-C214</f>
        <v>-4.66472324976083E-005</v>
      </c>
      <c r="F214" s="0" t="str">
        <f aca="false">IF(ABS(E214)&lt;=0.00005,"reproduced",IF(ABS(E214)&lt;=0.00005*3,"rounding","to check"))</f>
        <v>reproduced</v>
      </c>
    </row>
    <row r="215" customFormat="false" ht="15" hidden="false" customHeight="false" outlineLevel="0" collapsed="false">
      <c r="A215" s="0" t="s">
        <v>902</v>
      </c>
      <c r="B215" s="3" t="s">
        <v>909</v>
      </c>
      <c r="C215" s="37" t="n">
        <v>-96</v>
      </c>
      <c r="D215" s="37" t="n">
        <f aca="false">'16. Debt'!B16</f>
        <v>-96.482468148553</v>
      </c>
      <c r="E215" s="37" t="n">
        <f aca="false">D215-C215</f>
        <v>-0.482468148553011</v>
      </c>
      <c r="F215" s="0" t="str">
        <f aca="false">IF(ABS(E215)&lt;=0.5,"reproduced",IF(ABS(E215)&lt;=0.5*3,"rounding","to check"))</f>
        <v>reproduced</v>
      </c>
    </row>
    <row r="216" customFormat="false" ht="15" hidden="false" customHeight="false" outlineLevel="0" collapsed="false">
      <c r="A216" s="0" t="s">
        <v>902</v>
      </c>
      <c r="B216" s="3" t="s">
        <v>910</v>
      </c>
      <c r="C216" s="37" t="n">
        <v>-43</v>
      </c>
      <c r="D216" s="37" t="n">
        <f aca="false">'16. Debt'!B17</f>
        <v>-43.4664723249761</v>
      </c>
      <c r="E216" s="37" t="n">
        <f aca="false">D216-C216</f>
        <v>-0.466472324976067</v>
      </c>
      <c r="F216" s="0" t="str">
        <f aca="false">IF(ABS(E216)&lt;=0.5,"reproduced",IF(ABS(E216)&lt;=0.5*3,"rounding","to check"))</f>
        <v>reproduced</v>
      </c>
    </row>
    <row r="217" customFormat="false" ht="15" hidden="false" customHeight="false" outlineLevel="0" collapsed="false">
      <c r="A217" s="0" t="s">
        <v>902</v>
      </c>
      <c r="B217" s="3" t="s">
        <v>911</v>
      </c>
      <c r="C217" s="17" t="n">
        <v>21500000</v>
      </c>
      <c r="D217" s="17" t="n">
        <f aca="false">'16. Debt'!B22</f>
        <v>21531843.2161369</v>
      </c>
      <c r="E217" s="17" t="n">
        <f aca="false">D217-C217</f>
        <v>31843.2161369473</v>
      </c>
      <c r="F217" s="0" t="str">
        <f aca="false">IF(ABS(E217)&lt;=50000,"reproduced",IF(ABS(E217)&lt;=50000*3,"rounding","to check"))</f>
        <v>reproduced</v>
      </c>
    </row>
    <row r="218" customFormat="false" ht="15" hidden="false" customHeight="false" outlineLevel="0" collapsed="false">
      <c r="A218" s="0" t="s">
        <v>902</v>
      </c>
      <c r="B218" s="3" t="s">
        <v>538</v>
      </c>
      <c r="C218" s="56" t="n">
        <v>0.0475</v>
      </c>
      <c r="D218" s="56" t="n">
        <f aca="false">'16. Debt'!B25</f>
        <v>0.047520298546817</v>
      </c>
      <c r="E218" s="56" t="n">
        <f aca="false">D218-C218</f>
        <v>2.02985468169617E-005</v>
      </c>
      <c r="F218" s="0" t="str">
        <f aca="false">IF(ABS(E218)&lt;=0.00005,"reproduced",IF(ABS(E218)&lt;=0.00005*3,"rounding","to check"))</f>
        <v>reproduced</v>
      </c>
    </row>
    <row r="219" customFormat="false" ht="15" hidden="false" customHeight="false" outlineLevel="0" collapsed="false">
      <c r="A219" s="0" t="s">
        <v>902</v>
      </c>
      <c r="B219" s="3" t="s">
        <v>912</v>
      </c>
      <c r="C219" s="37" t="n">
        <v>46</v>
      </c>
      <c r="D219" s="37" t="n">
        <f aca="false">'16. Debt'!B27</f>
        <v>46.3305422068543</v>
      </c>
      <c r="E219" s="37" t="n">
        <f aca="false">D219-C219</f>
        <v>0.330542206854325</v>
      </c>
      <c r="F219" s="0" t="str">
        <f aca="false">IF(ABS(E219)&lt;=0.5,"reproduced",IF(ABS(E219)&lt;=0.5*3,"rounding","to check"))</f>
        <v>reproduced</v>
      </c>
    </row>
    <row r="220" customFormat="false" ht="15" hidden="false" customHeight="false" outlineLevel="0" collapsed="false">
      <c r="A220" s="0" t="s">
        <v>902</v>
      </c>
      <c r="B220" s="3" t="s">
        <v>913</v>
      </c>
      <c r="C220" s="37" t="n">
        <v>1.75</v>
      </c>
      <c r="D220" s="37" t="n">
        <f aca="false">'16. Debt'!B30</f>
        <v>1.75</v>
      </c>
      <c r="E220" s="37" t="n">
        <f aca="false">D220-C220</f>
        <v>0</v>
      </c>
      <c r="F220" s="0" t="str">
        <f aca="false">IF(ABS(E220)&lt;=0.005,"reproduced",IF(ABS(E220)&lt;=0.005*3,"rounding","to check"))</f>
        <v>reproduced</v>
      </c>
    </row>
    <row r="221" customFormat="false" ht="15" hidden="false" customHeight="false" outlineLevel="0" collapsed="false">
      <c r="A221" s="0" t="s">
        <v>902</v>
      </c>
      <c r="B221" s="3" t="s">
        <v>914</v>
      </c>
      <c r="C221" s="56" t="n">
        <v>0.801</v>
      </c>
      <c r="D221" s="56" t="n">
        <f aca="false">'16. Debt'!B31</f>
        <v>0.800616995171156</v>
      </c>
      <c r="E221" s="56" t="n">
        <f aca="false">D221-C221</f>
        <v>-0.000383004828844458</v>
      </c>
      <c r="F221" s="0" t="str">
        <f aca="false">IF(ABS(E221)&lt;=0.0005,"reproduced",IF(ABS(E221)&lt;=0.0005*3,"rounding","to check"))</f>
        <v>reproduced</v>
      </c>
    </row>
    <row r="222" customFormat="false" ht="15" hidden="false" customHeight="false" outlineLevel="0" collapsed="false">
      <c r="A222" s="0" t="s">
        <v>902</v>
      </c>
      <c r="B222" s="3" t="s">
        <v>915</v>
      </c>
      <c r="C222" s="37" t="n">
        <v>16.7</v>
      </c>
      <c r="D222" s="37" t="n">
        <f aca="false">'16. Debt'!B32</f>
        <v>16.7383004828844</v>
      </c>
      <c r="E222" s="37" t="n">
        <f aca="false">D222-C222</f>
        <v>0.0383004828844378</v>
      </c>
      <c r="F222" s="0" t="str">
        <f aca="false">IF(ABS(E222)&lt;=0.05,"reproduced",IF(ABS(E222)&lt;=0.05*3,"rounding","to check"))</f>
        <v>reproduced</v>
      </c>
    </row>
    <row r="223" customFormat="false" ht="15" hidden="false" customHeight="false" outlineLevel="0" collapsed="false">
      <c r="A223" s="0" t="s">
        <v>902</v>
      </c>
      <c r="B223" s="3" t="s">
        <v>916</v>
      </c>
      <c r="C223" s="37" t="n">
        <v>1.79</v>
      </c>
      <c r="D223" s="37" t="n">
        <f aca="false">'16. Debt'!B33</f>
        <v>1.78907398391497</v>
      </c>
      <c r="E223" s="37" t="n">
        <f aca="false">D223-C223</f>
        <v>-0.000926016085034398</v>
      </c>
      <c r="F223" s="0" t="str">
        <f aca="false">IF(ABS(E223)&lt;=0.005,"reproduced",IF(ABS(E223)&lt;=0.005*3,"rounding","to check"))</f>
        <v>reproduced</v>
      </c>
    </row>
    <row r="224" customFormat="false" ht="15" hidden="false" customHeight="false" outlineLevel="0" collapsed="false">
      <c r="A224" s="0" t="s">
        <v>902</v>
      </c>
      <c r="B224" s="3" t="s">
        <v>917</v>
      </c>
      <c r="C224" s="56" t="n">
        <v>0.791</v>
      </c>
      <c r="D224" s="56" t="n">
        <f aca="false">'16. Debt'!B34</f>
        <v>0.791477740873789</v>
      </c>
      <c r="E224" s="56" t="n">
        <f aca="false">D224-C224</f>
        <v>0.000477740873788601</v>
      </c>
      <c r="F224" s="0" t="str">
        <f aca="false">IF(ABS(E224)&lt;=0.0005,"reproduced",IF(ABS(E224)&lt;=0.0005*3,"rounding","to check"))</f>
        <v>reproduced</v>
      </c>
    </row>
    <row r="225" customFormat="false" ht="15" hidden="false" customHeight="false" outlineLevel="0" collapsed="false">
      <c r="A225" s="0" t="s">
        <v>902</v>
      </c>
      <c r="B225" s="3" t="s">
        <v>915</v>
      </c>
      <c r="C225" s="37" t="n">
        <v>17.7</v>
      </c>
      <c r="D225" s="37" t="n">
        <f aca="false">'16. Debt'!B35</f>
        <v>17.6522259126211</v>
      </c>
      <c r="E225" s="37" t="n">
        <f aca="false">D225-C225</f>
        <v>-0.0477740873788655</v>
      </c>
      <c r="F225" s="0" t="str">
        <f aca="false">IF(ABS(E225)&lt;=0.05,"reproduced",IF(ABS(E225)&lt;=0.05*3,"rounding","to check"))</f>
        <v>reproduced</v>
      </c>
    </row>
    <row r="226" customFormat="false" ht="15" hidden="false" customHeight="false" outlineLevel="0" collapsed="false">
      <c r="A226" s="0" t="s">
        <v>902</v>
      </c>
      <c r="B226" s="3" t="s">
        <v>918</v>
      </c>
      <c r="C226" s="37" t="n">
        <v>1.19</v>
      </c>
      <c r="D226" s="37" t="n">
        <f aca="false">'16. Debt'!B43</f>
        <v>1.18841371412756</v>
      </c>
      <c r="E226" s="37" t="n">
        <f aca="false">D226-C226</f>
        <v>-0.00158628587244314</v>
      </c>
      <c r="F226" s="0" t="str">
        <f aca="false">IF(ABS(E226)&lt;=0.005,"reproduced",IF(ABS(E226)&lt;=0.005*3,"rounding","to check"))</f>
        <v>reproduced</v>
      </c>
    </row>
    <row r="227" customFormat="false" ht="15" hidden="false" customHeight="false" outlineLevel="0" collapsed="false">
      <c r="A227" s="0" t="s">
        <v>730</v>
      </c>
      <c r="B227" s="3" t="s">
        <v>919</v>
      </c>
      <c r="C227" s="56" t="n">
        <v>0.0607</v>
      </c>
      <c r="D227" s="56" t="n">
        <f aca="false">'10. The exit and the value'!B38</f>
        <v>0.0606670515529419</v>
      </c>
      <c r="E227" s="56" t="n">
        <f aca="false">D227-C227</f>
        <v>-3.29484470581454E-005</v>
      </c>
      <c r="F227" s="0" t="str">
        <f aca="false">IF(ABS(E227)&lt;=0.00005,"reproduced",IF(ABS(E227)&lt;=0.00005*3,"rounding","to check"))</f>
        <v>reproduced</v>
      </c>
    </row>
    <row r="228" customFormat="false" ht="15" hidden="false" customHeight="false" outlineLevel="0" collapsed="false">
      <c r="A228" s="0" t="s">
        <v>730</v>
      </c>
      <c r="B228" s="3" t="s">
        <v>920</v>
      </c>
      <c r="C228" s="56" t="n">
        <v>0.0647</v>
      </c>
      <c r="D228" s="56" t="n">
        <f aca="false">'10. The exit and the value'!B40</f>
        <v>0.064671076955436</v>
      </c>
      <c r="E228" s="56" t="n">
        <f aca="false">D228-C228</f>
        <v>-2.89230445639777E-005</v>
      </c>
      <c r="F228" s="0" t="str">
        <f aca="false">IF(ABS(E228)&lt;=0.00005,"reproduced",IF(ABS(E228)&lt;=0.00005*3,"rounding","to check"))</f>
        <v>reproduced</v>
      </c>
    </row>
    <row r="229" customFormat="false" ht="15" hidden="false" customHeight="false" outlineLevel="0" collapsed="false">
      <c r="A229" s="0" t="s">
        <v>730</v>
      </c>
      <c r="B229" s="3" t="s">
        <v>921</v>
      </c>
      <c r="C229" s="37" t="n">
        <v>62</v>
      </c>
      <c r="D229" s="37" t="n">
        <f aca="false">'10. The exit and the value'!B41</f>
        <v>61.6705155294185</v>
      </c>
      <c r="E229" s="37" t="n">
        <f aca="false">D229-C229</f>
        <v>-0.329484470581484</v>
      </c>
      <c r="F229" s="0" t="str">
        <f aca="false">IF(ABS(E229)&lt;=0.5,"reproduced",IF(ABS(E229)&lt;=0.5*3,"rounding","to check"))</f>
        <v>reproduced</v>
      </c>
    </row>
    <row r="230" customFormat="false" ht="15" hidden="false" customHeight="false" outlineLevel="0" collapsed="false">
      <c r="A230" s="0" t="s">
        <v>730</v>
      </c>
      <c r="B230" s="3" t="s">
        <v>922</v>
      </c>
      <c r="C230" s="17" t="n">
        <v>102</v>
      </c>
      <c r="D230" s="17" t="n">
        <f aca="false">'10. The exit and the value'!B42</f>
        <v>101.71076955436</v>
      </c>
      <c r="E230" s="17" t="n">
        <f aca="false">D230-C230</f>
        <v>-0.289230445639845</v>
      </c>
      <c r="F230" s="0" t="str">
        <f aca="false">IF(ABS(E230)&lt;=0.5,"reproduced",IF(ABS(E230)&lt;=0.5*3,"rounding","to check"))</f>
        <v>reproduced</v>
      </c>
    </row>
    <row r="231" customFormat="false" ht="15" hidden="false" customHeight="false" outlineLevel="0" collapsed="false">
      <c r="A231" s="0" t="s">
        <v>730</v>
      </c>
      <c r="B231" s="3" t="s">
        <v>923</v>
      </c>
      <c r="C231" s="56" t="n">
        <v>0.0377</v>
      </c>
      <c r="D231" s="56" t="n">
        <f aca="false">'17. Scenarios'!E51</f>
        <v>0.0376983248485741</v>
      </c>
      <c r="E231" s="56" t="n">
        <f aca="false">D231-C231</f>
        <v>-1.67515142589225E-006</v>
      </c>
      <c r="F231" s="0" t="str">
        <f aca="false">IF(ABS(E231)&lt;=0.00005,"reproduced",IF(ABS(E231)&lt;=0.00005*3,"rounding","to check"))</f>
        <v>reproduced</v>
      </c>
    </row>
    <row r="232" customFormat="false" ht="15" hidden="false" customHeight="false" outlineLevel="0" collapsed="false">
      <c r="A232" s="0" t="s">
        <v>730</v>
      </c>
      <c r="B232" s="3" t="s">
        <v>608</v>
      </c>
      <c r="C232" s="17" t="n">
        <v>634236</v>
      </c>
      <c r="D232" s="17" t="n">
        <f aca="false">'17. Scenarios'!D52</f>
        <v>634235.81380973</v>
      </c>
      <c r="E232" s="17" t="n">
        <f aca="false">D232-C232</f>
        <v>-0.186190269887447</v>
      </c>
      <c r="F232" s="0" t="str">
        <f aca="false">IF(ABS(E232)&lt;=1,"reproduced",IF(ABS(E232)&lt;=1*3,"rounding","to check"))</f>
        <v>reproduced</v>
      </c>
    </row>
    <row r="233" customFormat="false" ht="15" hidden="false" customHeight="false" outlineLevel="0" collapsed="false">
      <c r="A233" s="0" t="s">
        <v>730</v>
      </c>
      <c r="B233" s="3" t="s">
        <v>924</v>
      </c>
      <c r="C233" s="56" t="n">
        <v>0.0152</v>
      </c>
      <c r="D233" s="56" t="n">
        <f aca="false">'17. Scenarios'!E52</f>
        <v>0.0151991483794826</v>
      </c>
      <c r="E233" s="56" t="n">
        <f aca="false">D233-C233</f>
        <v>-8.51620517418328E-007</v>
      </c>
      <c r="F233" s="0" t="str">
        <f aca="false">IF(ABS(E233)&lt;=0.00005,"reproduced",IF(ABS(E233)&lt;=0.00005*3,"rounding","to check"))</f>
        <v>reproduced</v>
      </c>
    </row>
    <row r="234" customFormat="false" ht="15" hidden="false" customHeight="false" outlineLevel="0" collapsed="false">
      <c r="A234" s="0" t="s">
        <v>730</v>
      </c>
      <c r="B234" s="3" t="s">
        <v>609</v>
      </c>
      <c r="C234" s="17" t="n">
        <v>363659</v>
      </c>
      <c r="D234" s="17" t="n">
        <f aca="false">'17. Scenarios'!D53</f>
        <v>363658.816103</v>
      </c>
      <c r="E234" s="17" t="n">
        <f aca="false">D234-C234</f>
        <v>-0.183896999806166</v>
      </c>
      <c r="F234" s="0" t="str">
        <f aca="false">IF(ABS(E234)&lt;=1,"reproduced",IF(ABS(E234)&lt;=1*3,"rounding","to check"))</f>
        <v>reproduced</v>
      </c>
    </row>
    <row r="235" customFormat="false" ht="15" hidden="false" customHeight="false" outlineLevel="0" collapsed="false">
      <c r="A235" s="0" t="s">
        <v>730</v>
      </c>
      <c r="B235" s="3" t="s">
        <v>610</v>
      </c>
      <c r="C235" s="17" t="n">
        <v>112780</v>
      </c>
      <c r="D235" s="17" t="n">
        <f aca="false">'17. Scenarios'!D54</f>
        <v>112780.237541959</v>
      </c>
      <c r="E235" s="17" t="n">
        <f aca="false">D235-C235</f>
        <v>0.23754195868969</v>
      </c>
      <c r="F235" s="0" t="str">
        <f aca="false">IF(ABS(E235)&lt;=1,"reproduced",IF(ABS(E235)&lt;=1*3,"rounding","to check"))</f>
        <v>reproduced</v>
      </c>
    </row>
    <row r="236" customFormat="false" ht="15" hidden="false" customHeight="false" outlineLevel="0" collapsed="false">
      <c r="A236" s="0" t="s">
        <v>730</v>
      </c>
      <c r="B236" s="3" t="s">
        <v>925</v>
      </c>
      <c r="C236" s="56" t="n">
        <v>0.1126</v>
      </c>
      <c r="D236" s="56" t="n">
        <f aca="false">'17. Scenarios'!E55</f>
        <v>0.112557237113738</v>
      </c>
      <c r="E236" s="56" t="n">
        <f aca="false">D236-C236</f>
        <v>-4.27628862624957E-005</v>
      </c>
      <c r="F236" s="0" t="str">
        <f aca="false">IF(ABS(E236)&lt;=0.00005,"reproduced",IF(ABS(E236)&lt;=0.00005*3,"rounding","to check"))</f>
        <v>reproduced</v>
      </c>
    </row>
    <row r="237" customFormat="false" ht="15" hidden="false" customHeight="false" outlineLevel="0" collapsed="false">
      <c r="A237" s="0" t="s">
        <v>730</v>
      </c>
      <c r="B237" s="3" t="s">
        <v>557</v>
      </c>
      <c r="C237" s="56" t="n">
        <v>0.0514</v>
      </c>
      <c r="D237" s="56" t="n">
        <f aca="false">'17. Scenarios'!E56</f>
        <v>0.0514207587084193</v>
      </c>
      <c r="E237" s="56" t="n">
        <f aca="false">D237-C237</f>
        <v>2.07587084193259E-005</v>
      </c>
      <c r="F237" s="0" t="str">
        <f aca="false">IF(ABS(E237)&lt;=0.00005,"reproduced",IF(ABS(E237)&lt;=0.00005*3,"rounding","to check"))</f>
        <v>reproduced</v>
      </c>
    </row>
    <row r="238" customFormat="false" ht="15" hidden="false" customHeight="false" outlineLevel="0" collapsed="false">
      <c r="A238" s="0" t="s">
        <v>730</v>
      </c>
      <c r="B238" s="3" t="s">
        <v>612</v>
      </c>
      <c r="C238" s="56" t="n">
        <v>0.0386</v>
      </c>
      <c r="D238" s="56" t="n">
        <f aca="false">'17. Scenarios'!E57</f>
        <v>0.0386462406640809</v>
      </c>
      <c r="E238" s="56" t="n">
        <f aca="false">D238-C238</f>
        <v>4.62406640808835E-005</v>
      </c>
      <c r="F238" s="0" t="str">
        <f aca="false">IF(ABS(E238)&lt;=0.00005,"reproduced",IF(ABS(E238)&lt;=0.00005*3,"rounding","to check"))</f>
        <v>reproduced</v>
      </c>
    </row>
    <row r="239" customFormat="false" ht="15" hidden="false" customHeight="false" outlineLevel="0" collapsed="false">
      <c r="A239" s="0" t="s">
        <v>730</v>
      </c>
      <c r="B239" s="3" t="s">
        <v>613</v>
      </c>
      <c r="C239" s="56" t="n">
        <v>0.0312</v>
      </c>
      <c r="D239" s="56" t="n">
        <f aca="false">'17. Scenarios'!E58</f>
        <v>0.0311556403707224</v>
      </c>
      <c r="E239" s="56" t="n">
        <f aca="false">D239-C239</f>
        <v>-4.43596292776204E-005</v>
      </c>
      <c r="F239" s="0" t="str">
        <f aca="false">IF(ABS(E239)&lt;=0.00005,"reproduced",IF(ABS(E239)&lt;=0.00005*3,"rounding","to check"))</f>
        <v>reproduced</v>
      </c>
    </row>
    <row r="240" customFormat="false" ht="15" hidden="false" customHeight="false" outlineLevel="0" collapsed="false">
      <c r="A240" s="0" t="s">
        <v>730</v>
      </c>
      <c r="B240" s="3" t="s">
        <v>926</v>
      </c>
      <c r="C240" s="56" t="n">
        <v>-0.078</v>
      </c>
      <c r="D240" s="56" t="n">
        <f aca="false">'17. Scenarios'!V37</f>
        <v>-0.0778891009268057</v>
      </c>
      <c r="E240" s="56" t="n">
        <f aca="false">D240-C240</f>
        <v>0.000110899073194323</v>
      </c>
      <c r="F240" s="0" t="str">
        <f aca="false">IF(ABS(E240)&lt;=0.0005,"reproduced",IF(ABS(E240)&lt;=0.0005*3,"rounding","to check"))</f>
        <v>reproduced</v>
      </c>
    </row>
    <row r="241" customFormat="false" ht="15" hidden="false" customHeight="false" outlineLevel="0" collapsed="false">
      <c r="A241" s="0" t="s">
        <v>730</v>
      </c>
      <c r="B241" s="3" t="s">
        <v>927</v>
      </c>
      <c r="C241" s="56" t="n">
        <v>-0.169</v>
      </c>
      <c r="D241" s="56" t="n">
        <f aca="false">'17. Scenarios'!V38</f>
        <v>-0.169090710810874</v>
      </c>
      <c r="E241" s="56" t="n">
        <f aca="false">D241-C241</f>
        <v>-9.07108108740007E-005</v>
      </c>
      <c r="F241" s="0" t="str">
        <f aca="false">IF(ABS(E241)&lt;=0.0005,"reproduced",IF(ABS(E241)&lt;=0.0005*3,"rounding","to check"))</f>
        <v>reproduced</v>
      </c>
    </row>
    <row r="242" customFormat="false" ht="15" hidden="false" customHeight="false" outlineLevel="0" collapsed="false">
      <c r="A242" s="0" t="s">
        <v>730</v>
      </c>
      <c r="B242" s="3" t="s">
        <v>928</v>
      </c>
      <c r="C242" s="56" t="n">
        <v>-0.07</v>
      </c>
      <c r="D242" s="56" t="n">
        <f aca="false">'17. Scenarios'!V39</f>
        <v>-0.0701037094666849</v>
      </c>
      <c r="E242" s="56" t="n">
        <f aca="false">D242-C242</f>
        <v>-0.000103709466684865</v>
      </c>
      <c r="F242" s="0" t="str">
        <f aca="false">IF(ABS(E242)&lt;=0.0005,"reproduced",IF(ABS(E242)&lt;=0.0005*3,"rounding","to check"))</f>
        <v>reproduced</v>
      </c>
    </row>
    <row r="243" customFormat="false" ht="15" hidden="false" customHeight="false" outlineLevel="0" collapsed="false">
      <c r="A243" s="0" t="s">
        <v>730</v>
      </c>
      <c r="B243" s="3" t="s">
        <v>929</v>
      </c>
      <c r="C243" s="56" t="n">
        <v>-0.068</v>
      </c>
      <c r="D243" s="56" t="n">
        <f aca="false">'17. Scenarios'!V40</f>
        <v>-0.0680133533361736</v>
      </c>
      <c r="E243" s="56" t="n">
        <f aca="false">D243-C243</f>
        <v>-1.33533361736382E-005</v>
      </c>
      <c r="F243" s="0" t="str">
        <f aca="false">IF(ABS(E243)&lt;=0.0005,"reproduced",IF(ABS(E243)&lt;=0.0005*3,"rounding","to check"))</f>
        <v>reproduced</v>
      </c>
    </row>
    <row r="244" customFormat="false" ht="15" hidden="false" customHeight="false" outlineLevel="0" collapsed="false">
      <c r="A244" s="0" t="s">
        <v>730</v>
      </c>
      <c r="B244" s="3" t="s">
        <v>930</v>
      </c>
      <c r="C244" s="56" t="n">
        <v>-0.033</v>
      </c>
      <c r="D244" s="56" t="n">
        <f aca="false">'17. Scenarios'!V41</f>
        <v>-0.0333420257084477</v>
      </c>
      <c r="E244" s="56" t="n">
        <f aca="false">D244-C244</f>
        <v>-0.000342025708447685</v>
      </c>
      <c r="F244" s="0" t="str">
        <f aca="false">IF(ABS(E244)&lt;=0.0005,"reproduced",IF(ABS(E244)&lt;=0.0005*3,"rounding","to check"))</f>
        <v>reproduced</v>
      </c>
    </row>
    <row r="245" customFormat="false" ht="15" hidden="false" customHeight="false" outlineLevel="0" collapsed="false">
      <c r="A245" s="0" t="s">
        <v>730</v>
      </c>
      <c r="B245" s="3" t="s">
        <v>340</v>
      </c>
      <c r="C245" s="17" t="n">
        <v>89327</v>
      </c>
      <c r="D245" s="17" t="n">
        <f aca="false">'10. The exit and the value'!B43</f>
        <v>89327.3704698239</v>
      </c>
      <c r="E245" s="17" t="n">
        <f aca="false">D245-C245</f>
        <v>0.370469823858002</v>
      </c>
      <c r="F245" s="0" t="str">
        <f aca="false">IF(ABS(E245)&lt;=0.5,"reproduced",IF(ABS(E245)&lt;=0.5*3,"rounding","to check"))</f>
        <v>reproduced</v>
      </c>
    </row>
    <row r="246" customFormat="false" ht="15" hidden="false" customHeight="false" outlineLevel="0" collapsed="false">
      <c r="A246" s="0" t="s">
        <v>730</v>
      </c>
      <c r="B246" s="3" t="s">
        <v>341</v>
      </c>
      <c r="C246" s="17" t="n">
        <v>80247</v>
      </c>
      <c r="D246" s="17" t="n">
        <f aca="false">'10. The exit and the value'!B44</f>
        <v>80246.8813958592</v>
      </c>
      <c r="E246" s="17" t="n">
        <f aca="false">D246-C246</f>
        <v>-0.118604140792741</v>
      </c>
      <c r="F246" s="0" t="str">
        <f aca="false">IF(ABS(E246)&lt;=0.5,"reproduced",IF(ABS(E246)&lt;=0.5*3,"rounding","to check"))</f>
        <v>reproduced</v>
      </c>
    </row>
    <row r="247" customFormat="false" ht="15" hidden="false" customHeight="false" outlineLevel="0" collapsed="false">
      <c r="A247" s="0" t="s">
        <v>931</v>
      </c>
      <c r="B247" s="3" t="s">
        <v>932</v>
      </c>
      <c r="C247" s="37" t="n">
        <v>1.0406</v>
      </c>
      <c r="D247" s="37" t="n">
        <f aca="false">'17. Scenarios'!B61</f>
        <v>1.04063975824719</v>
      </c>
      <c r="E247" s="37" t="n">
        <f aca="false">D247-C247</f>
        <v>3.975824719471E-005</v>
      </c>
      <c r="F247" s="0" t="str">
        <f aca="false">IF(ABS(E247)&lt;=0.00005,"reproduced",IF(ABS(E247)&lt;=0.00005*3,"rounding","to check"))</f>
        <v>reproduced</v>
      </c>
    </row>
    <row r="248" customFormat="false" ht="15" hidden="false" customHeight="false" outlineLevel="0" collapsed="false">
      <c r="A248" s="0" t="s">
        <v>931</v>
      </c>
      <c r="B248" s="3" t="s">
        <v>933</v>
      </c>
      <c r="C248" s="37" t="n">
        <v>21</v>
      </c>
      <c r="D248" s="37" t="n">
        <f aca="false">'17. Scenarios'!B62</f>
        <v>21.1326742885412</v>
      </c>
      <c r="E248" s="37" t="n">
        <f aca="false">D248-C248</f>
        <v>0.132674288541232</v>
      </c>
      <c r="F248" s="0" t="str">
        <f aca="false">IF(ABS(E248)&lt;=0.5,"reproduced",IF(ABS(E248)&lt;=0.5*3,"rounding","to check"))</f>
        <v>reproduced</v>
      </c>
    </row>
    <row r="249" customFormat="false" ht="15" hidden="false" customHeight="false" outlineLevel="0" collapsed="false">
      <c r="A249" s="0" t="s">
        <v>931</v>
      </c>
      <c r="B249" s="3" t="s">
        <v>934</v>
      </c>
      <c r="C249" s="56" t="n">
        <v>0.0502</v>
      </c>
      <c r="D249" s="56" t="n">
        <f aca="false">'17. Scenarios'!B63</f>
        <v>0.0501584769416179</v>
      </c>
      <c r="E249" s="56" t="n">
        <f aca="false">D249-C249</f>
        <v>-4.15230583821272E-005</v>
      </c>
      <c r="F249" s="0" t="str">
        <f aca="false">IF(ABS(E249)&lt;=0.00005,"reproduced",IF(ABS(E249)&lt;=0.00005*3,"rounding","to check"))</f>
        <v>reproduced</v>
      </c>
    </row>
    <row r="250" customFormat="false" ht="15" hidden="false" customHeight="false" outlineLevel="0" collapsed="false">
      <c r="A250" s="0" t="s">
        <v>931</v>
      </c>
      <c r="B250" s="3" t="s">
        <v>935</v>
      </c>
      <c r="C250" s="56" t="n">
        <v>0.0407</v>
      </c>
      <c r="D250" s="56" t="n">
        <f aca="false">'17. Scenarios'!B64</f>
        <v>0.0406870816052136</v>
      </c>
      <c r="E250" s="56" t="n">
        <f aca="false">D250-C250</f>
        <v>-1.29183947863848E-005</v>
      </c>
      <c r="F250" s="0" t="str">
        <f aca="false">IF(ABS(E250)&lt;=0.00005,"reproduced",IF(ABS(E250)&lt;=0.00005*3,"rounding","to check"))</f>
        <v>reproduced</v>
      </c>
    </row>
    <row r="251" customFormat="false" ht="15" hidden="false" customHeight="false" outlineLevel="0" collapsed="false">
      <c r="A251" s="0" t="s">
        <v>931</v>
      </c>
      <c r="B251" s="3" t="s">
        <v>936</v>
      </c>
      <c r="C251" s="56" t="n">
        <v>-0.0052</v>
      </c>
      <c r="D251" s="56" t="n">
        <f aca="false">'17. Scenarios'!B65</f>
        <v>-0.00521993899943157</v>
      </c>
      <c r="E251" s="56" t="n">
        <f aca="false">D251-C251</f>
        <v>-1.99389994315667E-005</v>
      </c>
      <c r="F251" s="0" t="str">
        <f aca="false">IF(ABS(E251)&lt;=0.00005,"reproduced",IF(ABS(E251)&lt;=0.00005*3,"rounding","to check"))</f>
        <v>reproduced</v>
      </c>
    </row>
    <row r="252" customFormat="false" ht="15" hidden="false" customHeight="false" outlineLevel="0" collapsed="false">
      <c r="A252" s="0" t="s">
        <v>931</v>
      </c>
      <c r="B252" s="3" t="s">
        <v>937</v>
      </c>
      <c r="C252" s="56" t="n">
        <v>0.848</v>
      </c>
      <c r="D252" s="56" t="n">
        <f aca="false">'18. Affordability and the hold'!B17</f>
        <v>0.848039084257367</v>
      </c>
      <c r="E252" s="56" t="n">
        <f aca="false">D252-C252</f>
        <v>3.90842573668726E-005</v>
      </c>
      <c r="F252" s="0" t="str">
        <f aca="false">IF(ABS(E252)&lt;=0.0005,"reproduced",IF(ABS(E252)&lt;=0.0005*3,"rounding","to check"))</f>
        <v>reproduced</v>
      </c>
    </row>
    <row r="253" customFormat="false" ht="15" hidden="false" customHeight="false" outlineLevel="0" collapsed="false">
      <c r="A253" s="0" t="s">
        <v>931</v>
      </c>
      <c r="B253" s="3" t="s">
        <v>742</v>
      </c>
      <c r="C253" s="37" t="n">
        <v>49</v>
      </c>
      <c r="D253" s="37" t="n">
        <f aca="false">'18. Affordability and the hold'!B18</f>
        <v>49.2990815932062</v>
      </c>
      <c r="E253" s="37" t="n">
        <f aca="false">D253-C253</f>
        <v>0.299081593206211</v>
      </c>
      <c r="F253" s="0" t="str">
        <f aca="false">IF(ABS(E253)&lt;=0.5,"reproduced",IF(ABS(E253)&lt;=0.5*3,"rounding","to check"))</f>
        <v>reproduced</v>
      </c>
    </row>
    <row r="254" customFormat="false" ht="15" hidden="false" customHeight="false" outlineLevel="0" collapsed="false">
      <c r="A254" s="0" t="s">
        <v>931</v>
      </c>
      <c r="B254" s="3" t="s">
        <v>938</v>
      </c>
      <c r="C254" s="37" t="n">
        <v>1.092</v>
      </c>
      <c r="D254" s="37" t="n">
        <f aca="false">'18. Affordability and the hold'!D11</f>
        <v>1.0922674976916</v>
      </c>
      <c r="E254" s="37" t="n">
        <f aca="false">D254-C254</f>
        <v>0.000267497691597285</v>
      </c>
      <c r="F254" s="0" t="str">
        <f aca="false">IF(ABS(E254)&lt;=0.0005,"reproduced",IF(ABS(E254)&lt;=0.0005*3,"rounding","to check"))</f>
        <v>reproduced</v>
      </c>
    </row>
    <row r="255" customFormat="false" ht="15" hidden="false" customHeight="false" outlineLevel="0" collapsed="false">
      <c r="A255" s="0" t="s">
        <v>931</v>
      </c>
      <c r="B255" s="3" t="s">
        <v>939</v>
      </c>
      <c r="C255" s="37" t="n">
        <v>4</v>
      </c>
      <c r="D255" s="37" t="n">
        <f aca="false">'18. Affordability and the hold'!E10</f>
        <v>4</v>
      </c>
      <c r="E255" s="37" t="n">
        <f aca="false">D255-C255</f>
        <v>0</v>
      </c>
      <c r="F255" s="0" t="str">
        <f aca="false">IF(ABS(E255)&lt;=0,"reproduced",IF(ABS(E255)&lt;=0*3,"rounding","to check"))</f>
        <v>reproduced</v>
      </c>
    </row>
    <row r="256" customFormat="false" ht="15" hidden="false" customHeight="false" outlineLevel="0" collapsed="false">
      <c r="A256" s="0" t="s">
        <v>931</v>
      </c>
      <c r="B256" s="3" t="s">
        <v>34</v>
      </c>
      <c r="C256" s="37" t="n">
        <v>23</v>
      </c>
      <c r="D256" s="37" t="n">
        <f aca="false">'18. Affordability and the hold'!E9</f>
        <v>23</v>
      </c>
      <c r="E256" s="37" t="n">
        <f aca="false">D256-C256</f>
        <v>0</v>
      </c>
      <c r="F256" s="0" t="str">
        <f aca="false">IF(ABS(E256)&lt;=0,"reproduced",IF(ABS(E256)&lt;=0*3,"rounding","to check"))</f>
        <v>reproduced</v>
      </c>
    </row>
    <row r="257" customFormat="false" ht="15" hidden="false" customHeight="false" outlineLevel="0" collapsed="false">
      <c r="A257" s="0" t="s">
        <v>931</v>
      </c>
      <c r="B257" s="3" t="s">
        <v>940</v>
      </c>
      <c r="C257" s="37" t="n">
        <v>33</v>
      </c>
      <c r="D257" s="37" t="n">
        <f aca="false">'18. Affordability and the hold'!E7</f>
        <v>33</v>
      </c>
      <c r="E257" s="37" t="n">
        <f aca="false">D257-C257</f>
        <v>0</v>
      </c>
      <c r="F257" s="0" t="str">
        <f aca="false">IF(ABS(E257)&lt;=0,"reproduced",IF(ABS(E257)&lt;=0*3,"rounding","to check"))</f>
        <v>reproduced</v>
      </c>
    </row>
    <row r="258" customFormat="false" ht="15" hidden="false" customHeight="false" outlineLevel="0" collapsed="false">
      <c r="A258" s="0" t="s">
        <v>931</v>
      </c>
      <c r="B258" s="3" t="s">
        <v>941</v>
      </c>
      <c r="C258" s="37" t="n">
        <v>38</v>
      </c>
      <c r="D258" s="37" t="n">
        <f aca="false">'18. Affordability and the hold'!E8</f>
        <v>38</v>
      </c>
      <c r="E258" s="37" t="n">
        <f aca="false">D258-C258</f>
        <v>0</v>
      </c>
      <c r="F258" s="0" t="str">
        <f aca="false">IF(ABS(E258)&lt;=0,"reproduced",IF(ABS(E258)&lt;=0*3,"rounding","to check"))</f>
        <v>reproduced</v>
      </c>
    </row>
    <row r="259" customFormat="false" ht="15" hidden="false" customHeight="false" outlineLevel="0" collapsed="false">
      <c r="A259" s="0" t="s">
        <v>931</v>
      </c>
      <c r="B259" s="3" t="s">
        <v>942</v>
      </c>
      <c r="C259" s="37" t="n">
        <v>24</v>
      </c>
      <c r="D259" s="37" t="n">
        <f aca="false">'18. Affordability and the hold'!E13</f>
        <v>24</v>
      </c>
      <c r="E259" s="37" t="n">
        <f aca="false">D259-C259</f>
        <v>0</v>
      </c>
      <c r="F259" s="0" t="str">
        <f aca="false">IF(ABS(E259)&lt;=0,"reproduced",IF(ABS(E259)&lt;=0*3,"rounding","to check"))</f>
        <v>reproduced</v>
      </c>
    </row>
    <row r="260" customFormat="false" ht="15" hidden="false" customHeight="false" outlineLevel="0" collapsed="false">
      <c r="A260" s="0" t="s">
        <v>931</v>
      </c>
      <c r="B260" s="3" t="s">
        <v>943</v>
      </c>
      <c r="C260" s="17" t="n">
        <v>143493</v>
      </c>
      <c r="D260" s="17" t="n">
        <f aca="false">'18. Affordability and the hold'!B25</f>
        <v>143493.351063236</v>
      </c>
      <c r="E260" s="17" t="n">
        <f aca="false">D260-C260</f>
        <v>0.351063235837501</v>
      </c>
      <c r="F260" s="0" t="str">
        <f aca="false">IF(ABS(E260)&lt;=1,"reproduced",IF(ABS(E260)&lt;=1*3,"rounding","to check"))</f>
        <v>reproduced</v>
      </c>
      <c r="H260" s="25" t="s">
        <v>944</v>
      </c>
    </row>
    <row r="261" customFormat="false" ht="15" hidden="false" customHeight="false" outlineLevel="0" collapsed="false">
      <c r="A261" s="0" t="s">
        <v>931</v>
      </c>
      <c r="B261" s="3" t="s">
        <v>945</v>
      </c>
      <c r="C261" s="56" t="n">
        <v>0.044</v>
      </c>
      <c r="D261" s="56" t="n">
        <f aca="false">'18. Affordability and the hold'!B27</f>
        <v>0.0441492753834441</v>
      </c>
      <c r="E261" s="56" t="n">
        <f aca="false">D261-C261</f>
        <v>0.000149275383444114</v>
      </c>
      <c r="F261" s="0" t="str">
        <f aca="false">IF(ABS(E261)&lt;=0.0005,"reproduced",IF(ABS(E261)&lt;=0.0005*3,"rounding","to check"))</f>
        <v>reproduced</v>
      </c>
      <c r="H261" s="25" t="s">
        <v>946</v>
      </c>
    </row>
    <row r="262" customFormat="false" ht="15" hidden="false" customHeight="false" outlineLevel="0" collapsed="false">
      <c r="A262" s="0" t="s">
        <v>882</v>
      </c>
      <c r="B262" s="3" t="s">
        <v>947</v>
      </c>
      <c r="C262" s="17" t="n">
        <v>30594</v>
      </c>
      <c r="D262" s="17" t="n">
        <f aca="false">'13. What a point is worth'!B44</f>
        <v>30594.1882380288</v>
      </c>
      <c r="E262" s="17" t="n">
        <f aca="false">D262-C262</f>
        <v>0.188238028800697</v>
      </c>
      <c r="F262" s="0" t="str">
        <f aca="false">IF(ABS(E262)&lt;=1,"reproduced",IF(ABS(E262)&lt;=1*3,"rounding","to check"))</f>
        <v>reproduced</v>
      </c>
    </row>
    <row r="263" customFormat="false" ht="15" hidden="false" customHeight="false" outlineLevel="0" collapsed="false">
      <c r="A263" s="0" t="s">
        <v>882</v>
      </c>
      <c r="B263" s="3" t="s">
        <v>423</v>
      </c>
      <c r="C263" s="17" t="n">
        <v>526605</v>
      </c>
      <c r="D263" s="17" t="n">
        <f aca="false">'13. What a point is worth'!B45</f>
        <v>526605.302133136</v>
      </c>
      <c r="E263" s="17" t="n">
        <f aca="false">D263-C263</f>
        <v>0.302133135963231</v>
      </c>
      <c r="F263" s="0" t="str">
        <f aca="false">IF(ABS(E263)&lt;=1,"reproduced",IF(ABS(E263)&lt;=1*3,"rounding","to check"))</f>
        <v>reproduced</v>
      </c>
    </row>
    <row r="264" customFormat="false" ht="15" hidden="false" customHeight="false" outlineLevel="0" collapsed="false">
      <c r="A264" s="0" t="s">
        <v>948</v>
      </c>
      <c r="B264" s="3" t="s">
        <v>949</v>
      </c>
      <c r="C264" s="56" t="n">
        <v>0.0185</v>
      </c>
      <c r="D264" s="56" t="n">
        <f aca="false">'12. Rate and occupancy'!B38</f>
        <v>0.0185185185185185</v>
      </c>
      <c r="E264" s="56" t="n">
        <f aca="false">D264-C264</f>
        <v>1.85185185185358E-005</v>
      </c>
      <c r="F264" s="0" t="str">
        <f aca="false">IF(ABS(E264)&lt;=0.00005,"reproduced",IF(ABS(E264)&lt;=0.00005*3,"rounding","to check"))</f>
        <v>reproduced</v>
      </c>
    </row>
    <row r="265" customFormat="false" ht="15" hidden="false" customHeight="false" outlineLevel="0" collapsed="false">
      <c r="A265" s="0" t="s">
        <v>948</v>
      </c>
      <c r="B265" s="3" t="s">
        <v>950</v>
      </c>
      <c r="C265" s="17" t="n">
        <v>98999</v>
      </c>
      <c r="D265" s="17" t="n">
        <f aca="false">'12. Rate and occupancy'!B39</f>
        <v>98999.1690333185</v>
      </c>
      <c r="E265" s="17" t="n">
        <f aca="false">D265-C265</f>
        <v>0.169033318481524</v>
      </c>
      <c r="F265" s="0" t="str">
        <f aca="false">IF(ABS(E265)&lt;=1,"reproduced",IF(ABS(E265)&lt;=1*3,"rounding","to check"))</f>
        <v>reproduced</v>
      </c>
    </row>
    <row r="266" customFormat="false" ht="15" hidden="false" customHeight="false" outlineLevel="0" collapsed="false">
      <c r="A266" s="0" t="s">
        <v>948</v>
      </c>
      <c r="B266" s="3" t="s">
        <v>400</v>
      </c>
      <c r="C266" s="17" t="n">
        <v>-70986</v>
      </c>
      <c r="D266" s="17" t="n">
        <f aca="false">'12. Rate and occupancy'!B40</f>
        <v>-70986.0708327795</v>
      </c>
      <c r="E266" s="17" t="n">
        <f aca="false">D266-C266</f>
        <v>-0.0708327794709476</v>
      </c>
      <c r="F266" s="0" t="str">
        <f aca="false">IF(ABS(E266)&lt;=1,"reproduced",IF(ABS(E266)&lt;=1*3,"rounding","to check"))</f>
        <v>reproduced</v>
      </c>
    </row>
    <row r="267" customFormat="false" ht="15" hidden="false" customHeight="false" outlineLevel="0" collapsed="false">
      <c r="A267" s="0" t="s">
        <v>948</v>
      </c>
      <c r="B267" s="3" t="s">
        <v>381</v>
      </c>
      <c r="C267" s="17" t="n">
        <v>28013</v>
      </c>
      <c r="D267" s="17" t="n">
        <f aca="false">'12. Rate and occupancy'!B41</f>
        <v>28013.098200539</v>
      </c>
      <c r="E267" s="17" t="n">
        <f aca="false">D267-C267</f>
        <v>0.0982005390105769</v>
      </c>
      <c r="F267" s="0" t="str">
        <f aca="false">IF(ABS(E267)&lt;=1,"reproduced",IF(ABS(E267)&lt;=1*3,"rounding","to check"))</f>
        <v>reproduced</v>
      </c>
    </row>
    <row r="268" customFormat="false" ht="15" hidden="false" customHeight="false" outlineLevel="0" collapsed="false">
      <c r="A268" s="0" t="s">
        <v>948</v>
      </c>
      <c r="B268" s="3" t="s">
        <v>829</v>
      </c>
      <c r="C268" s="17" t="n">
        <v>482178</v>
      </c>
      <c r="D268" s="17" t="n">
        <f aca="false">'12. Rate and occupancy'!B42</f>
        <v>482178.050511025</v>
      </c>
      <c r="E268" s="17" t="n">
        <f aca="false">D268-C268</f>
        <v>0.0505110248341225</v>
      </c>
      <c r="F268" s="0" t="str">
        <f aca="false">IF(ABS(E268)&lt;=1,"reproduced",IF(ABS(E268)&lt;=1*3,"rounding","to check"))</f>
        <v>reproduced</v>
      </c>
    </row>
    <row r="269" customFormat="false" ht="15" hidden="false" customHeight="false" outlineLevel="0" collapsed="false">
      <c r="A269" s="0" t="s">
        <v>948</v>
      </c>
      <c r="B269" s="3" t="s">
        <v>951</v>
      </c>
      <c r="C269" s="56" t="n">
        <v>0.0258</v>
      </c>
      <c r="D269" s="56" t="n">
        <f aca="false">'12. Rate and occupancy'!B43</f>
        <v>0.0258264462809918</v>
      </c>
      <c r="E269" s="56" t="n">
        <f aca="false">D269-C269</f>
        <v>2.64462809917605E-005</v>
      </c>
      <c r="F269" s="0" t="str">
        <f aca="false">IF(ABS(E269)&lt;=0.00005,"reproduced",IF(ABS(E269)&lt;=0.00005*3,"rounding","to check"))</f>
        <v>reproduced</v>
      </c>
    </row>
    <row r="270" customFormat="false" ht="15" hidden="false" customHeight="false" outlineLevel="0" collapsed="false">
      <c r="A270" s="0" t="s">
        <v>948</v>
      </c>
      <c r="B270" s="3" t="s">
        <v>952</v>
      </c>
      <c r="C270" s="37" t="n">
        <v>3.6</v>
      </c>
      <c r="D270" s="37" t="n">
        <f aca="false">'12. Rate and occupancy'!B45</f>
        <v>3.62870063396371</v>
      </c>
      <c r="E270" s="37" t="n">
        <f aca="false">D270-C270</f>
        <v>0.0287006339637093</v>
      </c>
      <c r="F270" s="0" t="str">
        <f aca="false">IF(ABS(E270)&lt;=0.05,"reproduced",IF(ABS(E270)&lt;=0.05*3,"rounding","to check"))</f>
        <v>reproduced</v>
      </c>
    </row>
    <row r="271" customFormat="false" ht="15" hidden="false" customHeight="false" outlineLevel="0" collapsed="false">
      <c r="A271" s="0" t="s">
        <v>953</v>
      </c>
      <c r="B271" s="3" t="s">
        <v>954</v>
      </c>
      <c r="C271" s="56" t="n">
        <v>0.187</v>
      </c>
      <c r="D271" s="56" t="n">
        <f aca="false">'14. The nomination'!B38</f>
        <v>0.186632232829314</v>
      </c>
      <c r="E271" s="56" t="n">
        <f aca="false">D271-C271</f>
        <v>-0.000367767170686373</v>
      </c>
      <c r="F271" s="0" t="str">
        <f aca="false">IF(ABS(E271)&lt;=0.0005,"reproduced",IF(ABS(E271)&lt;=0.0005*3,"rounding","to check"))</f>
        <v>reproduced</v>
      </c>
    </row>
    <row r="272" customFormat="false" ht="15" hidden="false" customHeight="false" outlineLevel="0" collapsed="false">
      <c r="A272" s="0" t="s">
        <v>953</v>
      </c>
      <c r="B272" s="3" t="s">
        <v>955</v>
      </c>
      <c r="C272" s="56" t="n">
        <v>0.851</v>
      </c>
      <c r="D272" s="56" t="n">
        <f aca="false">'14. The nomination'!B39</f>
        <v>0.850694213736549</v>
      </c>
      <c r="E272" s="56" t="n">
        <f aca="false">D272-C272</f>
        <v>-0.000305786263450902</v>
      </c>
      <c r="F272" s="0" t="str">
        <f aca="false">IF(ABS(E272)&lt;=0.0005,"reproduced",IF(ABS(E272)&lt;=0.0005*3,"rounding","to check"))</f>
        <v>reproduced</v>
      </c>
    </row>
    <row r="273" customFormat="false" ht="15" hidden="false" customHeight="false" outlineLevel="0" collapsed="false">
      <c r="A273" s="0" t="s">
        <v>953</v>
      </c>
      <c r="B273" s="3" t="s">
        <v>956</v>
      </c>
      <c r="C273" s="56" t="n">
        <v>0.863</v>
      </c>
      <c r="D273" s="56" t="n">
        <f aca="false">'14. The nomination'!B40</f>
        <v>0.862923076923077</v>
      </c>
      <c r="E273" s="56" t="n">
        <f aca="false">D273-C273</f>
        <v>-7.69230769230855E-005</v>
      </c>
      <c r="F273" s="0" t="str">
        <f aca="false">IF(ABS(E273)&lt;=0.0005,"reproduced",IF(ABS(E273)&lt;=0.0005*3,"rounding","to check"))</f>
        <v>reproduced</v>
      </c>
    </row>
    <row r="274" customFormat="false" ht="15" hidden="false" customHeight="false" outlineLevel="0" collapsed="false">
      <c r="A274" s="0" t="s">
        <v>953</v>
      </c>
      <c r="B274" s="3" t="s">
        <v>497</v>
      </c>
      <c r="C274" s="56" t="n">
        <v>0.841</v>
      </c>
      <c r="D274" s="56" t="n">
        <f aca="false">'14. The nomination'!B41</f>
        <v>0.840846153846154</v>
      </c>
      <c r="E274" s="56" t="n">
        <f aca="false">D274-C274</f>
        <v>-0.000153846153846171</v>
      </c>
      <c r="F274" s="0" t="str">
        <f aca="false">IF(ABS(E274)&lt;=0.0005,"reproduced",IF(ABS(E274)&lt;=0.0005*3,"rounding","to check"))</f>
        <v>reproduced</v>
      </c>
    </row>
    <row r="276" customFormat="false" ht="15" hidden="false" customHeight="false" outlineLevel="0" collapsed="false">
      <c r="B276" s="57" t="s">
        <v>957</v>
      </c>
      <c r="C276" s="57" t="n">
        <f aca="false">COUNTIF(F6:F274,"reproduced")</f>
        <v>269</v>
      </c>
    </row>
    <row r="277" customFormat="false" ht="15" hidden="false" customHeight="false" outlineLevel="0" collapsed="false">
      <c r="B277" s="57" t="s">
        <v>958</v>
      </c>
      <c r="C277" s="57" t="n">
        <f aca="false">COUNTIF(F6:F274,"rounding")</f>
        <v>0</v>
      </c>
    </row>
    <row r="278" customFormat="false" ht="15" hidden="false" customHeight="false" outlineLevel="0" collapsed="false">
      <c r="B278" s="57" t="s">
        <v>959</v>
      </c>
      <c r="C278" s="57" t="n">
        <f aca="false">COUNTIF(F6:F274,"to check")</f>
        <v>0</v>
      </c>
    </row>
    <row r="279" customFormat="false" ht="15" hidden="false" customHeight="false" outlineLevel="0" collapsed="false">
      <c r="B279" s="57" t="s">
        <v>960</v>
      </c>
      <c r="C279" s="57" t="str">
        <f aca="false">IF(C276=269,"ALL OK",C276&amp;" / 269")</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2026-08-26T12:04:34Z</dcterms:created>
  <dc:creator>openpyxl</dc:creator>
  <dc:description/>
  <dc:language>en-US</dc:language>
  <cp:lastModifiedBy/>
  <dcterms:modified xsi:type="dcterms:W3CDTF">2026-09-23T23:32:04Z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