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Certificate" sheetId="3" state="visible" r:id="rId5"/>
    <sheet name="Yield_Grid" sheetId="4" state="visible" r:id="rId6"/>
    <sheet name="Decomposition" sheetId="5" state="visible" r:id="rId7"/>
    <sheet name="Premium"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<sst xmlns="http://schemas.openxmlformats.org/spreadsheetml/2006/main" count="403" uniqueCount="245">
  <si>
    <t xml:space="preserve">Calder County: one certificate, from the face amount to the yield</t>
  </si>
  <si>
    <t xml:space="preserve">Companion workbook to The Tax Lien Investor, by Julian R. Sterling. julianrsterling.com/tax-liens</t>
  </si>
  <si>
    <t xml:space="preserve">What it is</t>
  </si>
  <si>
    <t xml:space="preserve">Certificate C-0412, the one the investor won at 0.25% on sale day: how its face amount is built, what the owner pays on redemption under the 5% minimum charge, when interest at the bid overtakes the minimum, and the IRR a year for every bid and redemption month. Then where the 18% goes on a one-year hold, and a hypothetical premium-bidding regime.</t>
  </si>
  <si>
    <t xml:space="preserve">Where it is in the book</t>
  </si>
  <si>
    <t xml:space="preserve">Chapter 2 (the face amount and the payoff), Chapter 3 (the rate is not the yield), the premium chapter (premium bidding).</t>
  </si>
  <si>
    <t xml:space="preserve">Sheets</t>
  </si>
  <si>
    <t xml:space="preserve">Inputs: the regime and the lines of C-0412's face. Certificate: the face, the payoff rule on five cases, the crossover months. Yield_Grid: IRR by bid and month, and the same IRR computed with IRR() over a monthly cash-flow row. Decomposition: the lag and the fee at 18% held twelve months. Premium: both variants and the break-even premiums. Checks: every figure the book prints beside the live cell.</t>
  </si>
  <si>
    <t xml:space="preserve">Conventions</t>
  </si>
  <si>
    <t xml:space="preserve">Months are counted from the sale (month 0). Interest is simple, on the face, per full month. The county pays one month after redemption (the lag). The IRR is the monthly rate that makes the money paid out and the money received back, at their dates, worth the same, compounded to a year as (1 + monthly)^12 - 1, exactly as the book's model does.</t>
  </si>
  <si>
    <t xml:space="preserve">Yellow cells with blue type are inputs; grey cells are formulas. No macros, no circular references, nothing locked, protected or hidden. Calder County is fictional and its regime is the book's assumption, not any state's law.</t>
  </si>
  <si>
    <t xml:space="preserve">The file is provided without warranty of any kind. It is a teaching model, not legal, tax or investment advice: read your state's statute and the county's sale terms, and ask counsel.</t>
  </si>
  <si>
    <t xml:space="preserve">Inputs: the regime and certificate C-0412</t>
  </si>
  <si>
    <t xml:space="preserve">Yellow cells with blue type are inputs. Change one and every sheet follows.</t>
  </si>
  <si>
    <t xml:space="preserve">Calder County regime (the book's assumptions, Chapters 1 and 2)</t>
  </si>
  <si>
    <t xml:space="preserve">Maximum rate, where bidding starts</t>
  </si>
  <si>
    <t xml:space="preserve">a year</t>
  </si>
  <si>
    <t xml:space="preserve">Bid step</t>
  </si>
  <si>
    <t xml:space="preserve">percentage points</t>
  </si>
  <si>
    <t xml:space="preserve">Minimum charge on redemption (not on a 0% bid)</t>
  </si>
  <si>
    <t xml:space="preserve">of the face amount</t>
  </si>
  <si>
    <t xml:space="preserve">Fee per certificate, paid by the buyer, not recovered</t>
  </si>
  <si>
    <t xml:space="preserve">per certificate</t>
  </si>
  <si>
    <t xml:space="preserve">Payment lag: months from redemption or sale to the cash</t>
  </si>
  <si>
    <t xml:space="preserve">months</t>
  </si>
  <si>
    <t xml:space="preserve">Treasury bill rate (benchmark)</t>
  </si>
  <si>
    <t xml:space="preserve">The investor's required return (hurdle)</t>
  </si>
  <si>
    <t xml:space="preserve">Certificate C-0412 (Chapter 2): the lines of the face amount</t>
  </si>
  <si>
    <t xml:space="preserve">Delinquent tax</t>
  </si>
  <si>
    <t xml:space="preserve">Delinquency interest</t>
  </si>
  <si>
    <t xml:space="preserve">Advertising</t>
  </si>
  <si>
    <t xml:space="preserve">Collector fee</t>
  </si>
  <si>
    <t xml:space="preserve">Bid at which the investor won C-0412</t>
  </si>
  <si>
    <t xml:space="preserve">Premium bidding (the premium chapter): a hypothetical regime</t>
  </si>
  <si>
    <t xml:space="preserve">Fixed rate on the face only, simple, no minimum charge</t>
  </si>
  <si>
    <t xml:space="preserve">C-0412: the face amount and the payoff rule (Chapter 2)</t>
  </si>
  <si>
    <t xml:space="preserve">The owner pays the greater of interest at the bid rate for the months elapsed and the minimum charge; nothing at a 0% bid.</t>
  </si>
  <si>
    <t xml:space="preserve">The face amount</t>
  </si>
  <si>
    <t xml:space="preserve">Face amount</t>
  </si>
  <si>
    <t xml:space="preserve">Paid by the investor: face plus the fee</t>
  </si>
  <si>
    <t xml:space="preserve">The payoff rule at work</t>
  </si>
  <si>
    <t xml:space="preserve">Case</t>
  </si>
  <si>
    <t xml:space="preserve">Bid rate</t>
  </si>
  <si>
    <t xml:space="preserve">Redeemed in month</t>
  </si>
  <si>
    <t xml:space="preserve">Interest at the bid</t>
  </si>
  <si>
    <t xml:space="preserve">Charge due (share of face)</t>
  </si>
  <si>
    <t xml:space="preserve">Payoff</t>
  </si>
  <si>
    <t xml:space="preserve">Gain after fee</t>
  </si>
  <si>
    <t xml:space="preserve">Return for the period</t>
  </si>
  <si>
    <t xml:space="preserve">Simple, a year</t>
  </si>
  <si>
    <t xml:space="preserve">IRR a year</t>
  </si>
  <si>
    <t xml:space="preserve">18% redeemed in month 2</t>
  </si>
  <si>
    <t xml:space="preserve">18% redeemed in month 12</t>
  </si>
  <si>
    <t xml:space="preserve">0.25% redeemed in month 2</t>
  </si>
  <si>
    <t xml:space="preserve">0.25% redeemed in month 12</t>
  </si>
  <si>
    <t xml:space="preserve">0% redeemed in month 3</t>
  </si>
  <si>
    <t xml:space="preserve">The IRR uses RATE over the months from the sale to the cash (redemption month plus the lag): the monthly rate that makes the payoff worth what was paid, compounded to a year as (1 + monthly)^12 - 1.</t>
  </si>
  <si>
    <t xml:space="preserve">At a 0% bid the certificate earns nothing: loss whenever it is redeemed</t>
  </si>
  <si>
    <t xml:space="preserve">Crossover: the month after which interest at the bid exceeds the minimum</t>
  </si>
  <si>
    <t xml:space="preserve">Crossover month</t>
  </si>
  <si>
    <t xml:space="preserve">Within 24 months?</t>
  </si>
  <si>
    <t xml:space="preserve">The rate is not the yield: IRR a year of C-0412 by bid and redemption month (Chapter 3)</t>
  </si>
  <si>
    <t xml:space="preserve">Fee included, one-month payment lag, no subsequent taxes. Bids and months are inputs: change them to see any cell.</t>
  </si>
  <si>
    <t xml:space="preserve">Bid rate \ month redeemed</t>
  </si>
  <si>
    <t xml:space="preserve">Read across the first three columns: every positive bid pays the same, because the 5% minimum governs. Read down the month-12 column: at 18% the IRR is 16.2%, not 18%.</t>
  </si>
  <si>
    <t xml:space="preserve">The same IRR over a monthly cash-flow row: bid and month as inputs</t>
  </si>
  <si>
    <t xml:space="preserve">Month</t>
  </si>
  <si>
    <t xml:space="preserve">Cash flow</t>
  </si>
  <si>
    <t xml:space="preserve">IRR a month, IRR() over the row</t>
  </si>
  <si>
    <t xml:space="preserve">IRR a year: (1 + monthly)^12 - 1</t>
  </si>
  <si>
    <t xml:space="preserve">The same with RATE</t>
  </si>
  <si>
    <t xml:space="preserve">Where the 18% goes: the lag and the fee on a one-year hold (Chapter 3)</t>
  </si>
  <si>
    <t xml:space="preserve">C-0412 won at 18% and redeemed in month 12, under four combinations of lag and fee.</t>
  </si>
  <si>
    <t xml:space="preserve">Lag (months)</t>
  </si>
  <si>
    <t xml:space="preserve">Fee</t>
  </si>
  <si>
    <t xml:space="preserve">Months to the cash</t>
  </si>
  <si>
    <t xml:space="preserve">No lag, no fee</t>
  </si>
  <si>
    <t xml:space="preserve">No lag, fee kept</t>
  </si>
  <si>
    <t xml:space="preserve">Lag kept, no fee</t>
  </si>
  <si>
    <t xml:space="preserve">Lag and fee (the book's case)</t>
  </si>
  <si>
    <t xml:space="preserve">What the lag costs (points of IRR, fee kept)</t>
  </si>
  <si>
    <t xml:space="preserve">What the fee costs (points of IRR, lag kept)</t>
  </si>
  <si>
    <t xml:space="preserve">Premium bidding: a fixed 12% and a premium over the face (the premium chapter)</t>
  </si>
  <si>
    <t xml:space="preserve">C-0412's face, fee included, one-month lag. Interest on the face only, no minimum charge; the premium earns nothing.</t>
  </si>
  <si>
    <t xml:space="preserve">Variant 1: premium refunded without interest</t>
  </si>
  <si>
    <t xml:space="preserve">Refunded (1) or forfeited (0)</t>
  </si>
  <si>
    <t xml:space="preserve">Premium \ month redeemed</t>
  </si>
  <si>
    <t xml:space="preserve">Variant 2: premium forfeited to the county</t>
  </si>
  <si>
    <t xml:space="preserve">Break-even premiums at month 12 (closed form: the IRR is a single RATE, so the premium solves directly)</t>
  </si>
  <si>
    <t xml:space="preserve">Break-even</t>
  </si>
  <si>
    <t xml:space="preserve">Target IRR</t>
  </si>
  <si>
    <t xml:space="preserve">Growth factor over the months</t>
  </si>
  <si>
    <t xml:space="preserve">Premium (share of face)</t>
  </si>
  <si>
    <t xml:space="preserve">IRR at that premium</t>
  </si>
  <si>
    <t xml:space="preserve">Equals the target?</t>
  </si>
  <si>
    <t xml:space="preserve">Forfeited, for the Treasury bill</t>
  </si>
  <si>
    <t xml:space="preserve">Refunded, for the Treasury bill</t>
  </si>
  <si>
    <t xml:space="preserve">Forfeited, for a 0% IRR</t>
  </si>
  <si>
    <t xml:space="preserve">Refunded: face x (1 + 12% x m/12) + face x p = k x (face x (1 + p) + fee), with k = (1 + target)^((m + lag)/12). Forfeited: face x (1 + 12% x m/12) = k x (face x (1 + p) + fee). Each is linear in p.</t>
  </si>
  <si>
    <t xml:space="preserve">Checks: the figures printed in the book against the live workbook</t>
  </si>
  <si>
    <t xml:space="preserve">Book = the figure as printed in the book (from _FACTS.md). Tolerance = half a unit of the last printed digit. The logic checks at the end test that the model holds together.</t>
  </si>
  <si>
    <t xml:space="preserve">Number of checks</t>
  </si>
  <si>
    <t xml:space="preserve">PASS</t>
  </si>
  <si>
    <t xml:space="preserve">FAIL</t>
  </si>
  <si>
    <t xml:space="preserve">#</t>
  </si>
  <si>
    <t xml:space="preserve">Sheet</t>
  </si>
  <si>
    <t xml:space="preserve">Figure printed in the book, or logic check</t>
  </si>
  <si>
    <t xml:space="preserve">Book</t>
  </si>
  <si>
    <t xml:space="preserve">Workbook</t>
  </si>
  <si>
    <t xml:space="preserve">Difference</t>
  </si>
  <si>
    <t xml:space="preserve">Tolerance</t>
  </si>
  <si>
    <t xml:space="preserve">Status</t>
  </si>
  <si>
    <t xml:space="preserve">Certificate</t>
  </si>
  <si>
    <t xml:space="preserve">C-0412 face amount</t>
  </si>
  <si>
    <t xml:space="preserve">C-0412 face plus the fee</t>
  </si>
  <si>
    <t xml:space="preserve">Payoff, 18% redeemed in month 2</t>
  </si>
  <si>
    <t xml:space="preserve">Gain after fee, 18% redeemed in month 2</t>
  </si>
  <si>
    <t xml:space="preserve">Return for the period, 18% redeemed in month 2</t>
  </si>
  <si>
    <t xml:space="preserve">IRR a year, 18% redeemed in month 2</t>
  </si>
  <si>
    <t xml:space="preserve">Payoff, 18% redeemed in month 12</t>
  </si>
  <si>
    <t xml:space="preserve">Gain after fee, 18% redeemed in month 12</t>
  </si>
  <si>
    <t xml:space="preserve">Return for the period, 18% redeemed in month 12</t>
  </si>
  <si>
    <t xml:space="preserve">IRR a year, 18% redeemed in month 12</t>
  </si>
  <si>
    <t xml:space="preserve">Payoff, 0.25% redeemed in month 2</t>
  </si>
  <si>
    <t xml:space="preserve">Gain after fee, 0.25% redeemed in month 2</t>
  </si>
  <si>
    <t xml:space="preserve">Return for the period, 0.25% redeemed in month 2</t>
  </si>
  <si>
    <t xml:space="preserve">IRR a year, 0.25% redeemed in month 2</t>
  </si>
  <si>
    <t xml:space="preserve">Payoff, 0.25% redeemed in month 12</t>
  </si>
  <si>
    <t xml:space="preserve">Gain after fee, 0.25% redeemed in month 12</t>
  </si>
  <si>
    <t xml:space="preserve">Return for the period, 0.25% redeemed in month 12</t>
  </si>
  <si>
    <t xml:space="preserve">IRR a year, 0.25% redeemed in month 12</t>
  </si>
  <si>
    <t xml:space="preserve">Loss on a certificate won at 0%, the fee</t>
  </si>
  <si>
    <t xml:space="preserve">A 0% bid returns exactly the face, whatever the month</t>
  </si>
  <si>
    <t xml:space="preserve">holds</t>
  </si>
  <si>
    <t xml:space="preserve">At a bid of 0.25%, month 1 and month 24 both pay the 5% minimum</t>
  </si>
  <si>
    <t xml:space="preserve">Crossover month at 18%</t>
  </si>
  <si>
    <t xml:space="preserve">Crossover month at 12%</t>
  </si>
  <si>
    <t xml:space="preserve">Crossover month at 6%</t>
  </si>
  <si>
    <t xml:space="preserve">Crossover month at 3%</t>
  </si>
  <si>
    <t xml:space="preserve">Crossover month at 2.5%</t>
  </si>
  <si>
    <t xml:space="preserve">Yield_Grid</t>
  </si>
  <si>
    <t xml:space="preserve">IRR a year, bid 18.00%, redeemed month 1</t>
  </si>
  <si>
    <t xml:space="preserve">IRR a year, bid 18.00%, redeemed month 2</t>
  </si>
  <si>
    <t xml:space="preserve">IRR a year, bid 18.00%, redeemed month 3</t>
  </si>
  <si>
    <t xml:space="preserve">IRR a year, bid 18.00%, redeemed month 6</t>
  </si>
  <si>
    <t xml:space="preserve">IRR a year, bid 18.00%, redeemed month 9</t>
  </si>
  <si>
    <t xml:space="preserve">IRR a year, bid 18.00%, redeemed month 12</t>
  </si>
  <si>
    <t xml:space="preserve">IRR a year, bid 18.00%, redeemed month 18</t>
  </si>
  <si>
    <t xml:space="preserve">IRR a year, bid 18.00%, redeemed month 24</t>
  </si>
  <si>
    <t xml:space="preserve">IRR a year, bid 12.00%, redeemed month 1</t>
  </si>
  <si>
    <t xml:space="preserve">IRR a year, bid 12.00%, redeemed month 2</t>
  </si>
  <si>
    <t xml:space="preserve">IRR a year, bid 12.00%, redeemed month 3</t>
  </si>
  <si>
    <t xml:space="preserve">IRR a year, bid 12.00%, redeemed month 6</t>
  </si>
  <si>
    <t xml:space="preserve">IRR a year, bid 12.00%, redeemed month 9</t>
  </si>
  <si>
    <t xml:space="preserve">IRR a year, bid 12.00%, redeemed month 12</t>
  </si>
  <si>
    <t xml:space="preserve">IRR a year, bid 12.00%, redeemed month 18</t>
  </si>
  <si>
    <t xml:space="preserve">IRR a year, bid 12.00%, redeemed month 24</t>
  </si>
  <si>
    <t xml:space="preserve">IRR a year, bid 9.00%, redeemed month 1</t>
  </si>
  <si>
    <t xml:space="preserve">IRR a year, bid 9.00%, redeemed month 2</t>
  </si>
  <si>
    <t xml:space="preserve">IRR a year, bid 9.00%, redeemed month 3</t>
  </si>
  <si>
    <t xml:space="preserve">IRR a year, bid 9.00%, redeemed month 6</t>
  </si>
  <si>
    <t xml:space="preserve">IRR a year, bid 9.00%, redeemed month 9</t>
  </si>
  <si>
    <t xml:space="preserve">IRR a year, bid 9.00%, redeemed month 12</t>
  </si>
  <si>
    <t xml:space="preserve">IRR a year, bid 9.00%, redeemed month 18</t>
  </si>
  <si>
    <t xml:space="preserve">IRR a year, bid 9.00%, redeemed month 24</t>
  </si>
  <si>
    <t xml:space="preserve">IRR a year, bid 6.00%, redeemed month 1</t>
  </si>
  <si>
    <t xml:space="preserve">IRR a year, bid 6.00%, redeemed month 2</t>
  </si>
  <si>
    <t xml:space="preserve">IRR a year, bid 6.00%, redeemed month 3</t>
  </si>
  <si>
    <t xml:space="preserve">IRR a year, bid 6.00%, redeemed month 6</t>
  </si>
  <si>
    <t xml:space="preserve">IRR a year, bid 6.00%, redeemed month 9</t>
  </si>
  <si>
    <t xml:space="preserve">IRR a year, bid 6.00%, redeemed month 12</t>
  </si>
  <si>
    <t xml:space="preserve">IRR a year, bid 6.00%, redeemed month 18</t>
  </si>
  <si>
    <t xml:space="preserve">IRR a year, bid 6.00%, redeemed month 24</t>
  </si>
  <si>
    <t xml:space="preserve">IRR a year, bid 3.00%, redeemed month 1</t>
  </si>
  <si>
    <t xml:space="preserve">IRR a year, bid 3.00%, redeemed month 2</t>
  </si>
  <si>
    <t xml:space="preserve">IRR a year, bid 3.00%, redeemed month 3</t>
  </si>
  <si>
    <t xml:space="preserve">IRR a year, bid 3.00%, redeemed month 6</t>
  </si>
  <si>
    <t xml:space="preserve">IRR a year, bid 3.00%, redeemed month 9</t>
  </si>
  <si>
    <t xml:space="preserve">IRR a year, bid 3.00%, redeemed month 12</t>
  </si>
  <si>
    <t xml:space="preserve">IRR a year, bid 3.00%, redeemed month 18</t>
  </si>
  <si>
    <t xml:space="preserve">IRR a year, bid 3.00%, redeemed month 24</t>
  </si>
  <si>
    <t xml:space="preserve">IRR a year, bid 1.00%, redeemed month 1</t>
  </si>
  <si>
    <t xml:space="preserve">IRR a year, bid 1.00%, redeemed month 2</t>
  </si>
  <si>
    <t xml:space="preserve">IRR a year, bid 1.00%, redeemed month 3</t>
  </si>
  <si>
    <t xml:space="preserve">IRR a year, bid 1.00%, redeemed month 6</t>
  </si>
  <si>
    <t xml:space="preserve">IRR a year, bid 1.00%, redeemed month 9</t>
  </si>
  <si>
    <t xml:space="preserve">IRR a year, bid 1.00%, redeemed month 12</t>
  </si>
  <si>
    <t xml:space="preserve">IRR a year, bid 1.00%, redeemed month 18</t>
  </si>
  <si>
    <t xml:space="preserve">IRR a year, bid 1.00%, redeemed month 24</t>
  </si>
  <si>
    <t xml:space="preserve">IRR a year, bid 0.25%, redeemed month 1</t>
  </si>
  <si>
    <t xml:space="preserve">IRR a year, bid 0.25%, redeemed month 2</t>
  </si>
  <si>
    <t xml:space="preserve">IRR a year, bid 0.25%, redeemed month 3</t>
  </si>
  <si>
    <t xml:space="preserve">IRR a year, bid 0.25%, redeemed month 6</t>
  </si>
  <si>
    <t xml:space="preserve">IRR a year, bid 0.25%, redeemed month 9</t>
  </si>
  <si>
    <t xml:space="preserve">IRR a year, bid 0.25%, redeemed month 12</t>
  </si>
  <si>
    <t xml:space="preserve">IRR a year, bid 0.25%, redeemed month 18</t>
  </si>
  <si>
    <t xml:space="preserve">IRR a year, bid 0.25%, redeemed month 24</t>
  </si>
  <si>
    <t xml:space="preserve">Months 1 to 3: every positive bid in the grid earns the same IRR (the minimum governs)</t>
  </si>
  <si>
    <t xml:space="preserve">IRR() over the monthly row equals RATE on the two cash flows</t>
  </si>
  <si>
    <t xml:space="preserve">18% held to month 12, IRR over the monthly row</t>
  </si>
  <si>
    <t xml:space="preserve">Decomposition</t>
  </si>
  <si>
    <t xml:space="preserve">On a one-year hold the lag costs more than the fee</t>
  </si>
  <si>
    <t xml:space="preserve">Premium</t>
  </si>
  <si>
    <t xml:space="preserve">Variant 1, premium 0%, month 3</t>
  </si>
  <si>
    <t xml:space="preserve">Variant 1, premium 0%, month 12</t>
  </si>
  <si>
    <t xml:space="preserve">Variant 1, premium 0%, month 24</t>
  </si>
  <si>
    <t xml:space="preserve">Variant 1, premium 5%, month 3</t>
  </si>
  <si>
    <t xml:space="preserve">Variant 1, premium 5%, month 12</t>
  </si>
  <si>
    <t xml:space="preserve">Variant 1, premium 5%, month 24</t>
  </si>
  <si>
    <t xml:space="preserve">Variant 1, premium 10%, month 3</t>
  </si>
  <si>
    <t xml:space="preserve">Variant 1, premium 10%, month 12</t>
  </si>
  <si>
    <t xml:space="preserve">Variant 1, premium 10%, month 24</t>
  </si>
  <si>
    <t xml:space="preserve">Variant 1, premium 25%, month 3</t>
  </si>
  <si>
    <t xml:space="preserve">Variant 1, premium 25%, month 12</t>
  </si>
  <si>
    <t xml:space="preserve">Variant 1, premium 25%, month 24</t>
  </si>
  <si>
    <t xml:space="preserve">Variant 1, premium 50%, month 3</t>
  </si>
  <si>
    <t xml:space="preserve">Variant 1, premium 50%, month 12</t>
  </si>
  <si>
    <t xml:space="preserve">Variant 1, premium 50%, month 24</t>
  </si>
  <si>
    <t xml:space="preserve">Variant 1, premium 100%, month 3</t>
  </si>
  <si>
    <t xml:space="preserve">Variant 1, premium 100%, month 12</t>
  </si>
  <si>
    <t xml:space="preserve">Variant 1, premium 100%, month 24</t>
  </si>
  <si>
    <t xml:space="preserve">Variant 2, premium 0%, month 3</t>
  </si>
  <si>
    <t xml:space="preserve">Variant 2, premium 0%, month 12</t>
  </si>
  <si>
    <t xml:space="preserve">Variant 2, premium 0%, month 24</t>
  </si>
  <si>
    <t xml:space="preserve">Variant 2, premium 5%, month 3</t>
  </si>
  <si>
    <t xml:space="preserve">Variant 2, premium 5%, month 12</t>
  </si>
  <si>
    <t xml:space="preserve">Variant 2, premium 5%, month 24</t>
  </si>
  <si>
    <t xml:space="preserve">Variant 2, premium 10%, month 3</t>
  </si>
  <si>
    <t xml:space="preserve">Variant 2, premium 10%, month 12</t>
  </si>
  <si>
    <t xml:space="preserve">Variant 2, premium 10%, month 24</t>
  </si>
  <si>
    <t xml:space="preserve">Variant 2, premium 25%, month 3</t>
  </si>
  <si>
    <t xml:space="preserve">Variant 2, premium 25%, month 12</t>
  </si>
  <si>
    <t xml:space="preserve">Variant 2, premium 25%, month 24</t>
  </si>
  <si>
    <t xml:space="preserve">Variant 2, premium 50%, month 3</t>
  </si>
  <si>
    <t xml:space="preserve">Variant 2, premium 50%, month 12</t>
  </si>
  <si>
    <t xml:space="preserve">Variant 2, premium 50%, month 24</t>
  </si>
  <si>
    <t xml:space="preserve">Variant 2, premium 100%, month 3</t>
  </si>
  <si>
    <t xml:space="preserve">Variant 2, premium 100%, month 12</t>
  </si>
  <si>
    <t xml:space="preserve">Variant 2, premium 100%, month 24</t>
  </si>
  <si>
    <t xml:space="preserve">IRR at the break-even premium equals the target: forfeited, for the treasury bill</t>
  </si>
  <si>
    <t xml:space="preserve">IRR at the break-even premium equals the target: refunded, for the treasury bill</t>
  </si>
  <si>
    <t xml:space="preserve">IRR at the break-even premium equals the target: forfeited, for a 0% irr</t>
  </si>
  <si>
    <t xml:space="preserve">Break-even premium, forfeited, Treasury bill, month 12</t>
  </si>
  <si>
    <t xml:space="preserve">Break-even premium, refunded, Treasury bill, month 12</t>
  </si>
  <si>
    <t xml:space="preserve">Break-even premium, forfeited, 0% IRR, month 12</t>
  </si>
</sst>
</file>

<file path=xl/styles.xml><?xml version="1.0" encoding="utf-8"?>
<styleSheet xmlns="http://schemas.openxmlformats.org/spreadsheetml/2006/main">
  <numFmts count="14">
    <numFmt numFmtId="164" formatCode="General"/>
    <numFmt numFmtId="165" formatCode="0.00%"/>
    <numFmt numFmtId="166" formatCode="\$#,##0.00;&quot;-$&quot;#,##0.00;\$0.00"/>
    <numFmt numFmtId="167" formatCode="0"/>
    <numFmt numFmtId="168" formatCode="0.0%"/>
    <numFmt numFmtId="169" formatCode="0.000%"/>
    <numFmt numFmtId="170" formatCode="#,##0.00"/>
    <numFmt numFmtId="171" formatCode="0%"/>
    <numFmt numFmtId="172" formatCode="0.000000"/>
    <numFmt numFmtId="173" formatCode="#,##0.0000"/>
    <numFmt numFmtId="174" formatCode="0.0000%"/>
    <numFmt numFmtId="175" formatCode="#,##0.0"/>
    <numFmt numFmtId="176" formatCode="#,##0.000"/>
    <numFmt numFmtId="177" formatCode="#,##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center"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64" fontId="6" fillId="4" borderId="1" xfId="0" applyFont="true" applyBorder="true" applyAlignment="true" applyProtection="false">
      <alignment horizontal="right"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77"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4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60" hidden="false" customHeight="true" outlineLevel="0" collapsed="false">
      <c r="B10" s="3" t="s">
        <v>7</v>
      </c>
    </row>
    <row r="11" customFormat="false" ht="15" hidden="false" customHeight="false" outlineLevel="0" collapsed="false">
      <c r="B11" s="4" t="s">
        <v>8</v>
      </c>
    </row>
    <row r="12" customFormat="false" ht="45"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3"/>
    </row>
    <row r="15" customFormat="false" ht="30" hidden="false" customHeight="true" outlineLevel="0" collapsed="false">
      <c r="B15" s="3" t="s">
        <v>11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40"/>
    <col collapsed="false" customWidth="true" hidden="false" outlineLevel="0" max="5" min="5" style="0" width="4"/>
  </cols>
  <sheetData>
    <row r="1" customFormat="false" ht="6" hidden="false" customHeight="true" outlineLevel="0" collapsed="false"/>
    <row r="2" customFormat="false" ht="17.35" hidden="false" customHeight="false" outlineLevel="0" collapsed="false">
      <c r="B2" s="5" t="s">
        <v>12</v>
      </c>
    </row>
    <row r="3" customFormat="false" ht="15" hidden="false" customHeight="false" outlineLevel="0" collapsed="false">
      <c r="B3" s="6" t="s">
        <v>13</v>
      </c>
    </row>
    <row r="5" customFormat="false" ht="15" hidden="false" customHeight="false" outlineLevel="0" collapsed="false">
      <c r="B5" s="7" t="s">
        <v>14</v>
      </c>
      <c r="C5" s="8"/>
      <c r="D5" s="8"/>
      <c r="E5" s="8"/>
    </row>
    <row r="6" customFormat="false" ht="15" hidden="false" customHeight="false" outlineLevel="0" collapsed="false">
      <c r="B6" s="9" t="s">
        <v>15</v>
      </c>
      <c r="C6" s="10" t="n">
        <v>0.18</v>
      </c>
      <c r="D6" s="6" t="s">
        <v>16</v>
      </c>
    </row>
    <row r="7" customFormat="false" ht="15" hidden="false" customHeight="false" outlineLevel="0" collapsed="false">
      <c r="B7" s="9" t="s">
        <v>17</v>
      </c>
      <c r="C7" s="10" t="n">
        <v>0.0025</v>
      </c>
      <c r="D7" s="6" t="s">
        <v>18</v>
      </c>
    </row>
    <row r="8" customFormat="false" ht="15" hidden="false" customHeight="false" outlineLevel="0" collapsed="false">
      <c r="B8" s="9" t="s">
        <v>19</v>
      </c>
      <c r="C8" s="10" t="n">
        <v>0.05</v>
      </c>
      <c r="D8" s="6" t="s">
        <v>20</v>
      </c>
    </row>
    <row r="9" customFormat="false" ht="15" hidden="false" customHeight="false" outlineLevel="0" collapsed="false">
      <c r="B9" s="9" t="s">
        <v>21</v>
      </c>
      <c r="C9" s="11" t="n">
        <v>10</v>
      </c>
      <c r="D9" s="6" t="s">
        <v>22</v>
      </c>
    </row>
    <row r="10" customFormat="false" ht="15" hidden="false" customHeight="false" outlineLevel="0" collapsed="false">
      <c r="B10" s="9" t="s">
        <v>23</v>
      </c>
      <c r="C10" s="12" t="n">
        <v>1</v>
      </c>
      <c r="D10" s="6" t="s">
        <v>24</v>
      </c>
    </row>
    <row r="11" customFormat="false" ht="15" hidden="false" customHeight="false" outlineLevel="0" collapsed="false">
      <c r="B11" s="9" t="s">
        <v>25</v>
      </c>
      <c r="C11" s="13" t="n">
        <v>0.04</v>
      </c>
      <c r="D11" s="6" t="s">
        <v>16</v>
      </c>
    </row>
    <row r="12" customFormat="false" ht="15" hidden="false" customHeight="false" outlineLevel="0" collapsed="false">
      <c r="B12" s="9" t="s">
        <v>26</v>
      </c>
      <c r="C12" s="13" t="n">
        <v>0.08</v>
      </c>
      <c r="D12" s="6" t="s">
        <v>16</v>
      </c>
    </row>
    <row r="14" customFormat="false" ht="15" hidden="false" customHeight="false" outlineLevel="0" collapsed="false">
      <c r="B14" s="7" t="s">
        <v>27</v>
      </c>
      <c r="C14" s="8"/>
      <c r="D14" s="8"/>
      <c r="E14" s="8"/>
    </row>
    <row r="15" customFormat="false" ht="15" hidden="false" customHeight="false" outlineLevel="0" collapsed="false">
      <c r="B15" s="9" t="s">
        <v>28</v>
      </c>
      <c r="C15" s="11" t="n">
        <v>3850</v>
      </c>
    </row>
    <row r="16" customFormat="false" ht="15" hidden="false" customHeight="false" outlineLevel="0" collapsed="false">
      <c r="B16" s="9" t="s">
        <v>29</v>
      </c>
      <c r="C16" s="11" t="n">
        <v>115.5</v>
      </c>
    </row>
    <row r="17" customFormat="false" ht="15" hidden="false" customHeight="false" outlineLevel="0" collapsed="false">
      <c r="B17" s="9" t="s">
        <v>30</v>
      </c>
      <c r="C17" s="11" t="n">
        <v>12</v>
      </c>
    </row>
    <row r="18" customFormat="false" ht="15" hidden="false" customHeight="false" outlineLevel="0" collapsed="false">
      <c r="B18" s="9" t="s">
        <v>31</v>
      </c>
      <c r="C18" s="11" t="n">
        <v>6.25</v>
      </c>
    </row>
    <row r="19" customFormat="false" ht="15" hidden="false" customHeight="false" outlineLevel="0" collapsed="false">
      <c r="B19" s="9" t="s">
        <v>32</v>
      </c>
      <c r="C19" s="10" t="n">
        <v>0.0025</v>
      </c>
    </row>
    <row r="21" customFormat="false" ht="15" hidden="false" customHeight="false" outlineLevel="0" collapsed="false">
      <c r="B21" s="7" t="s">
        <v>33</v>
      </c>
      <c r="C21" s="8"/>
      <c r="D21" s="8"/>
      <c r="E21" s="8"/>
    </row>
    <row r="22" customFormat="false" ht="15" hidden="false" customHeight="false" outlineLevel="0" collapsed="false">
      <c r="B22" s="9" t="s">
        <v>34</v>
      </c>
      <c r="C22" s="10" t="n">
        <v>0.12</v>
      </c>
      <c r="D22" s="6" t="s">
        <v>16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11" min="3" style="0" width="14"/>
  </cols>
  <sheetData>
    <row r="1" customFormat="false" ht="6" hidden="false" customHeight="true" outlineLevel="0" collapsed="false"/>
    <row r="2" customFormat="false" ht="17.35" hidden="false" customHeight="false" outlineLevel="0" collapsed="false">
      <c r="B2" s="5" t="s">
        <v>35</v>
      </c>
    </row>
    <row r="3" customFormat="false" ht="15" hidden="false" customHeight="false" outlineLevel="0" collapsed="false">
      <c r="B3" s="6" t="s">
        <v>36</v>
      </c>
    </row>
    <row r="5" customFormat="false" ht="15" hidden="false" customHeight="false" outlineLevel="0" collapsed="false">
      <c r="B5" s="7" t="s">
        <v>37</v>
      </c>
      <c r="C5" s="8"/>
    </row>
    <row r="6" customFormat="false" ht="15" hidden="false" customHeight="false" outlineLevel="0" collapsed="false">
      <c r="B6" s="9" t="s">
        <v>28</v>
      </c>
      <c r="C6" s="14" t="n">
        <f aca="false">Inputs!$C$15</f>
        <v>3850</v>
      </c>
    </row>
    <row r="7" customFormat="false" ht="15" hidden="false" customHeight="false" outlineLevel="0" collapsed="false">
      <c r="B7" s="9" t="s">
        <v>29</v>
      </c>
      <c r="C7" s="14" t="n">
        <f aca="false">Inputs!$C$16</f>
        <v>115.5</v>
      </c>
    </row>
    <row r="8" customFormat="false" ht="15" hidden="false" customHeight="false" outlineLevel="0" collapsed="false">
      <c r="B8" s="9" t="s">
        <v>30</v>
      </c>
      <c r="C8" s="14" t="n">
        <f aca="false">Inputs!$C$17</f>
        <v>12</v>
      </c>
    </row>
    <row r="9" customFormat="false" ht="15" hidden="false" customHeight="false" outlineLevel="0" collapsed="false">
      <c r="B9" s="9" t="s">
        <v>31</v>
      </c>
      <c r="C9" s="14" t="n">
        <f aca="false">Inputs!$C$18</f>
        <v>6.25</v>
      </c>
    </row>
    <row r="10" customFormat="false" ht="15" hidden="false" customHeight="false" outlineLevel="0" collapsed="false">
      <c r="B10" s="15" t="s">
        <v>38</v>
      </c>
      <c r="C10" s="16" t="n">
        <f aca="false">SUM(C6:C9)</f>
        <v>3983.75</v>
      </c>
    </row>
    <row r="11" customFormat="false" ht="15" hidden="false" customHeight="false" outlineLevel="0" collapsed="false">
      <c r="B11" s="9" t="s">
        <v>39</v>
      </c>
      <c r="C11" s="14" t="n">
        <f aca="false">$C$10+Inputs!$C$9</f>
        <v>3993.75</v>
      </c>
    </row>
    <row r="13" customFormat="false" ht="15" hidden="false" customHeight="false" outlineLevel="0" collapsed="false">
      <c r="B13" s="7" t="s">
        <v>40</v>
      </c>
      <c r="C13" s="8"/>
      <c r="D13" s="8"/>
      <c r="E13" s="8"/>
      <c r="F13" s="8"/>
      <c r="G13" s="8"/>
      <c r="H13" s="8"/>
      <c r="I13" s="8"/>
      <c r="J13" s="8"/>
      <c r="K13" s="8"/>
    </row>
    <row r="14" customFormat="false" ht="43.5" hidden="false" customHeight="true" outlineLevel="0" collapsed="false">
      <c r="B14" s="17" t="s">
        <v>41</v>
      </c>
      <c r="C14" s="18" t="s">
        <v>42</v>
      </c>
      <c r="D14" s="18" t="s">
        <v>43</v>
      </c>
      <c r="E14" s="18" t="s">
        <v>44</v>
      </c>
      <c r="F14" s="18" t="s">
        <v>45</v>
      </c>
      <c r="G14" s="18" t="s">
        <v>46</v>
      </c>
      <c r="H14" s="18" t="s">
        <v>47</v>
      </c>
      <c r="I14" s="18" t="s">
        <v>48</v>
      </c>
      <c r="J14" s="18" t="s">
        <v>49</v>
      </c>
      <c r="K14" s="18" t="s">
        <v>50</v>
      </c>
    </row>
    <row r="15" customFormat="false" ht="15" hidden="false" customHeight="false" outlineLevel="0" collapsed="false">
      <c r="B15" s="9" t="s">
        <v>51</v>
      </c>
      <c r="C15" s="10" t="n">
        <v>0.18</v>
      </c>
      <c r="D15" s="12" t="n">
        <v>2</v>
      </c>
      <c r="E15" s="19" t="n">
        <f aca="false">C15*D15/12</f>
        <v>0.03</v>
      </c>
      <c r="F15" s="19" t="n">
        <f aca="false">IF(C15&lt;=0,0,MAX(E15,Inputs!$C$8))</f>
        <v>0.05</v>
      </c>
      <c r="G15" s="14" t="n">
        <f aca="false">$C$10*(1+F15)</f>
        <v>4182.9375</v>
      </c>
      <c r="H15" s="14" t="n">
        <f aca="false">G15-$C$11</f>
        <v>189.1875</v>
      </c>
      <c r="I15" s="20" t="n">
        <f aca="false">H15/$C$11</f>
        <v>0.0473708920187793</v>
      </c>
      <c r="J15" s="20" t="n">
        <f aca="false">I15*12/(D15+Inputs!$C$10)</f>
        <v>0.189483568075117</v>
      </c>
      <c r="K15" s="21" t="n">
        <f aca="false">(1+RATE(D15+Inputs!$C$10,0,-$C$11,G15))^12-1</f>
        <v>0.203377813475434</v>
      </c>
    </row>
    <row r="16" customFormat="false" ht="15" hidden="false" customHeight="false" outlineLevel="0" collapsed="false">
      <c r="B16" s="9" t="s">
        <v>52</v>
      </c>
      <c r="C16" s="10" t="n">
        <v>0.18</v>
      </c>
      <c r="D16" s="12" t="n">
        <v>12</v>
      </c>
      <c r="E16" s="19" t="n">
        <f aca="false">C16*D16/12</f>
        <v>0.18</v>
      </c>
      <c r="F16" s="19" t="n">
        <f aca="false">IF(C16&lt;=0,0,MAX(E16,Inputs!$C$8))</f>
        <v>0.18</v>
      </c>
      <c r="G16" s="14" t="n">
        <f aca="false">$C$10*(1+F16)</f>
        <v>4700.825</v>
      </c>
      <c r="H16" s="14" t="n">
        <f aca="false">G16-$C$11</f>
        <v>707.075</v>
      </c>
      <c r="I16" s="20" t="n">
        <f aca="false">H16/$C$11</f>
        <v>0.177045383411581</v>
      </c>
      <c r="J16" s="20" t="n">
        <f aca="false">I16*12/(D16+Inputs!$C$10)</f>
        <v>0.163426507764536</v>
      </c>
      <c r="K16" s="21" t="n">
        <f aca="false">(1+RATE(D16+Inputs!$C$10,0,-$C$11,G16))^12-1</f>
        <v>0.162378522662206</v>
      </c>
    </row>
    <row r="17" customFormat="false" ht="15" hidden="false" customHeight="false" outlineLevel="0" collapsed="false">
      <c r="B17" s="9" t="s">
        <v>53</v>
      </c>
      <c r="C17" s="10" t="n">
        <v>0.0025</v>
      </c>
      <c r="D17" s="12" t="n">
        <v>2</v>
      </c>
      <c r="E17" s="19" t="n">
        <f aca="false">C17*D17/12</f>
        <v>0.000416666666666667</v>
      </c>
      <c r="F17" s="19" t="n">
        <f aca="false">IF(C17&lt;=0,0,MAX(E17,Inputs!$C$8))</f>
        <v>0.05</v>
      </c>
      <c r="G17" s="14" t="n">
        <f aca="false">$C$10*(1+F17)</f>
        <v>4182.9375</v>
      </c>
      <c r="H17" s="14" t="n">
        <f aca="false">G17-$C$11</f>
        <v>189.1875</v>
      </c>
      <c r="I17" s="20" t="n">
        <f aca="false">H17/$C$11</f>
        <v>0.0473708920187793</v>
      </c>
      <c r="J17" s="20" t="n">
        <f aca="false">I17*12/(D17+Inputs!$C$10)</f>
        <v>0.189483568075117</v>
      </c>
      <c r="K17" s="21" t="n">
        <f aca="false">(1+RATE(D17+Inputs!$C$10,0,-$C$11,G17))^12-1</f>
        <v>0.203377813475434</v>
      </c>
    </row>
    <row r="18" customFormat="false" ht="15" hidden="false" customHeight="false" outlineLevel="0" collapsed="false">
      <c r="B18" s="9" t="s">
        <v>54</v>
      </c>
      <c r="C18" s="10" t="n">
        <v>0.0025</v>
      </c>
      <c r="D18" s="12" t="n">
        <v>12</v>
      </c>
      <c r="E18" s="19" t="n">
        <f aca="false">C18*D18/12</f>
        <v>0.0025</v>
      </c>
      <c r="F18" s="19" t="n">
        <f aca="false">IF(C18&lt;=0,0,MAX(E18,Inputs!$C$8))</f>
        <v>0.05</v>
      </c>
      <c r="G18" s="14" t="n">
        <f aca="false">$C$10*(1+F18)</f>
        <v>4182.9375</v>
      </c>
      <c r="H18" s="14" t="n">
        <f aca="false">G18-$C$11</f>
        <v>189.1875</v>
      </c>
      <c r="I18" s="20" t="n">
        <f aca="false">H18/$C$11</f>
        <v>0.0473708920187793</v>
      </c>
      <c r="J18" s="20" t="n">
        <f aca="false">I18*12/(D18+Inputs!$C$10)</f>
        <v>0.043726977248104</v>
      </c>
      <c r="K18" s="21" t="n">
        <f aca="false">(1+RATE(D18+Inputs!$C$10,0,-$C$11,G18))^12-1</f>
        <v>0.0436486309387791</v>
      </c>
    </row>
    <row r="19" customFormat="false" ht="15" hidden="false" customHeight="false" outlineLevel="0" collapsed="false">
      <c r="B19" s="9" t="s">
        <v>55</v>
      </c>
      <c r="C19" s="10" t="n">
        <v>0</v>
      </c>
      <c r="D19" s="12" t="n">
        <v>3</v>
      </c>
      <c r="E19" s="19" t="n">
        <f aca="false">C19*D19/12</f>
        <v>0</v>
      </c>
      <c r="F19" s="19" t="n">
        <f aca="false">IF(C19&lt;=0,0,MAX(E19,Inputs!$C$8))</f>
        <v>0</v>
      </c>
      <c r="G19" s="14" t="n">
        <f aca="false">$C$10*(1+F19)</f>
        <v>3983.75</v>
      </c>
      <c r="H19" s="14" t="n">
        <f aca="false">G19-$C$11</f>
        <v>-10</v>
      </c>
      <c r="I19" s="20" t="n">
        <f aca="false">H19/$C$11</f>
        <v>-0.00250391236306729</v>
      </c>
      <c r="J19" s="20" t="n">
        <f aca="false">I19*12/(D19+Inputs!$C$10)</f>
        <v>-0.00751173708920188</v>
      </c>
      <c r="K19" s="21" t="n">
        <f aca="false">(1+RATE(D19+Inputs!$C$10,0,-$C$11,G19))^12-1</f>
        <v>-0.00749294405615564</v>
      </c>
    </row>
    <row r="20" customFormat="false" ht="15" hidden="false" customHeight="false" outlineLevel="0" collapsed="false">
      <c r="B20" s="6" t="s">
        <v>56</v>
      </c>
    </row>
    <row r="22" customFormat="false" ht="15" hidden="false" customHeight="false" outlineLevel="0" collapsed="false">
      <c r="B22" s="9" t="s">
        <v>57</v>
      </c>
      <c r="C22" s="14" t="n">
        <f aca="false">-$H$19</f>
        <v>10</v>
      </c>
    </row>
    <row r="24" customFormat="false" ht="15" hidden="false" customHeight="false" outlineLevel="0" collapsed="false">
      <c r="B24" s="7" t="s">
        <v>58</v>
      </c>
      <c r="C24" s="8"/>
      <c r="D24" s="8"/>
      <c r="E24" s="8"/>
    </row>
    <row r="25" customFormat="false" ht="30" hidden="false" customHeight="true" outlineLevel="0" collapsed="false">
      <c r="B25" s="18" t="s">
        <v>42</v>
      </c>
      <c r="C25" s="18" t="s">
        <v>59</v>
      </c>
      <c r="D25" s="18" t="s">
        <v>60</v>
      </c>
    </row>
    <row r="26" customFormat="false" ht="15" hidden="false" customHeight="false" outlineLevel="0" collapsed="false">
      <c r="B26" s="22" t="n">
        <v>0.18</v>
      </c>
      <c r="C26" s="23" t="n">
        <f aca="false">Inputs!$C$8*12/B26</f>
        <v>3.33333333333333</v>
      </c>
      <c r="D26" s="24" t="str">
        <f aca="false">IF(C26&lt;24,"yes","no, the minimum governs to month 24")</f>
        <v>yes</v>
      </c>
    </row>
    <row r="27" customFormat="false" ht="15" hidden="false" customHeight="false" outlineLevel="0" collapsed="false">
      <c r="B27" s="22" t="n">
        <v>0.12</v>
      </c>
      <c r="C27" s="23" t="n">
        <f aca="false">Inputs!$C$8*12/B27</f>
        <v>5</v>
      </c>
      <c r="D27" s="24" t="str">
        <f aca="false">IF(C27&lt;24,"yes","no, the minimum governs to month 24")</f>
        <v>yes</v>
      </c>
    </row>
    <row r="28" customFormat="false" ht="15" hidden="false" customHeight="false" outlineLevel="0" collapsed="false">
      <c r="B28" s="22" t="n">
        <v>0.06</v>
      </c>
      <c r="C28" s="23" t="n">
        <f aca="false">Inputs!$C$8*12/B28</f>
        <v>10</v>
      </c>
      <c r="D28" s="24" t="str">
        <f aca="false">IF(C28&lt;24,"yes","no, the minimum governs to month 24")</f>
        <v>yes</v>
      </c>
    </row>
    <row r="29" customFormat="false" ht="15" hidden="false" customHeight="false" outlineLevel="0" collapsed="false">
      <c r="B29" s="22" t="n">
        <v>0.03</v>
      </c>
      <c r="C29" s="23" t="n">
        <f aca="false">Inputs!$C$8*12/B29</f>
        <v>20</v>
      </c>
      <c r="D29" s="24" t="str">
        <f aca="false">IF(C29&lt;24,"yes","no, the minimum governs to month 24")</f>
        <v>yes</v>
      </c>
    </row>
    <row r="30" customFormat="false" ht="15" hidden="false" customHeight="false" outlineLevel="0" collapsed="false">
      <c r="B30" s="22" t="n">
        <v>0.025</v>
      </c>
      <c r="C30" s="23" t="n">
        <f aca="false">Inputs!$C$8*12/B30</f>
        <v>24</v>
      </c>
      <c r="D30" s="24" t="str">
        <f aca="false">IF(C30&lt;24,"yes","no, the minimum governs to month 24")</f>
        <v>no, the minimum governs to month 24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AB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28" min="3" style="0" width="11"/>
  </cols>
  <sheetData>
    <row r="1" customFormat="false" ht="6" hidden="false" customHeight="true" outlineLevel="0" collapsed="false"/>
    <row r="2" customFormat="false" ht="17.35" hidden="false" customHeight="false" outlineLevel="0" collapsed="false">
      <c r="B2" s="5" t="s">
        <v>61</v>
      </c>
    </row>
    <row r="3" customFormat="false" ht="15" hidden="false" customHeight="false" outlineLevel="0" collapsed="false">
      <c r="B3" s="6" t="s">
        <v>62</v>
      </c>
    </row>
    <row r="5" customFormat="false" ht="15" hidden="false" customHeight="false" outlineLevel="0" collapsed="false">
      <c r="B5" s="7" t="s">
        <v>63</v>
      </c>
      <c r="C5" s="25" t="n">
        <v>1</v>
      </c>
      <c r="D5" s="25" t="n">
        <v>2</v>
      </c>
      <c r="E5" s="25" t="n">
        <v>3</v>
      </c>
      <c r="F5" s="25" t="n">
        <v>6</v>
      </c>
      <c r="G5" s="25" t="n">
        <v>9</v>
      </c>
      <c r="H5" s="25" t="n">
        <v>12</v>
      </c>
      <c r="I5" s="25" t="n">
        <v>18</v>
      </c>
      <c r="J5" s="25" t="n">
        <v>24</v>
      </c>
    </row>
    <row r="6" customFormat="false" ht="15" hidden="false" customHeight="false" outlineLevel="0" collapsed="false">
      <c r="B6" s="10" t="n">
        <v>0.18</v>
      </c>
      <c r="C6" s="21" t="n">
        <f aca="false">(1+RATE(C$5+Inputs!$C$10,0,-Certificate!$C$11,Certificate!$C$10*(1+IF($B6&lt;=0,0,MAX($B6*C$5/12,Inputs!$C$8)))))^12-1</f>
        <v>0.320088355906301</v>
      </c>
      <c r="D6" s="21" t="n">
        <f aca="false">(1+RATE(D$5+Inputs!$C$10,0,-Certificate!$C$11,Certificate!$C$10*(1+IF($B6&lt;=0,0,MAX($B6*D$5/12,Inputs!$C$8)))))^12-1</f>
        <v>0.203377813475434</v>
      </c>
      <c r="E6" s="21" t="n">
        <f aca="false">(1+RATE(E$5+Inputs!$C$10,0,-Certificate!$C$11,Certificate!$C$10*(1+IF($B6&lt;=0,0,MAX($B6*E$5/12,Inputs!$C$8)))))^12-1</f>
        <v>0.148950980636839</v>
      </c>
      <c r="F6" s="21" t="n">
        <f aca="false">(1+RATE(F$5+Inputs!$C$10,0,-Certificate!$C$11,Certificate!$C$10*(1+IF($B6&lt;=0,0,MAX($B6*F$5/12,Inputs!$C$8)))))^12-1</f>
        <v>0.154232232820302</v>
      </c>
      <c r="G6" s="21" t="n">
        <f aca="false">(1+RATE(G$5+Inputs!$C$10,0,-Certificate!$C$11,Certificate!$C$10*(1+IF($B6&lt;=0,0,MAX($B6*G$5/12,Inputs!$C$8)))))^12-1</f>
        <v>0.160615790618813</v>
      </c>
      <c r="H6" s="21" t="n">
        <f aca="false">(1+RATE(H$5+Inputs!$C$10,0,-Certificate!$C$11,Certificate!$C$10*(1+IF($B6&lt;=0,0,MAX($B6*H$5/12,Inputs!$C$8)))))^12-1</f>
        <v>0.162378522662206</v>
      </c>
      <c r="I6" s="21" t="n">
        <f aca="false">(1+RATE(I$5+Inputs!$C$10,0,-Certificate!$C$11,Certificate!$C$10*(1+IF($B6&lt;=0,0,MAX($B6*I$5/12,Inputs!$C$8)))))^12-1</f>
        <v>0.161107906234798</v>
      </c>
      <c r="J6" s="21" t="n">
        <f aca="false">(1+RATE(J$5+Inputs!$C$10,0,-Certificate!$C$11,Certificate!$C$10*(1+IF($B6&lt;=0,0,MAX($B6*J$5/12,Inputs!$C$8)))))^12-1</f>
        <v>0.157646738342723</v>
      </c>
    </row>
    <row r="7" customFormat="false" ht="15" hidden="false" customHeight="false" outlineLevel="0" collapsed="false">
      <c r="B7" s="10" t="n">
        <v>0.12</v>
      </c>
      <c r="C7" s="21" t="n">
        <f aca="false">(1+RATE(C$5+Inputs!$C$10,0,-Certificate!$C$11,Certificate!$C$10*(1+IF($B7&lt;=0,0,MAX($B7*C$5/12,Inputs!$C$8)))))^12-1</f>
        <v>0.320088355906301</v>
      </c>
      <c r="D7" s="21" t="n">
        <f aca="false">(1+RATE(D$5+Inputs!$C$10,0,-Certificate!$C$11,Certificate!$C$10*(1+IF($B7&lt;=0,0,MAX($B7*D$5/12,Inputs!$C$8)))))^12-1</f>
        <v>0.203377813475434</v>
      </c>
      <c r="E7" s="21" t="n">
        <f aca="false">(1+RATE(E$5+Inputs!$C$10,0,-Certificate!$C$11,Certificate!$C$10*(1+IF($B7&lt;=0,0,MAX($B7*E$5/12,Inputs!$C$8)))))^12-1</f>
        <v>0.148950980636839</v>
      </c>
      <c r="F7" s="21" t="n">
        <f aca="false">(1+RATE(F$5+Inputs!$C$10,0,-Certificate!$C$11,Certificate!$C$10*(1+IF($B7&lt;=0,0,MAX($B7*F$5/12,Inputs!$C$8)))))^12-1</f>
        <v>0.100309773772532</v>
      </c>
      <c r="G7" s="21" t="n">
        <f aca="false">(1+RATE(G$5+Inputs!$C$10,0,-Certificate!$C$11,Certificate!$C$10*(1+IF($B7&lt;=0,0,MAX($B7*G$5/12,Inputs!$C$8)))))^12-1</f>
        <v>0.105618351547702</v>
      </c>
      <c r="H7" s="21" t="n">
        <f aca="false">(1+RATE(H$5+Inputs!$C$10,0,-Certificate!$C$11,Certificate!$C$10*(1+IF($B7&lt;=0,0,MAX($B7*H$5/12,Inputs!$C$8)))))^12-1</f>
        <v>0.107712293742273</v>
      </c>
      <c r="I7" s="21" t="n">
        <f aca="false">(1+RATE(I$5+Inputs!$C$10,0,-Certificate!$C$11,Certificate!$C$10*(1+IF($B7&lt;=0,0,MAX($B7*I$5/12,Inputs!$C$8)))))^12-1</f>
        <v>0.108438239693788</v>
      </c>
      <c r="J7" s="21" t="n">
        <f aca="false">(1+RATE(J$5+Inputs!$C$10,0,-Certificate!$C$11,Certificate!$C$10*(1+IF($B7&lt;=0,0,MAX($B7*J$5/12,Inputs!$C$8)))))^12-1</f>
        <v>0.107438927632619</v>
      </c>
    </row>
    <row r="8" customFormat="false" ht="15" hidden="false" customHeight="false" outlineLevel="0" collapsed="false">
      <c r="B8" s="10" t="n">
        <v>0.09</v>
      </c>
      <c r="C8" s="21" t="n">
        <f aca="false">(1+RATE(C$5+Inputs!$C$10,0,-Certificate!$C$11,Certificate!$C$10*(1+IF($B8&lt;=0,0,MAX($B8*C$5/12,Inputs!$C$8)))))^12-1</f>
        <v>0.320088355906301</v>
      </c>
      <c r="D8" s="21" t="n">
        <f aca="false">(1+RATE(D$5+Inputs!$C$10,0,-Certificate!$C$11,Certificate!$C$10*(1+IF($B8&lt;=0,0,MAX($B8*D$5/12,Inputs!$C$8)))))^12-1</f>
        <v>0.203377813475434</v>
      </c>
      <c r="E8" s="21" t="n">
        <f aca="false">(1+RATE(E$5+Inputs!$C$10,0,-Certificate!$C$11,Certificate!$C$10*(1+IF($B8&lt;=0,0,MAX($B8*E$5/12,Inputs!$C$8)))))^12-1</f>
        <v>0.148950980636839</v>
      </c>
      <c r="F8" s="21" t="n">
        <f aca="false">(1+RATE(F$5+Inputs!$C$10,0,-Certificate!$C$11,Certificate!$C$10*(1+IF($B8&lt;=0,0,MAX($B8*F$5/12,Inputs!$C$8)))))^12-1</f>
        <v>0.0825750159892598</v>
      </c>
      <c r="G8" s="21" t="n">
        <f aca="false">(1+RATE(G$5+Inputs!$C$10,0,-Certificate!$C$11,Certificate!$C$10*(1+IF($B8&lt;=0,0,MAX($B8*G$5/12,Inputs!$C$8)))))^12-1</f>
        <v>0.0782883216059687</v>
      </c>
      <c r="H8" s="21" t="n">
        <f aca="false">(1+RATE(H$5+Inputs!$C$10,0,-Certificate!$C$11,Certificate!$C$10*(1+IF($B8&lt;=0,0,MAX($B8*H$5/12,Inputs!$C$8)))))^12-1</f>
        <v>0.0802953116519898</v>
      </c>
      <c r="I8" s="21" t="n">
        <f aca="false">(1+RATE(I$5+Inputs!$C$10,0,-Certificate!$C$11,Certificate!$C$10*(1+IF($B8&lt;=0,0,MAX($B8*I$5/12,Inputs!$C$8)))))^12-1</f>
        <v>0.0815499107065969</v>
      </c>
      <c r="J8" s="21" t="n">
        <f aca="false">(1+RATE(J$5+Inputs!$C$10,0,-Certificate!$C$11,Certificate!$C$10*(1+IF($B8&lt;=0,0,MAX($B8*J$5/12,Inputs!$C$8)))))^12-1</f>
        <v>0.0813859930995489</v>
      </c>
    </row>
    <row r="9" customFormat="false" ht="15" hidden="false" customHeight="false" outlineLevel="0" collapsed="false">
      <c r="B9" s="10" t="n">
        <v>0.06</v>
      </c>
      <c r="C9" s="21" t="n">
        <f aca="false">(1+RATE(C$5+Inputs!$C$10,0,-Certificate!$C$11,Certificate!$C$10*(1+IF($B9&lt;=0,0,MAX($B9*C$5/12,Inputs!$C$8)))))^12-1</f>
        <v>0.320088355906301</v>
      </c>
      <c r="D9" s="21" t="n">
        <f aca="false">(1+RATE(D$5+Inputs!$C$10,0,-Certificate!$C$11,Certificate!$C$10*(1+IF($B9&lt;=0,0,MAX($B9*D$5/12,Inputs!$C$8)))))^12-1</f>
        <v>0.203377813475434</v>
      </c>
      <c r="E9" s="21" t="n">
        <f aca="false">(1+RATE(E$5+Inputs!$C$10,0,-Certificate!$C$11,Certificate!$C$10*(1+IF($B9&lt;=0,0,MAX($B9*E$5/12,Inputs!$C$8)))))^12-1</f>
        <v>0.148950980636839</v>
      </c>
      <c r="F9" s="21" t="n">
        <f aca="false">(1+RATE(F$5+Inputs!$C$10,0,-Certificate!$C$11,Certificate!$C$10*(1+IF($B9&lt;=0,0,MAX($B9*F$5/12,Inputs!$C$8)))))^12-1</f>
        <v>0.0825750159892598</v>
      </c>
      <c r="G9" s="21" t="n">
        <f aca="false">(1+RATE(G$5+Inputs!$C$10,0,-Certificate!$C$11,Certificate!$C$10*(1+IF($B9&lt;=0,0,MAX($B9*G$5/12,Inputs!$C$8)))))^12-1</f>
        <v>0.0571110196248101</v>
      </c>
      <c r="H9" s="21" t="n">
        <f aca="false">(1+RATE(H$5+Inputs!$C$10,0,-Certificate!$C$11,Certificate!$C$10*(1+IF($B9&lt;=0,0,MAX($B9*H$5/12,Inputs!$C$8)))))^12-1</f>
        <v>0.0528202146100607</v>
      </c>
      <c r="I9" s="21" t="n">
        <f aca="false">(1+RATE(I$5+Inputs!$C$10,0,-Certificate!$C$11,Certificate!$C$10*(1+IF($B9&lt;=0,0,MAX($B9*I$5/12,Inputs!$C$8)))))^12-1</f>
        <v>0.054265817581568</v>
      </c>
      <c r="J9" s="21" t="n">
        <f aca="false">(1+RATE(J$5+Inputs!$C$10,0,-Certificate!$C$11,Certificate!$C$10*(1+IF($B9&lt;=0,0,MAX($B9*J$5/12,Inputs!$C$8)))))^12-1</f>
        <v>0.0546346290807365</v>
      </c>
    </row>
    <row r="10" customFormat="false" ht="15" hidden="false" customHeight="false" outlineLevel="0" collapsed="false">
      <c r="B10" s="10" t="n">
        <v>0.03</v>
      </c>
      <c r="C10" s="21" t="n">
        <f aca="false">(1+RATE(C$5+Inputs!$C$10,0,-Certificate!$C$11,Certificate!$C$10*(1+IF($B10&lt;=0,0,MAX($B10*C$5/12,Inputs!$C$8)))))^12-1</f>
        <v>0.320088355906301</v>
      </c>
      <c r="D10" s="21" t="n">
        <f aca="false">(1+RATE(D$5+Inputs!$C$10,0,-Certificate!$C$11,Certificate!$C$10*(1+IF($B10&lt;=0,0,MAX($B10*D$5/12,Inputs!$C$8)))))^12-1</f>
        <v>0.203377813475434</v>
      </c>
      <c r="E10" s="21" t="n">
        <f aca="false">(1+RATE(E$5+Inputs!$C$10,0,-Certificate!$C$11,Certificate!$C$10*(1+IF($B10&lt;=0,0,MAX($B10*E$5/12,Inputs!$C$8)))))^12-1</f>
        <v>0.148950980636839</v>
      </c>
      <c r="F10" s="21" t="n">
        <f aca="false">(1+RATE(F$5+Inputs!$C$10,0,-Certificate!$C$11,Certificate!$C$10*(1+IF($B10&lt;=0,0,MAX($B10*F$5/12,Inputs!$C$8)))))^12-1</f>
        <v>0.0825750159892598</v>
      </c>
      <c r="G10" s="21" t="n">
        <f aca="false">(1+RATE(G$5+Inputs!$C$10,0,-Certificate!$C$11,Certificate!$C$10*(1+IF($B10&lt;=0,0,MAX($B10*G$5/12,Inputs!$C$8)))))^12-1</f>
        <v>0.0571110196248101</v>
      </c>
      <c r="H10" s="21" t="n">
        <f aca="false">(1+RATE(H$5+Inputs!$C$10,0,-Certificate!$C$11,Certificate!$C$10*(1+IF($B10&lt;=0,0,MAX($B10*H$5/12,Inputs!$C$8)))))^12-1</f>
        <v>0.0436486309387791</v>
      </c>
      <c r="I10" s="21" t="n">
        <f aca="false">(1+RATE(I$5+Inputs!$C$10,0,-Certificate!$C$11,Certificate!$C$10*(1+IF($B10&lt;=0,0,MAX($B10*I$5/12,Inputs!$C$8)))))^12-1</f>
        <v>0.0296628710624023</v>
      </c>
      <c r="J10" s="21" t="n">
        <f aca="false">(1+RATE(J$5+Inputs!$C$10,0,-Certificate!$C$11,Certificate!$C$10*(1+IF($B10&lt;=0,0,MAX($B10*J$5/12,Inputs!$C$8)))))^12-1</f>
        <v>0.0271271091838678</v>
      </c>
    </row>
    <row r="11" customFormat="false" ht="15" hidden="false" customHeight="false" outlineLevel="0" collapsed="false">
      <c r="B11" s="10" t="n">
        <v>0.01</v>
      </c>
      <c r="C11" s="21" t="n">
        <f aca="false">(1+RATE(C$5+Inputs!$C$10,0,-Certificate!$C$11,Certificate!$C$10*(1+IF($B11&lt;=0,0,MAX($B11*C$5/12,Inputs!$C$8)))))^12-1</f>
        <v>0.320088355906301</v>
      </c>
      <c r="D11" s="21" t="n">
        <f aca="false">(1+RATE(D$5+Inputs!$C$10,0,-Certificate!$C$11,Certificate!$C$10*(1+IF($B11&lt;=0,0,MAX($B11*D$5/12,Inputs!$C$8)))))^12-1</f>
        <v>0.203377813475434</v>
      </c>
      <c r="E11" s="21" t="n">
        <f aca="false">(1+RATE(E$5+Inputs!$C$10,0,-Certificate!$C$11,Certificate!$C$10*(1+IF($B11&lt;=0,0,MAX($B11*E$5/12,Inputs!$C$8)))))^12-1</f>
        <v>0.148950980636839</v>
      </c>
      <c r="F11" s="21" t="n">
        <f aca="false">(1+RATE(F$5+Inputs!$C$10,0,-Certificate!$C$11,Certificate!$C$10*(1+IF($B11&lt;=0,0,MAX($B11*F$5/12,Inputs!$C$8)))))^12-1</f>
        <v>0.0825750159892598</v>
      </c>
      <c r="G11" s="21" t="n">
        <f aca="false">(1+RATE(G$5+Inputs!$C$10,0,-Certificate!$C$11,Certificate!$C$10*(1+IF($B11&lt;=0,0,MAX($B11*G$5/12,Inputs!$C$8)))))^12-1</f>
        <v>0.0571110196248101</v>
      </c>
      <c r="H11" s="21" t="n">
        <f aca="false">(1+RATE(H$5+Inputs!$C$10,0,-Certificate!$C$11,Certificate!$C$10*(1+IF($B11&lt;=0,0,MAX($B11*H$5/12,Inputs!$C$8)))))^12-1</f>
        <v>0.0436486309387791</v>
      </c>
      <c r="I11" s="21" t="n">
        <f aca="false">(1+RATE(I$5+Inputs!$C$10,0,-Certificate!$C$11,Certificate!$C$10*(1+IF($B11&lt;=0,0,MAX($B11*I$5/12,Inputs!$C$8)))))^12-1</f>
        <v>0.0296628710624023</v>
      </c>
      <c r="J11" s="21" t="n">
        <f aca="false">(1+RATE(J$5+Inputs!$C$10,0,-Certificate!$C$11,Certificate!$C$10*(1+IF($B11&lt;=0,0,MAX($B11*J$5/12,Inputs!$C$8)))))^12-1</f>
        <v>0.0224645042395102</v>
      </c>
    </row>
    <row r="12" customFormat="false" ht="15" hidden="false" customHeight="false" outlineLevel="0" collapsed="false">
      <c r="B12" s="10" t="n">
        <v>0.0025</v>
      </c>
      <c r="C12" s="21" t="n">
        <f aca="false">(1+RATE(C$5+Inputs!$C$10,0,-Certificate!$C$11,Certificate!$C$10*(1+IF($B12&lt;=0,0,MAX($B12*C$5/12,Inputs!$C$8)))))^12-1</f>
        <v>0.320088355906301</v>
      </c>
      <c r="D12" s="21" t="n">
        <f aca="false">(1+RATE(D$5+Inputs!$C$10,0,-Certificate!$C$11,Certificate!$C$10*(1+IF($B12&lt;=0,0,MAX($B12*D$5/12,Inputs!$C$8)))))^12-1</f>
        <v>0.203377813475434</v>
      </c>
      <c r="E12" s="21" t="n">
        <f aca="false">(1+RATE(E$5+Inputs!$C$10,0,-Certificate!$C$11,Certificate!$C$10*(1+IF($B12&lt;=0,0,MAX($B12*E$5/12,Inputs!$C$8)))))^12-1</f>
        <v>0.148950980636839</v>
      </c>
      <c r="F12" s="21" t="n">
        <f aca="false">(1+RATE(F$5+Inputs!$C$10,0,-Certificate!$C$11,Certificate!$C$10*(1+IF($B12&lt;=0,0,MAX($B12*F$5/12,Inputs!$C$8)))))^12-1</f>
        <v>0.0825750159892598</v>
      </c>
      <c r="G12" s="21" t="n">
        <f aca="false">(1+RATE(G$5+Inputs!$C$10,0,-Certificate!$C$11,Certificate!$C$10*(1+IF($B12&lt;=0,0,MAX($B12*G$5/12,Inputs!$C$8)))))^12-1</f>
        <v>0.0571110196248101</v>
      </c>
      <c r="H12" s="21" t="n">
        <f aca="false">(1+RATE(H$5+Inputs!$C$10,0,-Certificate!$C$11,Certificate!$C$10*(1+IF($B12&lt;=0,0,MAX($B12*H$5/12,Inputs!$C$8)))))^12-1</f>
        <v>0.0436486309387791</v>
      </c>
      <c r="I12" s="21" t="n">
        <f aca="false">(1+RATE(I$5+Inputs!$C$10,0,-Certificate!$C$11,Certificate!$C$10*(1+IF($B12&lt;=0,0,MAX($B12*I$5/12,Inputs!$C$8)))))^12-1</f>
        <v>0.0296628710624023</v>
      </c>
      <c r="J12" s="21" t="n">
        <f aca="false">(1+RATE(J$5+Inputs!$C$10,0,-Certificate!$C$11,Certificate!$C$10*(1+IF($B12&lt;=0,0,MAX($B12*J$5/12,Inputs!$C$8)))))^12-1</f>
        <v>0.0224645042395102</v>
      </c>
    </row>
    <row r="14" customFormat="false" ht="15" hidden="false" customHeight="false" outlineLevel="0" collapsed="false">
      <c r="B14" s="6" t="s">
        <v>64</v>
      </c>
    </row>
    <row r="16" customFormat="false" ht="15" hidden="false" customHeight="false" outlineLevel="0" collapsed="false">
      <c r="B16" s="7" t="s">
        <v>65</v>
      </c>
      <c r="C16" s="8"/>
      <c r="D16" s="8"/>
      <c r="E16" s="8"/>
      <c r="F16" s="8"/>
      <c r="G16" s="8"/>
      <c r="H16" s="8"/>
      <c r="I16" s="8"/>
      <c r="J16" s="8"/>
      <c r="K16" s="8"/>
    </row>
    <row r="17" customFormat="false" ht="15" hidden="false" customHeight="false" outlineLevel="0" collapsed="false">
      <c r="B17" s="9" t="s">
        <v>42</v>
      </c>
      <c r="C17" s="10" t="n">
        <v>0.18</v>
      </c>
    </row>
    <row r="18" customFormat="false" ht="15" hidden="false" customHeight="false" outlineLevel="0" collapsed="false">
      <c r="B18" s="9" t="s">
        <v>43</v>
      </c>
      <c r="C18" s="12" t="n">
        <v>12</v>
      </c>
    </row>
    <row r="19" customFormat="false" ht="15" hidden="false" customHeight="false" outlineLevel="0" collapsed="false">
      <c r="B19" s="9" t="s">
        <v>46</v>
      </c>
      <c r="C19" s="14" t="n">
        <f aca="false">Certificate!$C$10*(1+IF($C$17&lt;=0,0,MAX($C$17*$C$18/12,Inputs!$C$8)))</f>
        <v>4700.825</v>
      </c>
    </row>
    <row r="21" customFormat="false" ht="15" hidden="false" customHeight="false" outlineLevel="0" collapsed="false">
      <c r="B21" s="7" t="s">
        <v>66</v>
      </c>
      <c r="C21" s="26" t="n">
        <v>0</v>
      </c>
      <c r="D21" s="26" t="n">
        <v>1</v>
      </c>
      <c r="E21" s="26" t="n">
        <v>2</v>
      </c>
      <c r="F21" s="26" t="n">
        <v>3</v>
      </c>
      <c r="G21" s="26" t="n">
        <v>4</v>
      </c>
      <c r="H21" s="26" t="n">
        <v>5</v>
      </c>
      <c r="I21" s="26" t="n">
        <v>6</v>
      </c>
      <c r="J21" s="26" t="n">
        <v>7</v>
      </c>
      <c r="K21" s="26" t="n">
        <v>8</v>
      </c>
      <c r="L21" s="26" t="n">
        <v>9</v>
      </c>
      <c r="M21" s="26" t="n">
        <v>10</v>
      </c>
      <c r="N21" s="26" t="n">
        <v>11</v>
      </c>
      <c r="O21" s="26" t="n">
        <v>12</v>
      </c>
      <c r="P21" s="26" t="n">
        <v>13</v>
      </c>
      <c r="Q21" s="26" t="n">
        <v>14</v>
      </c>
      <c r="R21" s="26" t="n">
        <v>15</v>
      </c>
      <c r="S21" s="26" t="n">
        <v>16</v>
      </c>
      <c r="T21" s="26" t="n">
        <v>17</v>
      </c>
      <c r="U21" s="26" t="n">
        <v>18</v>
      </c>
      <c r="V21" s="26" t="n">
        <v>19</v>
      </c>
      <c r="W21" s="26" t="n">
        <v>20</v>
      </c>
      <c r="X21" s="26" t="n">
        <v>21</v>
      </c>
      <c r="Y21" s="26" t="n">
        <v>22</v>
      </c>
      <c r="Z21" s="26" t="n">
        <v>23</v>
      </c>
      <c r="AA21" s="26" t="n">
        <v>24</v>
      </c>
      <c r="AB21" s="26" t="n">
        <v>25</v>
      </c>
    </row>
    <row r="22" customFormat="false" ht="15" hidden="false" customHeight="false" outlineLevel="0" collapsed="false">
      <c r="B22" s="9" t="s">
        <v>67</v>
      </c>
      <c r="C22" s="23" t="n">
        <f aca="false">IF(C21=0,-Certificate!$C$11,0)+IF(C21=$C$18+Inputs!$C$10,$C$19,0)</f>
        <v>-3993.75</v>
      </c>
      <c r="D22" s="23" t="n">
        <f aca="false">IF(D21=0,-Certificate!$C$11,0)+IF(D21=$C$18+Inputs!$C$10,$C$19,0)</f>
        <v>0</v>
      </c>
      <c r="E22" s="23" t="n">
        <f aca="false">IF(E21=0,-Certificate!$C$11,0)+IF(E21=$C$18+Inputs!$C$10,$C$19,0)</f>
        <v>0</v>
      </c>
      <c r="F22" s="23" t="n">
        <f aca="false">IF(F21=0,-Certificate!$C$11,0)+IF(F21=$C$18+Inputs!$C$10,$C$19,0)</f>
        <v>0</v>
      </c>
      <c r="G22" s="23" t="n">
        <f aca="false">IF(G21=0,-Certificate!$C$11,0)+IF(G21=$C$18+Inputs!$C$10,$C$19,0)</f>
        <v>0</v>
      </c>
      <c r="H22" s="23" t="n">
        <f aca="false">IF(H21=0,-Certificate!$C$11,0)+IF(H21=$C$18+Inputs!$C$10,$C$19,0)</f>
        <v>0</v>
      </c>
      <c r="I22" s="23" t="n">
        <f aca="false">IF(I21=0,-Certificate!$C$11,0)+IF(I21=$C$18+Inputs!$C$10,$C$19,0)</f>
        <v>0</v>
      </c>
      <c r="J22" s="23" t="n">
        <f aca="false">IF(J21=0,-Certificate!$C$11,0)+IF(J21=$C$18+Inputs!$C$10,$C$19,0)</f>
        <v>0</v>
      </c>
      <c r="K22" s="23" t="n">
        <f aca="false">IF(K21=0,-Certificate!$C$11,0)+IF(K21=$C$18+Inputs!$C$10,$C$19,0)</f>
        <v>0</v>
      </c>
      <c r="L22" s="23" t="n">
        <f aca="false">IF(L21=0,-Certificate!$C$11,0)+IF(L21=$C$18+Inputs!$C$10,$C$19,0)</f>
        <v>0</v>
      </c>
      <c r="M22" s="23" t="n">
        <f aca="false">IF(M21=0,-Certificate!$C$11,0)+IF(M21=$C$18+Inputs!$C$10,$C$19,0)</f>
        <v>0</v>
      </c>
      <c r="N22" s="23" t="n">
        <f aca="false">IF(N21=0,-Certificate!$C$11,0)+IF(N21=$C$18+Inputs!$C$10,$C$19,0)</f>
        <v>0</v>
      </c>
      <c r="O22" s="23" t="n">
        <f aca="false">IF(O21=0,-Certificate!$C$11,0)+IF(O21=$C$18+Inputs!$C$10,$C$19,0)</f>
        <v>0</v>
      </c>
      <c r="P22" s="23" t="n">
        <f aca="false">IF(P21=0,-Certificate!$C$11,0)+IF(P21=$C$18+Inputs!$C$10,$C$19,0)</f>
        <v>4700.825</v>
      </c>
      <c r="Q22" s="23" t="n">
        <f aca="false">IF(Q21=0,-Certificate!$C$11,0)+IF(Q21=$C$18+Inputs!$C$10,$C$19,0)</f>
        <v>0</v>
      </c>
      <c r="R22" s="23" t="n">
        <f aca="false">IF(R21=0,-Certificate!$C$11,0)+IF(R21=$C$18+Inputs!$C$10,$C$19,0)</f>
        <v>0</v>
      </c>
      <c r="S22" s="23" t="n">
        <f aca="false">IF(S21=0,-Certificate!$C$11,0)+IF(S21=$C$18+Inputs!$C$10,$C$19,0)</f>
        <v>0</v>
      </c>
      <c r="T22" s="23" t="n">
        <f aca="false">IF(T21=0,-Certificate!$C$11,0)+IF(T21=$C$18+Inputs!$C$10,$C$19,0)</f>
        <v>0</v>
      </c>
      <c r="U22" s="23" t="n">
        <f aca="false">IF(U21=0,-Certificate!$C$11,0)+IF(U21=$C$18+Inputs!$C$10,$C$19,0)</f>
        <v>0</v>
      </c>
      <c r="V22" s="23" t="n">
        <f aca="false">IF(V21=0,-Certificate!$C$11,0)+IF(V21=$C$18+Inputs!$C$10,$C$19,0)</f>
        <v>0</v>
      </c>
      <c r="W22" s="23" t="n">
        <f aca="false">IF(W21=0,-Certificate!$C$11,0)+IF(W21=$C$18+Inputs!$C$10,$C$19,0)</f>
        <v>0</v>
      </c>
      <c r="X22" s="23" t="n">
        <f aca="false">IF(X21=0,-Certificate!$C$11,0)+IF(X21=$C$18+Inputs!$C$10,$C$19,0)</f>
        <v>0</v>
      </c>
      <c r="Y22" s="23" t="n">
        <f aca="false">IF(Y21=0,-Certificate!$C$11,0)+IF(Y21=$C$18+Inputs!$C$10,$C$19,0)</f>
        <v>0</v>
      </c>
      <c r="Z22" s="23" t="n">
        <f aca="false">IF(Z21=0,-Certificate!$C$11,0)+IF(Z21=$C$18+Inputs!$C$10,$C$19,0)</f>
        <v>0</v>
      </c>
      <c r="AA22" s="23" t="n">
        <f aca="false">IF(AA21=0,-Certificate!$C$11,0)+IF(AA21=$C$18+Inputs!$C$10,$C$19,0)</f>
        <v>0</v>
      </c>
      <c r="AB22" s="23" t="n">
        <f aca="false">IF(AB21=0,-Certificate!$C$11,0)+IF(AB21=$C$18+Inputs!$C$10,$C$19,0)</f>
        <v>0</v>
      </c>
    </row>
    <row r="24" customFormat="false" ht="15" hidden="false" customHeight="false" outlineLevel="0" collapsed="false">
      <c r="B24" s="9" t="s">
        <v>68</v>
      </c>
      <c r="C24" s="19" t="n">
        <f aca="false">IRR(C22:AB22,0.01)</f>
        <v>0.0126179729437693</v>
      </c>
    </row>
    <row r="25" customFormat="false" ht="15" hidden="false" customHeight="false" outlineLevel="0" collapsed="false">
      <c r="B25" s="9" t="s">
        <v>69</v>
      </c>
      <c r="C25" s="20" t="n">
        <f aca="false">(1+$C$24)^12-1</f>
        <v>0.162378522662185</v>
      </c>
    </row>
    <row r="26" customFormat="false" ht="15" hidden="false" customHeight="false" outlineLevel="0" collapsed="false">
      <c r="B26" s="9" t="s">
        <v>70</v>
      </c>
      <c r="C26" s="20" t="n">
        <f aca="false">(1+RATE($C$18+Inputs!$C$10,0,-Certificate!$C$11,$C$19))^12-1</f>
        <v>0.162378522662206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7" min="3" style="0" width="14"/>
  </cols>
  <sheetData>
    <row r="1" customFormat="false" ht="6" hidden="false" customHeight="true" outlineLevel="0" collapsed="false"/>
    <row r="2" customFormat="false" ht="17.35" hidden="false" customHeight="false" outlineLevel="0" collapsed="false">
      <c r="B2" s="5" t="s">
        <v>71</v>
      </c>
    </row>
    <row r="3" customFormat="false" ht="15" hidden="false" customHeight="false" outlineLevel="0" collapsed="false">
      <c r="B3" s="6" t="s">
        <v>72</v>
      </c>
    </row>
    <row r="5" customFormat="false" ht="15" hidden="false" customHeight="false" outlineLevel="0" collapsed="false">
      <c r="B5" s="9" t="s">
        <v>42</v>
      </c>
      <c r="C5" s="10" t="n">
        <v>0.18</v>
      </c>
    </row>
    <row r="6" customFormat="false" ht="15" hidden="false" customHeight="false" outlineLevel="0" collapsed="false">
      <c r="B6" s="9" t="s">
        <v>43</v>
      </c>
      <c r="C6" s="12" t="n">
        <v>12</v>
      </c>
    </row>
    <row r="7" customFormat="false" ht="15" hidden="false" customHeight="false" outlineLevel="0" collapsed="false">
      <c r="B7" s="9" t="s">
        <v>46</v>
      </c>
      <c r="C7" s="14" t="n">
        <f aca="false">Certificate!$C$10*(1+MAX($C$5*$C$6/12,Inputs!$C$8))</f>
        <v>4700.825</v>
      </c>
    </row>
    <row r="9" customFormat="false" ht="30" hidden="false" customHeight="true" outlineLevel="0" collapsed="false">
      <c r="B9" s="17" t="s">
        <v>41</v>
      </c>
      <c r="C9" s="18" t="s">
        <v>73</v>
      </c>
      <c r="D9" s="18" t="s">
        <v>74</v>
      </c>
      <c r="E9" s="18" t="s">
        <v>75</v>
      </c>
      <c r="F9" s="18" t="s">
        <v>50</v>
      </c>
    </row>
    <row r="10" customFormat="false" ht="15" hidden="false" customHeight="false" outlineLevel="0" collapsed="false">
      <c r="B10" s="9" t="s">
        <v>76</v>
      </c>
      <c r="C10" s="12" t="n">
        <v>0</v>
      </c>
      <c r="D10" s="11" t="n">
        <v>0</v>
      </c>
      <c r="E10" s="27" t="n">
        <f aca="false">$C$6+C10</f>
        <v>12</v>
      </c>
      <c r="F10" s="21" t="n">
        <f aca="false">(1+RATE(E10,0,-(Certificate!$C$10+D10),$C$7))^12-1</f>
        <v>0.180000000000126</v>
      </c>
    </row>
    <row r="11" customFormat="false" ht="15" hidden="false" customHeight="false" outlineLevel="0" collapsed="false">
      <c r="B11" s="9" t="s">
        <v>77</v>
      </c>
      <c r="C11" s="12" t="n">
        <v>0</v>
      </c>
      <c r="D11" s="14" t="n">
        <f aca="false">Inputs!$C$9</f>
        <v>10</v>
      </c>
      <c r="E11" s="27" t="n">
        <f aca="false">$C$6+C11</f>
        <v>12</v>
      </c>
      <c r="F11" s="21" t="n">
        <f aca="false">(1+RATE(E11,0,-(Certificate!$C$10+D11),$C$7))^12-1</f>
        <v>0.177045383411714</v>
      </c>
    </row>
    <row r="12" customFormat="false" ht="15" hidden="false" customHeight="false" outlineLevel="0" collapsed="false">
      <c r="B12" s="9" t="s">
        <v>78</v>
      </c>
      <c r="C12" s="27" t="n">
        <f aca="false">Inputs!$C$10</f>
        <v>1</v>
      </c>
      <c r="D12" s="11" t="n">
        <v>0</v>
      </c>
      <c r="E12" s="27" t="n">
        <f aca="false">$C$6+C12</f>
        <v>13</v>
      </c>
      <c r="F12" s="21" t="n">
        <f aca="false">(1+RATE(E12,0,-(Certificate!$C$10+D12),$C$7))^12-1</f>
        <v>0.165071616588396</v>
      </c>
    </row>
    <row r="13" customFormat="false" ht="15" hidden="false" customHeight="false" outlineLevel="0" collapsed="false">
      <c r="B13" s="9" t="s">
        <v>79</v>
      </c>
      <c r="C13" s="27" t="n">
        <f aca="false">Inputs!$C$10</f>
        <v>1</v>
      </c>
      <c r="D13" s="14" t="n">
        <f aca="false">Inputs!$C$9</f>
        <v>10</v>
      </c>
      <c r="E13" s="27" t="n">
        <f aca="false">$C$6+C13</f>
        <v>13</v>
      </c>
      <c r="F13" s="21" t="n">
        <f aca="false">(1+RATE(E13,0,-(Certificate!$C$10+D13),$C$7))^12-1</f>
        <v>0.162378522662206</v>
      </c>
    </row>
    <row r="15" customFormat="false" ht="15" hidden="false" customHeight="false" outlineLevel="0" collapsed="false">
      <c r="B15" s="9" t="s">
        <v>80</v>
      </c>
      <c r="C15" s="20" t="n">
        <f aca="false">$F$11-$F$13</f>
        <v>0.0146668607495082</v>
      </c>
    </row>
    <row r="16" customFormat="false" ht="15" hidden="false" customHeight="false" outlineLevel="0" collapsed="false">
      <c r="B16" s="9" t="s">
        <v>81</v>
      </c>
      <c r="C16" s="20" t="n">
        <f aca="false">$F$12-$F$13</f>
        <v>0.00269309392618999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11" min="3" style="0" width="12"/>
  </cols>
  <sheetData>
    <row r="1" customFormat="false" ht="6" hidden="false" customHeight="true" outlineLevel="0" collapsed="false"/>
    <row r="2" customFormat="false" ht="17.35" hidden="false" customHeight="false" outlineLevel="0" collapsed="false">
      <c r="B2" s="5" t="s">
        <v>82</v>
      </c>
    </row>
    <row r="3" customFormat="false" ht="15" hidden="false" customHeight="false" outlineLevel="0" collapsed="false">
      <c r="B3" s="6" t="s">
        <v>83</v>
      </c>
    </row>
    <row r="5" customFormat="false" ht="15" hidden="false" customHeight="false" outlineLevel="0" collapsed="false">
      <c r="B5" s="7" t="s">
        <v>84</v>
      </c>
      <c r="C5" s="8"/>
      <c r="D5" s="8"/>
      <c r="E5" s="8"/>
      <c r="F5" s="8"/>
    </row>
    <row r="6" customFormat="false" ht="15" hidden="false" customHeight="false" outlineLevel="0" collapsed="false">
      <c r="B6" s="9" t="s">
        <v>85</v>
      </c>
      <c r="C6" s="12" t="n">
        <v>1</v>
      </c>
    </row>
    <row r="7" customFormat="false" ht="15" hidden="false" customHeight="false" outlineLevel="0" collapsed="false">
      <c r="B7" s="7" t="s">
        <v>86</v>
      </c>
      <c r="C7" s="25" t="n">
        <v>3</v>
      </c>
      <c r="D7" s="25" t="n">
        <v>12</v>
      </c>
      <c r="E7" s="25" t="n">
        <v>24</v>
      </c>
    </row>
    <row r="8" customFormat="false" ht="15" hidden="false" customHeight="false" outlineLevel="0" collapsed="false">
      <c r="B8" s="28" t="n">
        <v>0</v>
      </c>
      <c r="C8" s="21" t="n">
        <f aca="false">(1+RATE(C$7+Inputs!$C$10,0,-(Certificate!$C$10*(1+$B8)+Inputs!$C$9),(Certificate!$C$10*(1+Inputs!$C$22*C$7/12)+$C$6*Certificate!$C$10*$B8),0,-0.05))^12-1</f>
        <v>0.0845392577201838</v>
      </c>
      <c r="D8" s="21" t="n">
        <f aca="false">(1+RATE(D$7+Inputs!$C$10,0,-(Certificate!$C$10*(1+$B8)+Inputs!$C$9),(Certificate!$C$10*(1+Inputs!$C$22*D$7/12)+$C$6*Certificate!$C$10*$B8),0,-0.05))^12-1</f>
        <v>0.107712293742466</v>
      </c>
      <c r="E8" s="21" t="n">
        <f aca="false">(1+RATE(E$7+Inputs!$C$10,0,-(Certificate!$C$10*(1+$B8)+Inputs!$C$9),(Certificate!$C$10*(1+Inputs!$C$22*E$7/12)+$C$6*Certificate!$C$10*$B8),0,-0.05))^12-1</f>
        <v>0.107438927632642</v>
      </c>
    </row>
    <row r="9" customFormat="false" ht="15" hidden="false" customHeight="false" outlineLevel="0" collapsed="false">
      <c r="B9" s="28" t="n">
        <v>0.05</v>
      </c>
      <c r="C9" s="21" t="n">
        <f aca="false">(1+RATE(C$7+Inputs!$C$10,0,-(Certificate!$C$10*(1+$B9)+Inputs!$C$9),(Certificate!$C$10*(1+Inputs!$C$22*C$7/12)+$C$6*Certificate!$C$10*$B9),0,-0.05))^12-1</f>
        <v>0.0804192894974583</v>
      </c>
      <c r="D9" s="21" t="n">
        <f aca="false">(1+RATE(D$7+Inputs!$C$10,0,-(Certificate!$C$10*(1+$B9)+Inputs!$C$9),(Certificate!$C$10*(1+Inputs!$C$22*D$7/12)+$C$6*Certificate!$C$10*$B9),0,-0.05))^12-1</f>
        <v>0.102615769503902</v>
      </c>
      <c r="E9" s="21" t="n">
        <f aca="false">(1+RATE(E$7+Inputs!$C$10,0,-(Certificate!$C$10*(1+$B9)+Inputs!$C$9),(Certificate!$C$10*(1+Inputs!$C$22*E$7/12)+$C$6*Certificate!$C$10*$B9),0,-0.05))^12-1</f>
        <v>0.102590969070578</v>
      </c>
    </row>
    <row r="10" customFormat="false" ht="15" hidden="false" customHeight="false" outlineLevel="0" collapsed="false">
      <c r="B10" s="28" t="n">
        <v>0.1</v>
      </c>
      <c r="C10" s="21" t="n">
        <f aca="false">(1+RATE(C$7+Inputs!$C$10,0,-(Certificate!$C$10*(1+$B10)+Inputs!$C$9),(Certificate!$C$10*(1+Inputs!$C$22*C$7/12)+$C$6*Certificate!$C$10*$B10),0,-0.05))^12-1</f>
        <v>0.0766820802661263</v>
      </c>
      <c r="D10" s="21" t="n">
        <f aca="false">(1+RATE(D$7+Inputs!$C$10,0,-(Certificate!$C$10*(1+$B10)+Inputs!$C$9),(Certificate!$C$10*(1+Inputs!$C$22*D$7/12)+$C$6*Certificate!$C$10*$B10),0,-0.05))^12-1</f>
        <v>0.0979798062865696</v>
      </c>
      <c r="E10" s="21" t="n">
        <f aca="false">(1+RATE(E$7+Inputs!$C$10,0,-(Certificate!$C$10*(1+$B10)+Inputs!$C$9),(Certificate!$C$10*(1+Inputs!$C$22*E$7/12)+$C$6*Certificate!$C$10*$B10),0,-0.05))^12-1</f>
        <v>0.0981625975395111</v>
      </c>
    </row>
    <row r="11" customFormat="false" ht="15" hidden="false" customHeight="false" outlineLevel="0" collapsed="false">
      <c r="B11" s="28" t="n">
        <v>0.25</v>
      </c>
      <c r="C11" s="21" t="n">
        <f aca="false">(1+RATE(C$7+Inputs!$C$10,0,-(Certificate!$C$10*(1+$B11)+Inputs!$C$9),(Certificate!$C$10*(1+Inputs!$C$22*C$7/12)+$C$6*Certificate!$C$10*$B11),0,-0.05))^12-1</f>
        <v>0.0672989876123951</v>
      </c>
      <c r="D11" s="21" t="n">
        <f aca="false">(1+RATE(D$7+Inputs!$C$10,0,-(Certificate!$C$10*(1+$B11)+Inputs!$C$9),(Certificate!$C$10*(1+Inputs!$C$22*D$7/12)+$C$6*Certificate!$C$10*$B11),0,-0.05))^12-1</f>
        <v>0.086285459094694</v>
      </c>
      <c r="E11" s="21" t="n">
        <f aca="false">(1+RATE(E$7+Inputs!$C$10,0,-(Certificate!$C$10*(1+$B11)+Inputs!$C$9),(Certificate!$C$10*(1+Inputs!$C$22*E$7/12)+$C$6*Certificate!$C$10*$B11),0,-0.05))^12-1</f>
        <v>0.0869120385790545</v>
      </c>
    </row>
    <row r="12" customFormat="false" ht="15" hidden="false" customHeight="false" outlineLevel="0" collapsed="false">
      <c r="B12" s="28" t="n">
        <v>0.5</v>
      </c>
      <c r="C12" s="21" t="n">
        <f aca="false">(1+RATE(C$7+Inputs!$C$10,0,-(Certificate!$C$10*(1+$B12)+Inputs!$C$9),(Certificate!$C$10*(1+Inputs!$C$22*C$7/12)+$C$6*Certificate!$C$10*$B12),0,-0.05))^12-1</f>
        <v>0.0558980980615091</v>
      </c>
      <c r="D12" s="21" t="n">
        <f aca="false">(1+RATE(D$7+Inputs!$C$10,0,-(Certificate!$C$10*(1+$B12)+Inputs!$C$9),(Certificate!$C$10*(1+Inputs!$C$22*D$7/12)+$C$6*Certificate!$C$10*$B12),0,-0.05))^12-1</f>
        <v>0.0719693974729456</v>
      </c>
      <c r="E12" s="21" t="n">
        <f aca="false">(1+RATE(E$7+Inputs!$C$10,0,-(Certificate!$C$10*(1+$B12)+Inputs!$C$9),(Certificate!$C$10*(1+Inputs!$C$22*E$7/12)+$C$6*Certificate!$C$10*$B12),0,-0.05))^12-1</f>
        <v>0.0729791270469447</v>
      </c>
    </row>
    <row r="13" customFormat="false" ht="15" hidden="false" customHeight="false" outlineLevel="0" collapsed="false">
      <c r="B13" s="28" t="n">
        <v>1</v>
      </c>
      <c r="C13" s="21" t="n">
        <f aca="false">(1+RATE(C$7+Inputs!$C$10,0,-(Certificate!$C$10*(1+$B13)+Inputs!$C$9),(Certificate!$C$10*(1+Inputs!$C$22*C$7/12)+$C$6*Certificate!$C$10*$B13),0,-0.05))^12-1</f>
        <v>0.0417509485951715</v>
      </c>
      <c r="D13" s="21" t="n">
        <f aca="false">(1+RATE(D$7+Inputs!$C$10,0,-(Certificate!$C$10*(1+$B13)+Inputs!$C$9),(Certificate!$C$10*(1+Inputs!$C$22*D$7/12)+$C$6*Certificate!$C$10*$B13),0,-0.05))^12-1</f>
        <v>0.0540383746987709</v>
      </c>
      <c r="E13" s="21" t="n">
        <f aca="false">(1+RATE(E$7+Inputs!$C$10,0,-(Certificate!$C$10*(1+$B13)+Inputs!$C$9),(Certificate!$C$10*(1+Inputs!$C$22*E$7/12)+$C$6*Certificate!$C$10*$B13),0,-0.05))^12-1</f>
        <v>0.0552689878894279</v>
      </c>
    </row>
    <row r="15" customFormat="false" ht="15" hidden="false" customHeight="false" outlineLevel="0" collapsed="false">
      <c r="B15" s="7" t="s">
        <v>87</v>
      </c>
      <c r="C15" s="8"/>
      <c r="D15" s="8"/>
      <c r="E15" s="8"/>
      <c r="F15" s="8"/>
    </row>
    <row r="16" customFormat="false" ht="15" hidden="false" customHeight="false" outlineLevel="0" collapsed="false">
      <c r="B16" s="9" t="s">
        <v>85</v>
      </c>
      <c r="C16" s="12" t="n">
        <v>0</v>
      </c>
    </row>
    <row r="17" customFormat="false" ht="15" hidden="false" customHeight="false" outlineLevel="0" collapsed="false">
      <c r="B17" s="7" t="s">
        <v>86</v>
      </c>
      <c r="C17" s="25" t="n">
        <v>3</v>
      </c>
      <c r="D17" s="25" t="n">
        <v>12</v>
      </c>
      <c r="E17" s="25" t="n">
        <v>24</v>
      </c>
    </row>
    <row r="18" customFormat="false" ht="15" hidden="false" customHeight="false" outlineLevel="0" collapsed="false">
      <c r="B18" s="28" t="n">
        <v>0</v>
      </c>
      <c r="C18" s="21" t="n">
        <f aca="false">(1+RATE(C$17+Inputs!$C$10,0,-(Certificate!$C$10*(1+$B18)+Inputs!$C$9),(Certificate!$C$10*(1+Inputs!$C$22*C$17/12)+$C$16*Certificate!$C$10*$B18),0,-0.05))^12-1</f>
        <v>0.0845392577201838</v>
      </c>
      <c r="D18" s="21" t="n">
        <f aca="false">(1+RATE(D$17+Inputs!$C$10,0,-(Certificate!$C$10*(1+$B18)+Inputs!$C$9),(Certificate!$C$10*(1+Inputs!$C$22*D$17/12)+$C$16*Certificate!$C$10*$B18),0,-0.05))^12-1</f>
        <v>0.107712293742466</v>
      </c>
      <c r="E18" s="21" t="n">
        <f aca="false">(1+RATE(E$17+Inputs!$C$10,0,-(Certificate!$C$10*(1+$B18)+Inputs!$C$9),(Certificate!$C$10*(1+Inputs!$C$22*E$17/12)+$C$16*Certificate!$C$10*$B18),0,-0.05))^12-1</f>
        <v>0.107438927632642</v>
      </c>
    </row>
    <row r="19" customFormat="false" ht="15" hidden="false" customHeight="false" outlineLevel="0" collapsed="false">
      <c r="B19" s="28" t="n">
        <v>0.05</v>
      </c>
      <c r="C19" s="21" t="n">
        <f aca="false">(1+RATE(C$17+Inputs!$C$10,0,-(Certificate!$C$10*(1+$B19)+Inputs!$C$9),(Certificate!$C$10*(1+Inputs!$C$22*C$17/12)+$C$16*Certificate!$C$10*$B19),0,-0.05))^12-1</f>
        <v>-0.0627990136200265</v>
      </c>
      <c r="D19" s="21" t="n">
        <f aca="false">(1+RATE(D$17+Inputs!$C$10,0,-(Certificate!$C$10*(1+$B19)+Inputs!$C$9),(Certificate!$C$10*(1+Inputs!$C$22*D$17/12)+$C$16*Certificate!$C$10*$B19),0,-0.05))^12-1</f>
        <v>0.0590474647301238</v>
      </c>
      <c r="E19" s="21" t="n">
        <f aca="false">(1+RATE(E$17+Inputs!$C$10,0,-(Certificate!$C$10*(1+$B19)+Inputs!$C$9),(Certificate!$C$10*(1+Inputs!$C$22*E$17/12)+$C$16*Certificate!$C$10*$B19),0,-0.05))^12-1</f>
        <v>0.0818667637300432</v>
      </c>
    </row>
    <row r="20" customFormat="false" ht="15" hidden="false" customHeight="false" outlineLevel="0" collapsed="false">
      <c r="B20" s="28" t="n">
        <v>0.1</v>
      </c>
      <c r="C20" s="21" t="n">
        <f aca="false">(1+RATE(C$17+Inputs!$C$10,0,-(Certificate!$C$10*(1+$B20)+Inputs!$C$9),(Certificate!$C$10*(1+Inputs!$C$22*C$17/12)+$C$16*Certificate!$C$10*$B20),0,-0.05))^12-1</f>
        <v>-0.184612914488725</v>
      </c>
      <c r="D20" s="21" t="n">
        <f aca="false">(1+RATE(D$17+Inputs!$C$10,0,-(Certificate!$C$10*(1+$B20)+Inputs!$C$9),(Certificate!$C$10*(1+Inputs!$C$22*D$17/12)+$C$16*Certificate!$C$10*$B20),0,-0.05))^12-1</f>
        <v>0.0146344571066064</v>
      </c>
      <c r="E20" s="21" t="n">
        <f aca="false">(1+RATE(E$17+Inputs!$C$10,0,-(Certificate!$C$10*(1+$B20)+Inputs!$C$9),(Certificate!$C$10*(1+Inputs!$C$22*E$17/12)+$C$16*Certificate!$C$10*$B20),0,-0.05))^12-1</f>
        <v>0.0580318794935371</v>
      </c>
    </row>
    <row r="21" customFormat="false" ht="15" hidden="false" customHeight="false" outlineLevel="0" collapsed="false">
      <c r="B21" s="28" t="n">
        <v>0.25</v>
      </c>
      <c r="C21" s="21" t="n">
        <f aca="false">(1+RATE(C$17+Inputs!$C$10,0,-(Certificate!$C$10*(1+$B21)+Inputs!$C$9),(Certificate!$C$10*(1+Inputs!$C$22*C$17/12)+$C$16*Certificate!$C$10*$B21),0,-0.05))^12-1</f>
        <v>-0.443880834180484</v>
      </c>
      <c r="D21" s="21" t="n">
        <f aca="false">(1+RATE(D$17+Inputs!$C$10,0,-(Certificate!$C$10*(1+$B21)+Inputs!$C$9),(Certificate!$C$10*(1+Inputs!$C$22*D$17/12)+$C$16*Certificate!$C$10*$B21),0,-0.05))^12-1</f>
        <v>-0.0980709263276707</v>
      </c>
      <c r="E21" s="21" t="n">
        <f aca="false">(1+RATE(E$17+Inputs!$C$10,0,-(Certificate!$C$10*(1+$B21)+Inputs!$C$9),(Certificate!$C$10*(1+Inputs!$C$22*E$17/12)+$C$16*Certificate!$C$10*$B21),0,-0.05))^12-1</f>
        <v>-0.00480680194168215</v>
      </c>
    </row>
    <row r="22" customFormat="false" ht="15" hidden="false" customHeight="false" outlineLevel="0" collapsed="false">
      <c r="B22" s="28" t="n">
        <v>0.5</v>
      </c>
      <c r="C22" s="21" t="n">
        <f aca="false">(1+RATE(C$17+Inputs!$C$10,0,-(Certificate!$C$10*(1+$B22)+Inputs!$C$9),(Certificate!$C$10*(1+Inputs!$C$22*C$17/12)+$C$16*Certificate!$C$10*$B22),0,-0.05))^12-1</f>
        <v>-0.677849070116192</v>
      </c>
      <c r="D22" s="21" t="n">
        <f aca="false">(1+RATE(D$17+Inputs!$C$10,0,-(Certificate!$C$10*(1+$B22)+Inputs!$C$9),(Certificate!$C$10*(1+Inputs!$C$22*D$17/12)+$C$16*Certificate!$C$10*$B22),0,-0.05))^12-1</f>
        <v>-0.237541986454344</v>
      </c>
      <c r="E22" s="21" t="n">
        <f aca="false">(1+RATE(E$17+Inputs!$C$10,0,-(Certificate!$C$10*(1+$B22)+Inputs!$C$9),(Certificate!$C$10*(1+Inputs!$C$22*E$17/12)+$C$16*Certificate!$C$10*$B22),0,-0.05))^12-1</f>
        <v>-0.088052067017159</v>
      </c>
    </row>
    <row r="23" customFormat="false" ht="15" hidden="false" customHeight="false" outlineLevel="0" collapsed="false">
      <c r="B23" s="28" t="n">
        <v>1</v>
      </c>
      <c r="C23" s="21" t="n">
        <f aca="false">(1+RATE(C$17+Inputs!$C$10,0,-(Certificate!$C$10*(1+$B23)+Inputs!$C$9),(Certificate!$C$10*(1+Inputs!$C$22*C$17/12)+$C$16*Certificate!$C$10*$B23),0,-0.05))^12-1</f>
        <v>-0.863922141833817</v>
      </c>
      <c r="D23" s="21" t="n">
        <f aca="false">(1+RATE(D$17+Inputs!$C$10,0,-(Certificate!$C$10*(1+$B23)+Inputs!$C$9),(Certificate!$C$10*(1+Inputs!$C$22*D$17/12)+$C$16*Certificate!$C$10*$B23),0,-0.05))^12-1</f>
        <v>-0.415135392597492</v>
      </c>
      <c r="E23" s="21" t="n">
        <f aca="false">(1+RATE(E$17+Inputs!$C$10,0,-(Certificate!$C$10*(1+$B23)+Inputs!$C$9),(Certificate!$C$10*(1+Inputs!$C$22*E$17/12)+$C$16*Certificate!$C$10*$B23),0,-0.05))^12-1</f>
        <v>-0.205513475510903</v>
      </c>
    </row>
    <row r="25" customFormat="false" ht="15" hidden="false" customHeight="false" outlineLevel="0" collapsed="false">
      <c r="B25" s="7" t="s">
        <v>88</v>
      </c>
      <c r="C25" s="8"/>
      <c r="D25" s="8"/>
      <c r="E25" s="8"/>
      <c r="F25" s="8"/>
      <c r="G25" s="8"/>
      <c r="H25" s="8"/>
    </row>
    <row r="26" customFormat="false" ht="15" hidden="false" customHeight="false" outlineLevel="0" collapsed="false">
      <c r="B26" s="9" t="s">
        <v>43</v>
      </c>
      <c r="C26" s="12" t="n">
        <v>12</v>
      </c>
    </row>
    <row r="27" customFormat="false" ht="43.5" hidden="false" customHeight="true" outlineLevel="0" collapsed="false">
      <c r="B27" s="17" t="s">
        <v>89</v>
      </c>
      <c r="C27" s="18" t="s">
        <v>90</v>
      </c>
      <c r="D27" s="18" t="s">
        <v>91</v>
      </c>
      <c r="E27" s="18" t="s">
        <v>92</v>
      </c>
      <c r="F27" s="18" t="s">
        <v>93</v>
      </c>
      <c r="G27" s="18" t="s">
        <v>94</v>
      </c>
    </row>
    <row r="28" customFormat="false" ht="15" hidden="false" customHeight="false" outlineLevel="0" collapsed="false">
      <c r="B28" s="9" t="s">
        <v>95</v>
      </c>
      <c r="C28" s="21" t="n">
        <f aca="false">Inputs!$C$11</f>
        <v>0.04</v>
      </c>
      <c r="D28" s="29" t="n">
        <f aca="false">(1+C28)^(($C$26+Inputs!$C$10)/12)</f>
        <v>1.04340468937349</v>
      </c>
      <c r="E28" s="21" t="n">
        <f aca="false">(Certificate!$C$10*(1+Inputs!$C$22*$C$26/12)/D28-Inputs!$C$9)/Certificate!$C$10-1</f>
        <v>0.0708988174496152</v>
      </c>
      <c r="F28" s="20" t="n">
        <f aca="false">(1+RATE(($C$26+Inputs!$C$10),0,-(Certificate!$C$10*(1+E28)+Inputs!$C$9),(Certificate!$C$10*(1+Inputs!$C$22*$C$26/12)+0*Certificate!$C$10*E28),0,0.001))^12-1</f>
        <v>0.0400000000000034</v>
      </c>
      <c r="G28" s="24" t="str">
        <f aca="false">IF(ABS(F28-C28)&lt;0.0000001,"yes","no")</f>
        <v>yes</v>
      </c>
    </row>
    <row r="29" customFormat="false" ht="15" hidden="false" customHeight="false" outlineLevel="0" collapsed="false">
      <c r="B29" s="9" t="s">
        <v>96</v>
      </c>
      <c r="C29" s="21" t="n">
        <f aca="false">Inputs!$C$11</f>
        <v>0.04</v>
      </c>
      <c r="D29" s="29" t="n">
        <f aca="false">(1+C29)^(($C$26+Inputs!$C$10)/12)</f>
        <v>1.04340468937349</v>
      </c>
      <c r="E29" s="21" t="n">
        <f aca="false">(D29*(Certificate!$C$10+Inputs!$C$9)-Certificate!$C$10*(1+Inputs!$C$22*$C$26/12))/(Certificate!$C$10*(1-D29))</f>
        <v>1.70433562976148</v>
      </c>
      <c r="F29" s="20" t="n">
        <f aca="false">(1+RATE(($C$26+Inputs!$C$10),0,-(Certificate!$C$10*(1+E29)+Inputs!$C$9),(Certificate!$C$10*(1+Inputs!$C$22*$C$26/12)+1*Certificate!$C$10*E29),0,0.001))^12-1</f>
        <v>0.0400000000000034</v>
      </c>
      <c r="G29" s="24" t="str">
        <f aca="false">IF(ABS(F29-C29)&lt;0.0000001,"yes","no")</f>
        <v>yes</v>
      </c>
    </row>
    <row r="30" customFormat="false" ht="15" hidden="false" customHeight="false" outlineLevel="0" collapsed="false">
      <c r="B30" s="9" t="s">
        <v>97</v>
      </c>
      <c r="C30" s="13" t="n">
        <v>0</v>
      </c>
      <c r="D30" s="29" t="n">
        <f aca="false">(1+C30)^(($C$26+Inputs!$C$10)/12)</f>
        <v>1</v>
      </c>
      <c r="E30" s="21" t="n">
        <f aca="false">(Certificate!$C$10*(1+Inputs!$C$22*$C$26/12)/D30-Inputs!$C$9)/Certificate!$C$10-1</f>
        <v>0.117489802321933</v>
      </c>
      <c r="F30" s="20" t="n">
        <f aca="false">(1+RATE(($C$26+Inputs!$C$10),0,-(Certificate!$C$10*(1+E30)+Inputs!$C$9),(Certificate!$C$10*(1+Inputs!$C$22*$C$26/12)+0*Certificate!$C$10*E30),0,0.001))^12-1</f>
        <v>0</v>
      </c>
      <c r="G30" s="24" t="str">
        <f aca="false">IF(ABS(F30-C30)&lt;0.0000001,"yes","no")</f>
        <v>yes</v>
      </c>
    </row>
    <row r="32" customFormat="false" ht="15" hidden="false" customHeight="false" outlineLevel="0" collapsed="false">
      <c r="B32" s="6" t="s">
        <v>98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1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20"/>
    <col collapsed="false" customWidth="true" hidden="false" outlineLevel="0" max="4" min="4" style="0" width="70"/>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99</v>
      </c>
    </row>
    <row r="3" customFormat="false" ht="15" hidden="false" customHeight="false" outlineLevel="0" collapsed="false">
      <c r="B3" s="6" t="s">
        <v>100</v>
      </c>
    </row>
    <row r="4" customFormat="false" ht="15" hidden="false" customHeight="false" outlineLevel="0" collapsed="false">
      <c r="C4" s="15" t="s">
        <v>101</v>
      </c>
      <c r="E4" s="30" t="n">
        <f aca="false">COUNTA(I9:I140)</f>
        <v>132</v>
      </c>
    </row>
    <row r="5" customFormat="false" ht="15" hidden="false" customHeight="false" outlineLevel="0" collapsed="false">
      <c r="C5" s="15" t="s">
        <v>102</v>
      </c>
      <c r="E5" s="30" t="n">
        <f aca="false">COUNTIF(I9:I140,"PASS")</f>
        <v>132</v>
      </c>
    </row>
    <row r="6" customFormat="false" ht="15" hidden="false" customHeight="false" outlineLevel="0" collapsed="false">
      <c r="C6" s="15" t="s">
        <v>103</v>
      </c>
      <c r="E6" s="30" t="n">
        <f aca="false">COUNTIF(I9:I140,"FAIL")</f>
        <v>0</v>
      </c>
    </row>
    <row r="8" customFormat="false" ht="21.75" hidden="false" customHeight="true" outlineLevel="0" collapsed="false">
      <c r="B8" s="17" t="s">
        <v>104</v>
      </c>
      <c r="C8" s="18" t="s">
        <v>105</v>
      </c>
      <c r="D8" s="18" t="s">
        <v>106</v>
      </c>
      <c r="E8" s="18" t="s">
        <v>107</v>
      </c>
      <c r="F8" s="18" t="s">
        <v>108</v>
      </c>
      <c r="G8" s="18" t="s">
        <v>109</v>
      </c>
      <c r="H8" s="18" t="s">
        <v>110</v>
      </c>
      <c r="I8" s="18" t="s">
        <v>111</v>
      </c>
    </row>
    <row r="9" customFormat="false" ht="15" hidden="false" customHeight="false" outlineLevel="0" collapsed="false">
      <c r="B9" s="31" t="n">
        <v>1</v>
      </c>
      <c r="C9" s="9" t="s">
        <v>112</v>
      </c>
      <c r="D9" s="9" t="s">
        <v>113</v>
      </c>
      <c r="E9" s="32" t="n">
        <v>3983.75</v>
      </c>
      <c r="F9" s="33" t="n">
        <f aca="false">Certificate!$C$10</f>
        <v>3983.75</v>
      </c>
      <c r="G9" s="29" t="n">
        <f aca="false">IF(ISNUMBER(F9),F9-E9,"n/a")</f>
        <v>0</v>
      </c>
      <c r="H9" s="34" t="n">
        <v>0.005000001</v>
      </c>
      <c r="I9" s="35" t="str">
        <f aca="false">IF(ISNUMBER(F9),IF(ABS(F9-E9)&lt;=H9,"PASS","FAIL"),"FAIL")</f>
        <v>PASS</v>
      </c>
    </row>
    <row r="10" customFormat="false" ht="15" hidden="false" customHeight="false" outlineLevel="0" collapsed="false">
      <c r="B10" s="31" t="n">
        <v>2</v>
      </c>
      <c r="C10" s="9" t="s">
        <v>112</v>
      </c>
      <c r="D10" s="9" t="s">
        <v>114</v>
      </c>
      <c r="E10" s="32" t="n">
        <v>3993.75</v>
      </c>
      <c r="F10" s="33" t="n">
        <f aca="false">Certificate!$C$11</f>
        <v>3993.75</v>
      </c>
      <c r="G10" s="29" t="n">
        <f aca="false">IF(ISNUMBER(F10),F10-E10,"n/a")</f>
        <v>0</v>
      </c>
      <c r="H10" s="34" t="n">
        <v>0.005000001</v>
      </c>
      <c r="I10" s="35" t="str">
        <f aca="false">IF(ISNUMBER(F10),IF(ABS(F10-E10)&lt;=H10,"PASS","FAIL"),"FAIL")</f>
        <v>PASS</v>
      </c>
    </row>
    <row r="11" customFormat="false" ht="15" hidden="false" customHeight="false" outlineLevel="0" collapsed="false">
      <c r="B11" s="31" t="n">
        <v>3</v>
      </c>
      <c r="C11" s="9" t="s">
        <v>112</v>
      </c>
      <c r="D11" s="9" t="s">
        <v>115</v>
      </c>
      <c r="E11" s="32" t="n">
        <v>4182.94</v>
      </c>
      <c r="F11" s="33" t="n">
        <f aca="false">Certificate!$G$15</f>
        <v>4182.9375</v>
      </c>
      <c r="G11" s="29" t="n">
        <f aca="false">IF(ISNUMBER(F11),F11-E11,"n/a")</f>
        <v>-0.00249999999959982</v>
      </c>
      <c r="H11" s="34" t="n">
        <v>0.005000001</v>
      </c>
      <c r="I11" s="35" t="str">
        <f aca="false">IF(ISNUMBER(F11),IF(ABS(F11-E11)&lt;=H11,"PASS","FAIL"),"FAIL")</f>
        <v>PASS</v>
      </c>
    </row>
    <row r="12" customFormat="false" ht="15" hidden="false" customHeight="false" outlineLevel="0" collapsed="false">
      <c r="B12" s="31" t="n">
        <v>4</v>
      </c>
      <c r="C12" s="9" t="s">
        <v>112</v>
      </c>
      <c r="D12" s="9" t="s">
        <v>116</v>
      </c>
      <c r="E12" s="32" t="n">
        <v>189.19</v>
      </c>
      <c r="F12" s="33" t="n">
        <f aca="false">Certificate!$H$15</f>
        <v>189.1875</v>
      </c>
      <c r="G12" s="29" t="n">
        <f aca="false">IF(ISNUMBER(F12),F12-E12,"n/a")</f>
        <v>-0.00249999999999773</v>
      </c>
      <c r="H12" s="34" t="n">
        <v>0.005000001</v>
      </c>
      <c r="I12" s="35" t="str">
        <f aca="false">IF(ISNUMBER(F12),IF(ABS(F12-E12)&lt;=H12,"PASS","FAIL"),"FAIL")</f>
        <v>PASS</v>
      </c>
    </row>
    <row r="13" customFormat="false" ht="15" hidden="false" customHeight="false" outlineLevel="0" collapsed="false">
      <c r="B13" s="31" t="n">
        <v>5</v>
      </c>
      <c r="C13" s="9" t="s">
        <v>112</v>
      </c>
      <c r="D13" s="9" t="s">
        <v>117</v>
      </c>
      <c r="E13" s="10" t="n">
        <v>0.0474</v>
      </c>
      <c r="F13" s="36" t="n">
        <f aca="false">Certificate!$I$15</f>
        <v>0.0473708920187793</v>
      </c>
      <c r="G13" s="29" t="n">
        <f aca="false">IF(ISNUMBER(F13),F13-E13,"n/a")</f>
        <v>-2.91079812206538E-005</v>
      </c>
      <c r="H13" s="34" t="n">
        <v>5.0001E-005</v>
      </c>
      <c r="I13" s="35" t="str">
        <f aca="false">IF(ISNUMBER(F13),IF(ABS(F13-E13)&lt;=H13,"PASS","FAIL"),"FAIL")</f>
        <v>PASS</v>
      </c>
    </row>
    <row r="14" customFormat="false" ht="15" hidden="false" customHeight="false" outlineLevel="0" collapsed="false">
      <c r="B14" s="31" t="n">
        <v>6</v>
      </c>
      <c r="C14" s="9" t="s">
        <v>112</v>
      </c>
      <c r="D14" s="9" t="s">
        <v>118</v>
      </c>
      <c r="E14" s="13" t="n">
        <v>0.203</v>
      </c>
      <c r="F14" s="19" t="n">
        <f aca="false">Certificate!$K$15</f>
        <v>0.203377813475434</v>
      </c>
      <c r="G14" s="29" t="n">
        <f aca="false">IF(ISNUMBER(F14),F14-E14,"n/a")</f>
        <v>0.000377813475434252</v>
      </c>
      <c r="H14" s="34" t="n">
        <v>0.000500001</v>
      </c>
      <c r="I14" s="35" t="str">
        <f aca="false">IF(ISNUMBER(F14),IF(ABS(F14-E14)&lt;=H14,"PASS","FAIL"),"FAIL")</f>
        <v>PASS</v>
      </c>
    </row>
    <row r="15" customFormat="false" ht="15" hidden="false" customHeight="false" outlineLevel="0" collapsed="false">
      <c r="B15" s="31" t="n">
        <v>7</v>
      </c>
      <c r="C15" s="9" t="s">
        <v>112</v>
      </c>
      <c r="D15" s="9" t="s">
        <v>119</v>
      </c>
      <c r="E15" s="32" t="n">
        <v>4700.82</v>
      </c>
      <c r="F15" s="33" t="n">
        <f aca="false">Certificate!$G$16</f>
        <v>4700.825</v>
      </c>
      <c r="G15" s="29" t="n">
        <f aca="false">IF(ISNUMBER(F15),F15-E15,"n/a")</f>
        <v>0.00500000000010914</v>
      </c>
      <c r="H15" s="34" t="n">
        <v>0.005000001</v>
      </c>
      <c r="I15" s="35" t="str">
        <f aca="false">IF(ISNUMBER(F15),IF(ABS(F15-E15)&lt;=H15,"PASS","FAIL"),"FAIL")</f>
        <v>PASS</v>
      </c>
    </row>
    <row r="16" customFormat="false" ht="15" hidden="false" customHeight="false" outlineLevel="0" collapsed="false">
      <c r="B16" s="31" t="n">
        <v>8</v>
      </c>
      <c r="C16" s="9" t="s">
        <v>112</v>
      </c>
      <c r="D16" s="9" t="s">
        <v>120</v>
      </c>
      <c r="E16" s="32" t="n">
        <v>707.07</v>
      </c>
      <c r="F16" s="33" t="n">
        <f aca="false">Certificate!$H$16</f>
        <v>707.075</v>
      </c>
      <c r="G16" s="29" t="n">
        <f aca="false">IF(ISNUMBER(F16),F16-E16,"n/a")</f>
        <v>0.00499999999976808</v>
      </c>
      <c r="H16" s="34" t="n">
        <v>0.005000001</v>
      </c>
      <c r="I16" s="35" t="str">
        <f aca="false">IF(ISNUMBER(F16),IF(ABS(F16-E16)&lt;=H16,"PASS","FAIL"),"FAIL")</f>
        <v>PASS</v>
      </c>
    </row>
    <row r="17" customFormat="false" ht="15" hidden="false" customHeight="false" outlineLevel="0" collapsed="false">
      <c r="B17" s="31" t="n">
        <v>9</v>
      </c>
      <c r="C17" s="9" t="s">
        <v>112</v>
      </c>
      <c r="D17" s="9" t="s">
        <v>121</v>
      </c>
      <c r="E17" s="10" t="n">
        <v>0.177</v>
      </c>
      <c r="F17" s="36" t="n">
        <f aca="false">Certificate!$I$16</f>
        <v>0.177045383411581</v>
      </c>
      <c r="G17" s="29" t="n">
        <f aca="false">IF(ISNUMBER(F17),F17-E17,"n/a")</f>
        <v>4.53834115805574E-005</v>
      </c>
      <c r="H17" s="34" t="n">
        <v>5.0001E-005</v>
      </c>
      <c r="I17" s="35" t="str">
        <f aca="false">IF(ISNUMBER(F17),IF(ABS(F17-E17)&lt;=H17,"PASS","FAIL"),"FAIL")</f>
        <v>PASS</v>
      </c>
    </row>
    <row r="18" customFormat="false" ht="15" hidden="false" customHeight="false" outlineLevel="0" collapsed="false">
      <c r="B18" s="31" t="n">
        <v>10</v>
      </c>
      <c r="C18" s="9" t="s">
        <v>112</v>
      </c>
      <c r="D18" s="9" t="s">
        <v>122</v>
      </c>
      <c r="E18" s="13" t="n">
        <v>0.162</v>
      </c>
      <c r="F18" s="19" t="n">
        <f aca="false">Certificate!$K$16</f>
        <v>0.162378522662206</v>
      </c>
      <c r="G18" s="29" t="n">
        <f aca="false">IF(ISNUMBER(F18),F18-E18,"n/a")</f>
        <v>0.000378522662206088</v>
      </c>
      <c r="H18" s="34" t="n">
        <v>0.000500001</v>
      </c>
      <c r="I18" s="35" t="str">
        <f aca="false">IF(ISNUMBER(F18),IF(ABS(F18-E18)&lt;=H18,"PASS","FAIL"),"FAIL")</f>
        <v>PASS</v>
      </c>
    </row>
    <row r="19" customFormat="false" ht="15" hidden="false" customHeight="false" outlineLevel="0" collapsed="false">
      <c r="B19" s="31" t="n">
        <v>11</v>
      </c>
      <c r="C19" s="9" t="s">
        <v>112</v>
      </c>
      <c r="D19" s="9" t="s">
        <v>123</v>
      </c>
      <c r="E19" s="32" t="n">
        <v>4182.94</v>
      </c>
      <c r="F19" s="33" t="n">
        <f aca="false">Certificate!$G$17</f>
        <v>4182.9375</v>
      </c>
      <c r="G19" s="29" t="n">
        <f aca="false">IF(ISNUMBER(F19),F19-E19,"n/a")</f>
        <v>-0.00249999999959982</v>
      </c>
      <c r="H19" s="34" t="n">
        <v>0.005000001</v>
      </c>
      <c r="I19" s="35" t="str">
        <f aca="false">IF(ISNUMBER(F19),IF(ABS(F19-E19)&lt;=H19,"PASS","FAIL"),"FAIL")</f>
        <v>PASS</v>
      </c>
    </row>
    <row r="20" customFormat="false" ht="15" hidden="false" customHeight="false" outlineLevel="0" collapsed="false">
      <c r="B20" s="31" t="n">
        <v>12</v>
      </c>
      <c r="C20" s="9" t="s">
        <v>112</v>
      </c>
      <c r="D20" s="9" t="s">
        <v>124</v>
      </c>
      <c r="E20" s="32" t="n">
        <v>189.19</v>
      </c>
      <c r="F20" s="33" t="n">
        <f aca="false">Certificate!$H$17</f>
        <v>189.1875</v>
      </c>
      <c r="G20" s="29" t="n">
        <f aca="false">IF(ISNUMBER(F20),F20-E20,"n/a")</f>
        <v>-0.00249999999999773</v>
      </c>
      <c r="H20" s="34" t="n">
        <v>0.005000001</v>
      </c>
      <c r="I20" s="35" t="str">
        <f aca="false">IF(ISNUMBER(F20),IF(ABS(F20-E20)&lt;=H20,"PASS","FAIL"),"FAIL")</f>
        <v>PASS</v>
      </c>
    </row>
    <row r="21" customFormat="false" ht="15" hidden="false" customHeight="false" outlineLevel="0" collapsed="false">
      <c r="B21" s="31" t="n">
        <v>13</v>
      </c>
      <c r="C21" s="9" t="s">
        <v>112</v>
      </c>
      <c r="D21" s="9" t="s">
        <v>125</v>
      </c>
      <c r="E21" s="10" t="n">
        <v>0.0474</v>
      </c>
      <c r="F21" s="36" t="n">
        <f aca="false">Certificate!$I$17</f>
        <v>0.0473708920187793</v>
      </c>
      <c r="G21" s="29" t="n">
        <f aca="false">IF(ISNUMBER(F21),F21-E21,"n/a")</f>
        <v>-2.91079812206538E-005</v>
      </c>
      <c r="H21" s="34" t="n">
        <v>5.0001E-005</v>
      </c>
      <c r="I21" s="35" t="str">
        <f aca="false">IF(ISNUMBER(F21),IF(ABS(F21-E21)&lt;=H21,"PASS","FAIL"),"FAIL")</f>
        <v>PASS</v>
      </c>
    </row>
    <row r="22" customFormat="false" ht="15" hidden="false" customHeight="false" outlineLevel="0" collapsed="false">
      <c r="B22" s="31" t="n">
        <v>14</v>
      </c>
      <c r="C22" s="9" t="s">
        <v>112</v>
      </c>
      <c r="D22" s="9" t="s">
        <v>126</v>
      </c>
      <c r="E22" s="13" t="n">
        <v>0.203</v>
      </c>
      <c r="F22" s="19" t="n">
        <f aca="false">Certificate!$K$17</f>
        <v>0.203377813475434</v>
      </c>
      <c r="G22" s="29" t="n">
        <f aca="false">IF(ISNUMBER(F22),F22-E22,"n/a")</f>
        <v>0.000377813475434252</v>
      </c>
      <c r="H22" s="34" t="n">
        <v>0.000500001</v>
      </c>
      <c r="I22" s="35" t="str">
        <f aca="false">IF(ISNUMBER(F22),IF(ABS(F22-E22)&lt;=H22,"PASS","FAIL"),"FAIL")</f>
        <v>PASS</v>
      </c>
    </row>
    <row r="23" customFormat="false" ht="15" hidden="false" customHeight="false" outlineLevel="0" collapsed="false">
      <c r="B23" s="31" t="n">
        <v>15</v>
      </c>
      <c r="C23" s="9" t="s">
        <v>112</v>
      </c>
      <c r="D23" s="9" t="s">
        <v>127</v>
      </c>
      <c r="E23" s="32" t="n">
        <v>4182.94</v>
      </c>
      <c r="F23" s="33" t="n">
        <f aca="false">Certificate!$G$18</f>
        <v>4182.9375</v>
      </c>
      <c r="G23" s="29" t="n">
        <f aca="false">IF(ISNUMBER(F23),F23-E23,"n/a")</f>
        <v>-0.00249999999959982</v>
      </c>
      <c r="H23" s="34" t="n">
        <v>0.005000001</v>
      </c>
      <c r="I23" s="35" t="str">
        <f aca="false">IF(ISNUMBER(F23),IF(ABS(F23-E23)&lt;=H23,"PASS","FAIL"),"FAIL")</f>
        <v>PASS</v>
      </c>
    </row>
    <row r="24" customFormat="false" ht="15" hidden="false" customHeight="false" outlineLevel="0" collapsed="false">
      <c r="B24" s="31" t="n">
        <v>16</v>
      </c>
      <c r="C24" s="9" t="s">
        <v>112</v>
      </c>
      <c r="D24" s="9" t="s">
        <v>128</v>
      </c>
      <c r="E24" s="32" t="n">
        <v>189.19</v>
      </c>
      <c r="F24" s="33" t="n">
        <f aca="false">Certificate!$H$18</f>
        <v>189.1875</v>
      </c>
      <c r="G24" s="29" t="n">
        <f aca="false">IF(ISNUMBER(F24),F24-E24,"n/a")</f>
        <v>-0.00249999999999773</v>
      </c>
      <c r="H24" s="34" t="n">
        <v>0.005000001</v>
      </c>
      <c r="I24" s="35" t="str">
        <f aca="false">IF(ISNUMBER(F24),IF(ABS(F24-E24)&lt;=H24,"PASS","FAIL"),"FAIL")</f>
        <v>PASS</v>
      </c>
    </row>
    <row r="25" customFormat="false" ht="15" hidden="false" customHeight="false" outlineLevel="0" collapsed="false">
      <c r="B25" s="31" t="n">
        <v>17</v>
      </c>
      <c r="C25" s="9" t="s">
        <v>112</v>
      </c>
      <c r="D25" s="9" t="s">
        <v>129</v>
      </c>
      <c r="E25" s="10" t="n">
        <v>0.0474</v>
      </c>
      <c r="F25" s="36" t="n">
        <f aca="false">Certificate!$I$18</f>
        <v>0.0473708920187793</v>
      </c>
      <c r="G25" s="29" t="n">
        <f aca="false">IF(ISNUMBER(F25),F25-E25,"n/a")</f>
        <v>-2.91079812206538E-005</v>
      </c>
      <c r="H25" s="34" t="n">
        <v>5.0001E-005</v>
      </c>
      <c r="I25" s="35" t="str">
        <f aca="false">IF(ISNUMBER(F25),IF(ABS(F25-E25)&lt;=H25,"PASS","FAIL"),"FAIL")</f>
        <v>PASS</v>
      </c>
    </row>
    <row r="26" customFormat="false" ht="15" hidden="false" customHeight="false" outlineLevel="0" collapsed="false">
      <c r="B26" s="31" t="n">
        <v>18</v>
      </c>
      <c r="C26" s="9" t="s">
        <v>112</v>
      </c>
      <c r="D26" s="9" t="s">
        <v>130</v>
      </c>
      <c r="E26" s="13" t="n">
        <v>0.044</v>
      </c>
      <c r="F26" s="19" t="n">
        <f aca="false">Certificate!$K$18</f>
        <v>0.0436486309387791</v>
      </c>
      <c r="G26" s="29" t="n">
        <f aca="false">IF(ISNUMBER(F26),F26-E26,"n/a")</f>
        <v>-0.000351369061220866</v>
      </c>
      <c r="H26" s="34" t="n">
        <v>0.000500001</v>
      </c>
      <c r="I26" s="35" t="str">
        <f aca="false">IF(ISNUMBER(F26),IF(ABS(F26-E26)&lt;=H26,"PASS","FAIL"),"FAIL")</f>
        <v>PASS</v>
      </c>
    </row>
    <row r="27" customFormat="false" ht="15" hidden="false" customHeight="false" outlineLevel="0" collapsed="false">
      <c r="B27" s="31" t="n">
        <v>19</v>
      </c>
      <c r="C27" s="9" t="s">
        <v>112</v>
      </c>
      <c r="D27" s="9" t="s">
        <v>131</v>
      </c>
      <c r="E27" s="32" t="n">
        <v>10</v>
      </c>
      <c r="F27" s="33" t="n">
        <f aca="false">Certificate!$C$22</f>
        <v>10</v>
      </c>
      <c r="G27" s="29" t="n">
        <f aca="false">IF(ISNUMBER(F27),F27-E27,"n/a")</f>
        <v>0</v>
      </c>
      <c r="H27" s="34" t="n">
        <v>0.005000001</v>
      </c>
      <c r="I27" s="35" t="str">
        <f aca="false">IF(ISNUMBER(F27),IF(ABS(F27-E27)&lt;=H27,"PASS","FAIL"),"FAIL")</f>
        <v>PASS</v>
      </c>
    </row>
    <row r="28" customFormat="false" ht="15" hidden="false" customHeight="true" outlineLevel="0" collapsed="false">
      <c r="B28" s="31" t="n">
        <v>20</v>
      </c>
      <c r="C28" s="9" t="s">
        <v>112</v>
      </c>
      <c r="D28" s="37" t="s">
        <v>132</v>
      </c>
      <c r="E28" s="38" t="s">
        <v>133</v>
      </c>
      <c r="F28" s="39" t="str">
        <f aca="false">IF(ABS(Certificate!$G$19-Certificate!$C$10)&lt;0.000000001,"holds","does not hold")</f>
        <v>holds</v>
      </c>
      <c r="G28" s="9"/>
      <c r="H28" s="9"/>
      <c r="I28" s="35" t="str">
        <f aca="false">IF(ABS(Certificate!$G$19-Certificate!$C$10)&lt;0.000000001,"PASS","FAIL")</f>
        <v>PASS</v>
      </c>
    </row>
    <row r="29" customFormat="false" ht="15" hidden="false" customHeight="true" outlineLevel="0" collapsed="false">
      <c r="B29" s="31" t="n">
        <v>21</v>
      </c>
      <c r="C29" s="9" t="s">
        <v>112</v>
      </c>
      <c r="D29" s="37" t="s">
        <v>134</v>
      </c>
      <c r="E29" s="38" t="s">
        <v>133</v>
      </c>
      <c r="F29" s="39" t="str">
        <f aca="false">IF(AND(0.0025*1/12&lt;Inputs!$C$8,0.0025*24/12&lt;Inputs!$C$8),"holds","does not hold")</f>
        <v>holds</v>
      </c>
      <c r="G29" s="9"/>
      <c r="H29" s="9"/>
      <c r="I29" s="35" t="str">
        <f aca="false">IF(AND(0.0025*1/12&lt;Inputs!$C$8,0.0025*24/12&lt;Inputs!$C$8),"PASS","FAIL")</f>
        <v>PASS</v>
      </c>
    </row>
    <row r="30" customFormat="false" ht="15" hidden="false" customHeight="false" outlineLevel="0" collapsed="false">
      <c r="B30" s="31" t="n">
        <v>22</v>
      </c>
      <c r="C30" s="9" t="s">
        <v>112</v>
      </c>
      <c r="D30" s="9" t="s">
        <v>135</v>
      </c>
      <c r="E30" s="32" t="n">
        <v>3.33</v>
      </c>
      <c r="F30" s="33" t="n">
        <f aca="false">Certificate!$C$26</f>
        <v>3.33333333333333</v>
      </c>
      <c r="G30" s="29" t="n">
        <f aca="false">IF(ISNUMBER(F30),F30-E30,"n/a")</f>
        <v>0.00333333333333385</v>
      </c>
      <c r="H30" s="34" t="n">
        <v>0.005000001</v>
      </c>
      <c r="I30" s="35" t="str">
        <f aca="false">IF(ISNUMBER(F30),IF(ABS(F30-E30)&lt;=H30,"PASS","FAIL"),"FAIL")</f>
        <v>PASS</v>
      </c>
    </row>
    <row r="31" customFormat="false" ht="15" hidden="false" customHeight="false" outlineLevel="0" collapsed="false">
      <c r="B31" s="31" t="n">
        <v>23</v>
      </c>
      <c r="C31" s="9" t="s">
        <v>112</v>
      </c>
      <c r="D31" s="9" t="s">
        <v>136</v>
      </c>
      <c r="E31" s="40" t="n">
        <v>5</v>
      </c>
      <c r="F31" s="41" t="n">
        <f aca="false">Certificate!$C$27</f>
        <v>5</v>
      </c>
      <c r="G31" s="29" t="n">
        <f aca="false">IF(ISNUMBER(F31),F31-E31,"n/a")</f>
        <v>0</v>
      </c>
      <c r="H31" s="34" t="n">
        <v>0.050000001</v>
      </c>
      <c r="I31" s="35" t="str">
        <f aca="false">IF(ISNUMBER(F31),IF(ABS(F31-E31)&lt;=H31,"PASS","FAIL"),"FAIL")</f>
        <v>PASS</v>
      </c>
    </row>
    <row r="32" customFormat="false" ht="15" hidden="false" customHeight="false" outlineLevel="0" collapsed="false">
      <c r="B32" s="31" t="n">
        <v>24</v>
      </c>
      <c r="C32" s="9" t="s">
        <v>112</v>
      </c>
      <c r="D32" s="9" t="s">
        <v>137</v>
      </c>
      <c r="E32" s="40" t="n">
        <v>10</v>
      </c>
      <c r="F32" s="41" t="n">
        <f aca="false">Certificate!$C$28</f>
        <v>10</v>
      </c>
      <c r="G32" s="29" t="n">
        <f aca="false">IF(ISNUMBER(F32),F32-E32,"n/a")</f>
        <v>0</v>
      </c>
      <c r="H32" s="34" t="n">
        <v>0.050000001</v>
      </c>
      <c r="I32" s="35" t="str">
        <f aca="false">IF(ISNUMBER(F32),IF(ABS(F32-E32)&lt;=H32,"PASS","FAIL"),"FAIL")</f>
        <v>PASS</v>
      </c>
    </row>
    <row r="33" customFormat="false" ht="15" hidden="false" customHeight="false" outlineLevel="0" collapsed="false">
      <c r="B33" s="31" t="n">
        <v>25</v>
      </c>
      <c r="C33" s="9" t="s">
        <v>112</v>
      </c>
      <c r="D33" s="9" t="s">
        <v>138</v>
      </c>
      <c r="E33" s="40" t="n">
        <v>20</v>
      </c>
      <c r="F33" s="41" t="n">
        <f aca="false">Certificate!$C$29</f>
        <v>20</v>
      </c>
      <c r="G33" s="29" t="n">
        <f aca="false">IF(ISNUMBER(F33),F33-E33,"n/a")</f>
        <v>0</v>
      </c>
      <c r="H33" s="34" t="n">
        <v>0.050000001</v>
      </c>
      <c r="I33" s="35" t="str">
        <f aca="false">IF(ISNUMBER(F33),IF(ABS(F33-E33)&lt;=H33,"PASS","FAIL"),"FAIL")</f>
        <v>PASS</v>
      </c>
    </row>
    <row r="34" customFormat="false" ht="15" hidden="false" customHeight="false" outlineLevel="0" collapsed="false">
      <c r="B34" s="31" t="n">
        <v>26</v>
      </c>
      <c r="C34" s="9" t="s">
        <v>112</v>
      </c>
      <c r="D34" s="9" t="s">
        <v>139</v>
      </c>
      <c r="E34" s="42" t="n">
        <v>24</v>
      </c>
      <c r="F34" s="23" t="n">
        <f aca="false">Certificate!$C$30</f>
        <v>24</v>
      </c>
      <c r="G34" s="29" t="n">
        <f aca="false">IF(ISNUMBER(F34),F34-E34,"n/a")</f>
        <v>0</v>
      </c>
      <c r="H34" s="34" t="n">
        <v>0.500000001</v>
      </c>
      <c r="I34" s="35" t="str">
        <f aca="false">IF(ISNUMBER(F34),IF(ABS(F34-E34)&lt;=H34,"PASS","FAIL"),"FAIL")</f>
        <v>PASS</v>
      </c>
    </row>
    <row r="35" customFormat="false" ht="15" hidden="false" customHeight="false" outlineLevel="0" collapsed="false">
      <c r="B35" s="31" t="n">
        <v>27</v>
      </c>
      <c r="C35" s="9" t="s">
        <v>140</v>
      </c>
      <c r="D35" s="9" t="s">
        <v>141</v>
      </c>
      <c r="E35" s="13" t="n">
        <v>0.32</v>
      </c>
      <c r="F35" s="19" t="n">
        <f aca="false">Yield_Grid!$C$6</f>
        <v>0.320088355906301</v>
      </c>
      <c r="G35" s="29" t="n">
        <f aca="false">IF(ISNUMBER(F35),F35-E35,"n/a")</f>
        <v>8.83559063012407E-005</v>
      </c>
      <c r="H35" s="34" t="n">
        <v>0.000500001</v>
      </c>
      <c r="I35" s="35" t="str">
        <f aca="false">IF(ISNUMBER(F35),IF(ABS(F35-E35)&lt;=H35,"PASS","FAIL"),"FAIL")</f>
        <v>PASS</v>
      </c>
    </row>
    <row r="36" customFormat="false" ht="15" hidden="false" customHeight="false" outlineLevel="0" collapsed="false">
      <c r="B36" s="31" t="n">
        <v>28</v>
      </c>
      <c r="C36" s="9" t="s">
        <v>140</v>
      </c>
      <c r="D36" s="9" t="s">
        <v>142</v>
      </c>
      <c r="E36" s="13" t="n">
        <v>0.203</v>
      </c>
      <c r="F36" s="19" t="n">
        <f aca="false">Yield_Grid!$D$6</f>
        <v>0.203377813475434</v>
      </c>
      <c r="G36" s="29" t="n">
        <f aca="false">IF(ISNUMBER(F36),F36-E36,"n/a")</f>
        <v>0.000377813475434252</v>
      </c>
      <c r="H36" s="34" t="n">
        <v>0.000500001</v>
      </c>
      <c r="I36" s="35" t="str">
        <f aca="false">IF(ISNUMBER(F36),IF(ABS(F36-E36)&lt;=H36,"PASS","FAIL"),"FAIL")</f>
        <v>PASS</v>
      </c>
    </row>
    <row r="37" customFormat="false" ht="15" hidden="false" customHeight="false" outlineLevel="0" collapsed="false">
      <c r="B37" s="31" t="n">
        <v>29</v>
      </c>
      <c r="C37" s="9" t="s">
        <v>140</v>
      </c>
      <c r="D37" s="9" t="s">
        <v>143</v>
      </c>
      <c r="E37" s="13" t="n">
        <v>0.149</v>
      </c>
      <c r="F37" s="19" t="n">
        <f aca="false">Yield_Grid!$E$6</f>
        <v>0.148950980636839</v>
      </c>
      <c r="G37" s="29" t="n">
        <f aca="false">IF(ISNUMBER(F37),F37-E37,"n/a")</f>
        <v>-4.90193631614566E-005</v>
      </c>
      <c r="H37" s="34" t="n">
        <v>0.000500001</v>
      </c>
      <c r="I37" s="35" t="str">
        <f aca="false">IF(ISNUMBER(F37),IF(ABS(F37-E37)&lt;=H37,"PASS","FAIL"),"FAIL")</f>
        <v>PASS</v>
      </c>
    </row>
    <row r="38" customFormat="false" ht="15" hidden="false" customHeight="false" outlineLevel="0" collapsed="false">
      <c r="B38" s="31" t="n">
        <v>30</v>
      </c>
      <c r="C38" s="9" t="s">
        <v>140</v>
      </c>
      <c r="D38" s="9" t="s">
        <v>144</v>
      </c>
      <c r="E38" s="13" t="n">
        <v>0.154</v>
      </c>
      <c r="F38" s="19" t="n">
        <f aca="false">Yield_Grid!$F$6</f>
        <v>0.154232232820302</v>
      </c>
      <c r="G38" s="29" t="n">
        <f aca="false">IF(ISNUMBER(F38),F38-E38,"n/a")</f>
        <v>0.000232232820302297</v>
      </c>
      <c r="H38" s="34" t="n">
        <v>0.000500001</v>
      </c>
      <c r="I38" s="35" t="str">
        <f aca="false">IF(ISNUMBER(F38),IF(ABS(F38-E38)&lt;=H38,"PASS","FAIL"),"FAIL")</f>
        <v>PASS</v>
      </c>
    </row>
    <row r="39" customFormat="false" ht="15" hidden="false" customHeight="false" outlineLevel="0" collapsed="false">
      <c r="B39" s="31" t="n">
        <v>31</v>
      </c>
      <c r="C39" s="9" t="s">
        <v>140</v>
      </c>
      <c r="D39" s="9" t="s">
        <v>145</v>
      </c>
      <c r="E39" s="13" t="n">
        <v>0.161</v>
      </c>
      <c r="F39" s="19" t="n">
        <f aca="false">Yield_Grid!$G$6</f>
        <v>0.160615790618813</v>
      </c>
      <c r="G39" s="29" t="n">
        <f aca="false">IF(ISNUMBER(F39),F39-E39,"n/a")</f>
        <v>-0.000384209381187411</v>
      </c>
      <c r="H39" s="34" t="n">
        <v>0.000500001</v>
      </c>
      <c r="I39" s="35" t="str">
        <f aca="false">IF(ISNUMBER(F39),IF(ABS(F39-E39)&lt;=H39,"PASS","FAIL"),"FAIL")</f>
        <v>PASS</v>
      </c>
    </row>
    <row r="40" customFormat="false" ht="15" hidden="false" customHeight="false" outlineLevel="0" collapsed="false">
      <c r="B40" s="31" t="n">
        <v>32</v>
      </c>
      <c r="C40" s="9" t="s">
        <v>140</v>
      </c>
      <c r="D40" s="9" t="s">
        <v>146</v>
      </c>
      <c r="E40" s="13" t="n">
        <v>0.162</v>
      </c>
      <c r="F40" s="19" t="n">
        <f aca="false">Yield_Grid!$H$6</f>
        <v>0.162378522662206</v>
      </c>
      <c r="G40" s="29" t="n">
        <f aca="false">IF(ISNUMBER(F40),F40-E40,"n/a")</f>
        <v>0.000378522662206088</v>
      </c>
      <c r="H40" s="34" t="n">
        <v>0.000500001</v>
      </c>
      <c r="I40" s="35" t="str">
        <f aca="false">IF(ISNUMBER(F40),IF(ABS(F40-E40)&lt;=H40,"PASS","FAIL"),"FAIL")</f>
        <v>PASS</v>
      </c>
    </row>
    <row r="41" customFormat="false" ht="15" hidden="false" customHeight="false" outlineLevel="0" collapsed="false">
      <c r="B41" s="31" t="n">
        <v>33</v>
      </c>
      <c r="C41" s="9" t="s">
        <v>140</v>
      </c>
      <c r="D41" s="9" t="s">
        <v>147</v>
      </c>
      <c r="E41" s="13" t="n">
        <v>0.161</v>
      </c>
      <c r="F41" s="19" t="n">
        <f aca="false">Yield_Grid!$I$6</f>
        <v>0.161107906234798</v>
      </c>
      <c r="G41" s="29" t="n">
        <f aca="false">IF(ISNUMBER(F41),F41-E41,"n/a")</f>
        <v>0.000107906234797978</v>
      </c>
      <c r="H41" s="34" t="n">
        <v>0.000500001</v>
      </c>
      <c r="I41" s="35" t="str">
        <f aca="false">IF(ISNUMBER(F41),IF(ABS(F41-E41)&lt;=H41,"PASS","FAIL"),"FAIL")</f>
        <v>PASS</v>
      </c>
    </row>
    <row r="42" customFormat="false" ht="15" hidden="false" customHeight="false" outlineLevel="0" collapsed="false">
      <c r="B42" s="31" t="n">
        <v>34</v>
      </c>
      <c r="C42" s="9" t="s">
        <v>140</v>
      </c>
      <c r="D42" s="9" t="s">
        <v>148</v>
      </c>
      <c r="E42" s="13" t="n">
        <v>0.158</v>
      </c>
      <c r="F42" s="19" t="n">
        <f aca="false">Yield_Grid!$J$6</f>
        <v>0.157646738342723</v>
      </c>
      <c r="G42" s="29" t="n">
        <f aca="false">IF(ISNUMBER(F42),F42-E42,"n/a")</f>
        <v>-0.000353261657277087</v>
      </c>
      <c r="H42" s="34" t="n">
        <v>0.000500001</v>
      </c>
      <c r="I42" s="35" t="str">
        <f aca="false">IF(ISNUMBER(F42),IF(ABS(F42-E42)&lt;=H42,"PASS","FAIL"),"FAIL")</f>
        <v>PASS</v>
      </c>
    </row>
    <row r="43" customFormat="false" ht="15" hidden="false" customHeight="false" outlineLevel="0" collapsed="false">
      <c r="B43" s="31" t="n">
        <v>35</v>
      </c>
      <c r="C43" s="9" t="s">
        <v>140</v>
      </c>
      <c r="D43" s="9" t="s">
        <v>149</v>
      </c>
      <c r="E43" s="13" t="n">
        <v>0.32</v>
      </c>
      <c r="F43" s="19" t="n">
        <f aca="false">Yield_Grid!$C$7</f>
        <v>0.320088355906301</v>
      </c>
      <c r="G43" s="29" t="n">
        <f aca="false">IF(ISNUMBER(F43),F43-E43,"n/a")</f>
        <v>8.83559063012407E-005</v>
      </c>
      <c r="H43" s="34" t="n">
        <v>0.000500001</v>
      </c>
      <c r="I43" s="35" t="str">
        <f aca="false">IF(ISNUMBER(F43),IF(ABS(F43-E43)&lt;=H43,"PASS","FAIL"),"FAIL")</f>
        <v>PASS</v>
      </c>
    </row>
    <row r="44" customFormat="false" ht="15" hidden="false" customHeight="false" outlineLevel="0" collapsed="false">
      <c r="B44" s="31" t="n">
        <v>36</v>
      </c>
      <c r="C44" s="9" t="s">
        <v>140</v>
      </c>
      <c r="D44" s="9" t="s">
        <v>150</v>
      </c>
      <c r="E44" s="13" t="n">
        <v>0.203</v>
      </c>
      <c r="F44" s="19" t="n">
        <f aca="false">Yield_Grid!$D$7</f>
        <v>0.203377813475434</v>
      </c>
      <c r="G44" s="29" t="n">
        <f aca="false">IF(ISNUMBER(F44),F44-E44,"n/a")</f>
        <v>0.000377813475434252</v>
      </c>
      <c r="H44" s="34" t="n">
        <v>0.000500001</v>
      </c>
      <c r="I44" s="35" t="str">
        <f aca="false">IF(ISNUMBER(F44),IF(ABS(F44-E44)&lt;=H44,"PASS","FAIL"),"FAIL")</f>
        <v>PASS</v>
      </c>
    </row>
    <row r="45" customFormat="false" ht="15" hidden="false" customHeight="false" outlineLevel="0" collapsed="false">
      <c r="B45" s="31" t="n">
        <v>37</v>
      </c>
      <c r="C45" s="9" t="s">
        <v>140</v>
      </c>
      <c r="D45" s="9" t="s">
        <v>151</v>
      </c>
      <c r="E45" s="13" t="n">
        <v>0.149</v>
      </c>
      <c r="F45" s="19" t="n">
        <f aca="false">Yield_Grid!$E$7</f>
        <v>0.148950980636839</v>
      </c>
      <c r="G45" s="29" t="n">
        <f aca="false">IF(ISNUMBER(F45),F45-E45,"n/a")</f>
        <v>-4.90193631614566E-005</v>
      </c>
      <c r="H45" s="34" t="n">
        <v>0.000500001</v>
      </c>
      <c r="I45" s="35" t="str">
        <f aca="false">IF(ISNUMBER(F45),IF(ABS(F45-E45)&lt;=H45,"PASS","FAIL"),"FAIL")</f>
        <v>PASS</v>
      </c>
    </row>
    <row r="46" customFormat="false" ht="15" hidden="false" customHeight="false" outlineLevel="0" collapsed="false">
      <c r="B46" s="31" t="n">
        <v>38</v>
      </c>
      <c r="C46" s="9" t="s">
        <v>140</v>
      </c>
      <c r="D46" s="9" t="s">
        <v>152</v>
      </c>
      <c r="E46" s="13" t="n">
        <v>0.1</v>
      </c>
      <c r="F46" s="19" t="n">
        <f aca="false">Yield_Grid!$F$7</f>
        <v>0.100309773772532</v>
      </c>
      <c r="G46" s="29" t="n">
        <f aca="false">IF(ISNUMBER(F46),F46-E46,"n/a")</f>
        <v>0.000309773772532246</v>
      </c>
      <c r="H46" s="34" t="n">
        <v>0.000500001</v>
      </c>
      <c r="I46" s="35" t="str">
        <f aca="false">IF(ISNUMBER(F46),IF(ABS(F46-E46)&lt;=H46,"PASS","FAIL"),"FAIL")</f>
        <v>PASS</v>
      </c>
    </row>
    <row r="47" customFormat="false" ht="15" hidden="false" customHeight="false" outlineLevel="0" collapsed="false">
      <c r="B47" s="31" t="n">
        <v>39</v>
      </c>
      <c r="C47" s="9" t="s">
        <v>140</v>
      </c>
      <c r="D47" s="9" t="s">
        <v>153</v>
      </c>
      <c r="E47" s="13" t="n">
        <v>0.106</v>
      </c>
      <c r="F47" s="19" t="n">
        <f aca="false">Yield_Grid!$G$7</f>
        <v>0.105618351547702</v>
      </c>
      <c r="G47" s="29" t="n">
        <f aca="false">IF(ISNUMBER(F47),F47-E47,"n/a")</f>
        <v>-0.000381648452298392</v>
      </c>
      <c r="H47" s="34" t="n">
        <v>0.000500001</v>
      </c>
      <c r="I47" s="35" t="str">
        <f aca="false">IF(ISNUMBER(F47),IF(ABS(F47-E47)&lt;=H47,"PASS","FAIL"),"FAIL")</f>
        <v>PASS</v>
      </c>
    </row>
    <row r="48" customFormat="false" ht="15" hidden="false" customHeight="false" outlineLevel="0" collapsed="false">
      <c r="B48" s="31" t="n">
        <v>40</v>
      </c>
      <c r="C48" s="9" t="s">
        <v>140</v>
      </c>
      <c r="D48" s="9" t="s">
        <v>154</v>
      </c>
      <c r="E48" s="13" t="n">
        <v>0.108</v>
      </c>
      <c r="F48" s="19" t="n">
        <f aca="false">Yield_Grid!$H$7</f>
        <v>0.107712293742273</v>
      </c>
      <c r="G48" s="29" t="n">
        <f aca="false">IF(ISNUMBER(F48),F48-E48,"n/a")</f>
        <v>-0.000287706257727463</v>
      </c>
      <c r="H48" s="34" t="n">
        <v>0.000500001</v>
      </c>
      <c r="I48" s="35" t="str">
        <f aca="false">IF(ISNUMBER(F48),IF(ABS(F48-E48)&lt;=H48,"PASS","FAIL"),"FAIL")</f>
        <v>PASS</v>
      </c>
    </row>
    <row r="49" customFormat="false" ht="15" hidden="false" customHeight="false" outlineLevel="0" collapsed="false">
      <c r="B49" s="31" t="n">
        <v>41</v>
      </c>
      <c r="C49" s="9" t="s">
        <v>140</v>
      </c>
      <c r="D49" s="9" t="s">
        <v>155</v>
      </c>
      <c r="E49" s="13" t="n">
        <v>0.108</v>
      </c>
      <c r="F49" s="19" t="n">
        <f aca="false">Yield_Grid!$I$7</f>
        <v>0.108438239693788</v>
      </c>
      <c r="G49" s="29" t="n">
        <f aca="false">IF(ISNUMBER(F49),F49-E49,"n/a")</f>
        <v>0.000438239693787743</v>
      </c>
      <c r="H49" s="34" t="n">
        <v>0.000500001</v>
      </c>
      <c r="I49" s="35" t="str">
        <f aca="false">IF(ISNUMBER(F49),IF(ABS(F49-E49)&lt;=H49,"PASS","FAIL"),"FAIL")</f>
        <v>PASS</v>
      </c>
    </row>
    <row r="50" customFormat="false" ht="15" hidden="false" customHeight="false" outlineLevel="0" collapsed="false">
      <c r="B50" s="31" t="n">
        <v>42</v>
      </c>
      <c r="C50" s="9" t="s">
        <v>140</v>
      </c>
      <c r="D50" s="9" t="s">
        <v>156</v>
      </c>
      <c r="E50" s="13" t="n">
        <v>0.107</v>
      </c>
      <c r="F50" s="19" t="n">
        <f aca="false">Yield_Grid!$J$7</f>
        <v>0.107438927632619</v>
      </c>
      <c r="G50" s="29" t="n">
        <f aca="false">IF(ISNUMBER(F50),F50-E50,"n/a")</f>
        <v>0.000438927632618866</v>
      </c>
      <c r="H50" s="34" t="n">
        <v>0.000500001</v>
      </c>
      <c r="I50" s="35" t="str">
        <f aca="false">IF(ISNUMBER(F50),IF(ABS(F50-E50)&lt;=H50,"PASS","FAIL"),"FAIL")</f>
        <v>PASS</v>
      </c>
    </row>
    <row r="51" customFormat="false" ht="15" hidden="false" customHeight="false" outlineLevel="0" collapsed="false">
      <c r="B51" s="31" t="n">
        <v>43</v>
      </c>
      <c r="C51" s="9" t="s">
        <v>140</v>
      </c>
      <c r="D51" s="9" t="s">
        <v>157</v>
      </c>
      <c r="E51" s="13" t="n">
        <v>0.32</v>
      </c>
      <c r="F51" s="19" t="n">
        <f aca="false">Yield_Grid!$C$8</f>
        <v>0.320088355906301</v>
      </c>
      <c r="G51" s="29" t="n">
        <f aca="false">IF(ISNUMBER(F51),F51-E51,"n/a")</f>
        <v>8.83559063012407E-005</v>
      </c>
      <c r="H51" s="34" t="n">
        <v>0.000500001</v>
      </c>
      <c r="I51" s="35" t="str">
        <f aca="false">IF(ISNUMBER(F51),IF(ABS(F51-E51)&lt;=H51,"PASS","FAIL"),"FAIL")</f>
        <v>PASS</v>
      </c>
    </row>
    <row r="52" customFormat="false" ht="15" hidden="false" customHeight="false" outlineLevel="0" collapsed="false">
      <c r="B52" s="31" t="n">
        <v>44</v>
      </c>
      <c r="C52" s="9" t="s">
        <v>140</v>
      </c>
      <c r="D52" s="9" t="s">
        <v>158</v>
      </c>
      <c r="E52" s="13" t="n">
        <v>0.203</v>
      </c>
      <c r="F52" s="19" t="n">
        <f aca="false">Yield_Grid!$D$8</f>
        <v>0.203377813475434</v>
      </c>
      <c r="G52" s="29" t="n">
        <f aca="false">IF(ISNUMBER(F52),F52-E52,"n/a")</f>
        <v>0.000377813475434252</v>
      </c>
      <c r="H52" s="34" t="n">
        <v>0.000500001</v>
      </c>
      <c r="I52" s="35" t="str">
        <f aca="false">IF(ISNUMBER(F52),IF(ABS(F52-E52)&lt;=H52,"PASS","FAIL"),"FAIL")</f>
        <v>PASS</v>
      </c>
    </row>
    <row r="53" customFormat="false" ht="15" hidden="false" customHeight="false" outlineLevel="0" collapsed="false">
      <c r="B53" s="31" t="n">
        <v>45</v>
      </c>
      <c r="C53" s="9" t="s">
        <v>140</v>
      </c>
      <c r="D53" s="9" t="s">
        <v>159</v>
      </c>
      <c r="E53" s="13" t="n">
        <v>0.149</v>
      </c>
      <c r="F53" s="19" t="n">
        <f aca="false">Yield_Grid!$E$8</f>
        <v>0.148950980636839</v>
      </c>
      <c r="G53" s="29" t="n">
        <f aca="false">IF(ISNUMBER(F53),F53-E53,"n/a")</f>
        <v>-4.90193631614566E-005</v>
      </c>
      <c r="H53" s="34" t="n">
        <v>0.000500001</v>
      </c>
      <c r="I53" s="35" t="str">
        <f aca="false">IF(ISNUMBER(F53),IF(ABS(F53-E53)&lt;=H53,"PASS","FAIL"),"FAIL")</f>
        <v>PASS</v>
      </c>
    </row>
    <row r="54" customFormat="false" ht="15" hidden="false" customHeight="false" outlineLevel="0" collapsed="false">
      <c r="B54" s="31" t="n">
        <v>46</v>
      </c>
      <c r="C54" s="9" t="s">
        <v>140</v>
      </c>
      <c r="D54" s="9" t="s">
        <v>160</v>
      </c>
      <c r="E54" s="13" t="n">
        <v>0.083</v>
      </c>
      <c r="F54" s="19" t="n">
        <f aca="false">Yield_Grid!$F$8</f>
        <v>0.0825750159892598</v>
      </c>
      <c r="G54" s="29" t="n">
        <f aca="false">IF(ISNUMBER(F54),F54-E54,"n/a")</f>
        <v>-0.000424984010740245</v>
      </c>
      <c r="H54" s="34" t="n">
        <v>0.000500001</v>
      </c>
      <c r="I54" s="35" t="str">
        <f aca="false">IF(ISNUMBER(F54),IF(ABS(F54-E54)&lt;=H54,"PASS","FAIL"),"FAIL")</f>
        <v>PASS</v>
      </c>
    </row>
    <row r="55" customFormat="false" ht="15" hidden="false" customHeight="false" outlineLevel="0" collapsed="false">
      <c r="B55" s="31" t="n">
        <v>47</v>
      </c>
      <c r="C55" s="9" t="s">
        <v>140</v>
      </c>
      <c r="D55" s="9" t="s">
        <v>161</v>
      </c>
      <c r="E55" s="13" t="n">
        <v>0.078</v>
      </c>
      <c r="F55" s="19" t="n">
        <f aca="false">Yield_Grid!$G$8</f>
        <v>0.0782883216059687</v>
      </c>
      <c r="G55" s="29" t="n">
        <f aca="false">IF(ISNUMBER(F55),F55-E55,"n/a")</f>
        <v>0.000288321605968658</v>
      </c>
      <c r="H55" s="34" t="n">
        <v>0.000500001</v>
      </c>
      <c r="I55" s="35" t="str">
        <f aca="false">IF(ISNUMBER(F55),IF(ABS(F55-E55)&lt;=H55,"PASS","FAIL"),"FAIL")</f>
        <v>PASS</v>
      </c>
    </row>
    <row r="56" customFormat="false" ht="15" hidden="false" customHeight="false" outlineLevel="0" collapsed="false">
      <c r="B56" s="31" t="n">
        <v>48</v>
      </c>
      <c r="C56" s="9" t="s">
        <v>140</v>
      </c>
      <c r="D56" s="9" t="s">
        <v>162</v>
      </c>
      <c r="E56" s="13" t="n">
        <v>0.08</v>
      </c>
      <c r="F56" s="19" t="n">
        <f aca="false">Yield_Grid!$H$8</f>
        <v>0.0802953116519898</v>
      </c>
      <c r="G56" s="29" t="n">
        <f aca="false">IF(ISNUMBER(F56),F56-E56,"n/a")</f>
        <v>0.000295311651989774</v>
      </c>
      <c r="H56" s="34" t="n">
        <v>0.000500001</v>
      </c>
      <c r="I56" s="35" t="str">
        <f aca="false">IF(ISNUMBER(F56),IF(ABS(F56-E56)&lt;=H56,"PASS","FAIL"),"FAIL")</f>
        <v>PASS</v>
      </c>
    </row>
    <row r="57" customFormat="false" ht="15" hidden="false" customHeight="false" outlineLevel="0" collapsed="false">
      <c r="B57" s="31" t="n">
        <v>49</v>
      </c>
      <c r="C57" s="9" t="s">
        <v>140</v>
      </c>
      <c r="D57" s="9" t="s">
        <v>163</v>
      </c>
      <c r="E57" s="13" t="n">
        <v>0.082</v>
      </c>
      <c r="F57" s="19" t="n">
        <f aca="false">Yield_Grid!$I$8</f>
        <v>0.0815499107065969</v>
      </c>
      <c r="G57" s="29" t="n">
        <f aca="false">IF(ISNUMBER(F57),F57-E57,"n/a")</f>
        <v>-0.000450089293403094</v>
      </c>
      <c r="H57" s="34" t="n">
        <v>0.000500001</v>
      </c>
      <c r="I57" s="35" t="str">
        <f aca="false">IF(ISNUMBER(F57),IF(ABS(F57-E57)&lt;=H57,"PASS","FAIL"),"FAIL")</f>
        <v>PASS</v>
      </c>
    </row>
    <row r="58" customFormat="false" ht="15" hidden="false" customHeight="false" outlineLevel="0" collapsed="false">
      <c r="B58" s="31" t="n">
        <v>50</v>
      </c>
      <c r="C58" s="9" t="s">
        <v>140</v>
      </c>
      <c r="D58" s="9" t="s">
        <v>164</v>
      </c>
      <c r="E58" s="13" t="n">
        <v>0.081</v>
      </c>
      <c r="F58" s="19" t="n">
        <f aca="false">Yield_Grid!$J$8</f>
        <v>0.0813859930995489</v>
      </c>
      <c r="G58" s="29" t="n">
        <f aca="false">IF(ISNUMBER(F58),F58-E58,"n/a")</f>
        <v>0.000385993099548856</v>
      </c>
      <c r="H58" s="34" t="n">
        <v>0.000500001</v>
      </c>
      <c r="I58" s="35" t="str">
        <f aca="false">IF(ISNUMBER(F58),IF(ABS(F58-E58)&lt;=H58,"PASS","FAIL"),"FAIL")</f>
        <v>PASS</v>
      </c>
    </row>
    <row r="59" customFormat="false" ht="15" hidden="false" customHeight="false" outlineLevel="0" collapsed="false">
      <c r="B59" s="31" t="n">
        <v>51</v>
      </c>
      <c r="C59" s="9" t="s">
        <v>140</v>
      </c>
      <c r="D59" s="9" t="s">
        <v>165</v>
      </c>
      <c r="E59" s="13" t="n">
        <v>0.32</v>
      </c>
      <c r="F59" s="19" t="n">
        <f aca="false">Yield_Grid!$C$9</f>
        <v>0.320088355906301</v>
      </c>
      <c r="G59" s="29" t="n">
        <f aca="false">IF(ISNUMBER(F59),F59-E59,"n/a")</f>
        <v>8.83559063012407E-005</v>
      </c>
      <c r="H59" s="34" t="n">
        <v>0.000500001</v>
      </c>
      <c r="I59" s="35" t="str">
        <f aca="false">IF(ISNUMBER(F59),IF(ABS(F59-E59)&lt;=H59,"PASS","FAIL"),"FAIL")</f>
        <v>PASS</v>
      </c>
    </row>
    <row r="60" customFormat="false" ht="15" hidden="false" customHeight="false" outlineLevel="0" collapsed="false">
      <c r="B60" s="31" t="n">
        <v>52</v>
      </c>
      <c r="C60" s="9" t="s">
        <v>140</v>
      </c>
      <c r="D60" s="9" t="s">
        <v>166</v>
      </c>
      <c r="E60" s="13" t="n">
        <v>0.203</v>
      </c>
      <c r="F60" s="19" t="n">
        <f aca="false">Yield_Grid!$D$9</f>
        <v>0.203377813475434</v>
      </c>
      <c r="G60" s="29" t="n">
        <f aca="false">IF(ISNUMBER(F60),F60-E60,"n/a")</f>
        <v>0.000377813475434252</v>
      </c>
      <c r="H60" s="34" t="n">
        <v>0.000500001</v>
      </c>
      <c r="I60" s="35" t="str">
        <f aca="false">IF(ISNUMBER(F60),IF(ABS(F60-E60)&lt;=H60,"PASS","FAIL"),"FAIL")</f>
        <v>PASS</v>
      </c>
    </row>
    <row r="61" customFormat="false" ht="15" hidden="false" customHeight="false" outlineLevel="0" collapsed="false">
      <c r="B61" s="31" t="n">
        <v>53</v>
      </c>
      <c r="C61" s="9" t="s">
        <v>140</v>
      </c>
      <c r="D61" s="9" t="s">
        <v>167</v>
      </c>
      <c r="E61" s="13" t="n">
        <v>0.149</v>
      </c>
      <c r="F61" s="19" t="n">
        <f aca="false">Yield_Grid!$E$9</f>
        <v>0.148950980636839</v>
      </c>
      <c r="G61" s="29" t="n">
        <f aca="false">IF(ISNUMBER(F61),F61-E61,"n/a")</f>
        <v>-4.90193631614566E-005</v>
      </c>
      <c r="H61" s="34" t="n">
        <v>0.000500001</v>
      </c>
      <c r="I61" s="35" t="str">
        <f aca="false">IF(ISNUMBER(F61),IF(ABS(F61-E61)&lt;=H61,"PASS","FAIL"),"FAIL")</f>
        <v>PASS</v>
      </c>
    </row>
    <row r="62" customFormat="false" ht="15" hidden="false" customHeight="false" outlineLevel="0" collapsed="false">
      <c r="B62" s="31" t="n">
        <v>54</v>
      </c>
      <c r="C62" s="9" t="s">
        <v>140</v>
      </c>
      <c r="D62" s="9" t="s">
        <v>168</v>
      </c>
      <c r="E62" s="13" t="n">
        <v>0.083</v>
      </c>
      <c r="F62" s="19" t="n">
        <f aca="false">Yield_Grid!$F$9</f>
        <v>0.0825750159892598</v>
      </c>
      <c r="G62" s="29" t="n">
        <f aca="false">IF(ISNUMBER(F62),F62-E62,"n/a")</f>
        <v>-0.000424984010740245</v>
      </c>
      <c r="H62" s="34" t="n">
        <v>0.000500001</v>
      </c>
      <c r="I62" s="35" t="str">
        <f aca="false">IF(ISNUMBER(F62),IF(ABS(F62-E62)&lt;=H62,"PASS","FAIL"),"FAIL")</f>
        <v>PASS</v>
      </c>
    </row>
    <row r="63" customFormat="false" ht="15" hidden="false" customHeight="false" outlineLevel="0" collapsed="false">
      <c r="B63" s="31" t="n">
        <v>55</v>
      </c>
      <c r="C63" s="9" t="s">
        <v>140</v>
      </c>
      <c r="D63" s="9" t="s">
        <v>169</v>
      </c>
      <c r="E63" s="13" t="n">
        <v>0.057</v>
      </c>
      <c r="F63" s="19" t="n">
        <f aca="false">Yield_Grid!$G$9</f>
        <v>0.0571110196248101</v>
      </c>
      <c r="G63" s="29" t="n">
        <f aca="false">IF(ISNUMBER(F63),F63-E63,"n/a")</f>
        <v>0.000111019624810131</v>
      </c>
      <c r="H63" s="34" t="n">
        <v>0.000500001</v>
      </c>
      <c r="I63" s="35" t="str">
        <f aca="false">IF(ISNUMBER(F63),IF(ABS(F63-E63)&lt;=H63,"PASS","FAIL"),"FAIL")</f>
        <v>PASS</v>
      </c>
    </row>
    <row r="64" customFormat="false" ht="15" hidden="false" customHeight="false" outlineLevel="0" collapsed="false">
      <c r="B64" s="31" t="n">
        <v>56</v>
      </c>
      <c r="C64" s="9" t="s">
        <v>140</v>
      </c>
      <c r="D64" s="9" t="s">
        <v>170</v>
      </c>
      <c r="E64" s="13" t="n">
        <v>0.053</v>
      </c>
      <c r="F64" s="19" t="n">
        <f aca="false">Yield_Grid!$H$9</f>
        <v>0.0528202146100607</v>
      </c>
      <c r="G64" s="29" t="n">
        <f aca="false">IF(ISNUMBER(F64),F64-E64,"n/a")</f>
        <v>-0.000179785389939298</v>
      </c>
      <c r="H64" s="34" t="n">
        <v>0.000500001</v>
      </c>
      <c r="I64" s="35" t="str">
        <f aca="false">IF(ISNUMBER(F64),IF(ABS(F64-E64)&lt;=H64,"PASS","FAIL"),"FAIL")</f>
        <v>PASS</v>
      </c>
    </row>
    <row r="65" customFormat="false" ht="15" hidden="false" customHeight="false" outlineLevel="0" collapsed="false">
      <c r="B65" s="31" t="n">
        <v>57</v>
      </c>
      <c r="C65" s="9" t="s">
        <v>140</v>
      </c>
      <c r="D65" s="9" t="s">
        <v>171</v>
      </c>
      <c r="E65" s="13" t="n">
        <v>0.054</v>
      </c>
      <c r="F65" s="19" t="n">
        <f aca="false">Yield_Grid!$I$9</f>
        <v>0.054265817581568</v>
      </c>
      <c r="G65" s="29" t="n">
        <f aca="false">IF(ISNUMBER(F65),F65-E65,"n/a")</f>
        <v>0.000265817581567997</v>
      </c>
      <c r="H65" s="34" t="n">
        <v>0.000500001</v>
      </c>
      <c r="I65" s="35" t="str">
        <f aca="false">IF(ISNUMBER(F65),IF(ABS(F65-E65)&lt;=H65,"PASS","FAIL"),"FAIL")</f>
        <v>PASS</v>
      </c>
    </row>
    <row r="66" customFormat="false" ht="15" hidden="false" customHeight="false" outlineLevel="0" collapsed="false">
      <c r="B66" s="31" t="n">
        <v>58</v>
      </c>
      <c r="C66" s="9" t="s">
        <v>140</v>
      </c>
      <c r="D66" s="9" t="s">
        <v>172</v>
      </c>
      <c r="E66" s="13" t="n">
        <v>0.055</v>
      </c>
      <c r="F66" s="19" t="n">
        <f aca="false">Yield_Grid!$J$9</f>
        <v>0.0546346290807365</v>
      </c>
      <c r="G66" s="29" t="n">
        <f aca="false">IF(ISNUMBER(F66),F66-E66,"n/a")</f>
        <v>-0.000365370919263537</v>
      </c>
      <c r="H66" s="34" t="n">
        <v>0.000500001</v>
      </c>
      <c r="I66" s="35" t="str">
        <f aca="false">IF(ISNUMBER(F66),IF(ABS(F66-E66)&lt;=H66,"PASS","FAIL"),"FAIL")</f>
        <v>PASS</v>
      </c>
    </row>
    <row r="67" customFormat="false" ht="15" hidden="false" customHeight="false" outlineLevel="0" collapsed="false">
      <c r="B67" s="31" t="n">
        <v>59</v>
      </c>
      <c r="C67" s="9" t="s">
        <v>140</v>
      </c>
      <c r="D67" s="9" t="s">
        <v>173</v>
      </c>
      <c r="E67" s="13" t="n">
        <v>0.32</v>
      </c>
      <c r="F67" s="19" t="n">
        <f aca="false">Yield_Grid!$C$10</f>
        <v>0.320088355906301</v>
      </c>
      <c r="G67" s="29" t="n">
        <f aca="false">IF(ISNUMBER(F67),F67-E67,"n/a")</f>
        <v>8.83559063012407E-005</v>
      </c>
      <c r="H67" s="34" t="n">
        <v>0.000500001</v>
      </c>
      <c r="I67" s="35" t="str">
        <f aca="false">IF(ISNUMBER(F67),IF(ABS(F67-E67)&lt;=H67,"PASS","FAIL"),"FAIL")</f>
        <v>PASS</v>
      </c>
    </row>
    <row r="68" customFormat="false" ht="15" hidden="false" customHeight="false" outlineLevel="0" collapsed="false">
      <c r="B68" s="31" t="n">
        <v>60</v>
      </c>
      <c r="C68" s="9" t="s">
        <v>140</v>
      </c>
      <c r="D68" s="9" t="s">
        <v>174</v>
      </c>
      <c r="E68" s="13" t="n">
        <v>0.203</v>
      </c>
      <c r="F68" s="19" t="n">
        <f aca="false">Yield_Grid!$D$10</f>
        <v>0.203377813475434</v>
      </c>
      <c r="G68" s="29" t="n">
        <f aca="false">IF(ISNUMBER(F68),F68-E68,"n/a")</f>
        <v>0.000377813475434252</v>
      </c>
      <c r="H68" s="34" t="n">
        <v>0.000500001</v>
      </c>
      <c r="I68" s="35" t="str">
        <f aca="false">IF(ISNUMBER(F68),IF(ABS(F68-E68)&lt;=H68,"PASS","FAIL"),"FAIL")</f>
        <v>PASS</v>
      </c>
    </row>
    <row r="69" customFormat="false" ht="15" hidden="false" customHeight="false" outlineLevel="0" collapsed="false">
      <c r="B69" s="31" t="n">
        <v>61</v>
      </c>
      <c r="C69" s="9" t="s">
        <v>140</v>
      </c>
      <c r="D69" s="9" t="s">
        <v>175</v>
      </c>
      <c r="E69" s="13" t="n">
        <v>0.149</v>
      </c>
      <c r="F69" s="19" t="n">
        <f aca="false">Yield_Grid!$E$10</f>
        <v>0.148950980636839</v>
      </c>
      <c r="G69" s="29" t="n">
        <f aca="false">IF(ISNUMBER(F69),F69-E69,"n/a")</f>
        <v>-4.90193631614566E-005</v>
      </c>
      <c r="H69" s="34" t="n">
        <v>0.000500001</v>
      </c>
      <c r="I69" s="35" t="str">
        <f aca="false">IF(ISNUMBER(F69),IF(ABS(F69-E69)&lt;=H69,"PASS","FAIL"),"FAIL")</f>
        <v>PASS</v>
      </c>
    </row>
    <row r="70" customFormat="false" ht="15" hidden="false" customHeight="false" outlineLevel="0" collapsed="false">
      <c r="B70" s="31" t="n">
        <v>62</v>
      </c>
      <c r="C70" s="9" t="s">
        <v>140</v>
      </c>
      <c r="D70" s="9" t="s">
        <v>176</v>
      </c>
      <c r="E70" s="13" t="n">
        <v>0.083</v>
      </c>
      <c r="F70" s="19" t="n">
        <f aca="false">Yield_Grid!$F$10</f>
        <v>0.0825750159892598</v>
      </c>
      <c r="G70" s="29" t="n">
        <f aca="false">IF(ISNUMBER(F70),F70-E70,"n/a")</f>
        <v>-0.000424984010740245</v>
      </c>
      <c r="H70" s="34" t="n">
        <v>0.000500001</v>
      </c>
      <c r="I70" s="35" t="str">
        <f aca="false">IF(ISNUMBER(F70),IF(ABS(F70-E70)&lt;=H70,"PASS","FAIL"),"FAIL")</f>
        <v>PASS</v>
      </c>
    </row>
    <row r="71" customFormat="false" ht="15" hidden="false" customHeight="false" outlineLevel="0" collapsed="false">
      <c r="B71" s="31" t="n">
        <v>63</v>
      </c>
      <c r="C71" s="9" t="s">
        <v>140</v>
      </c>
      <c r="D71" s="9" t="s">
        <v>177</v>
      </c>
      <c r="E71" s="13" t="n">
        <v>0.057</v>
      </c>
      <c r="F71" s="19" t="n">
        <f aca="false">Yield_Grid!$G$10</f>
        <v>0.0571110196248101</v>
      </c>
      <c r="G71" s="29" t="n">
        <f aca="false">IF(ISNUMBER(F71),F71-E71,"n/a")</f>
        <v>0.000111019624810131</v>
      </c>
      <c r="H71" s="34" t="n">
        <v>0.000500001</v>
      </c>
      <c r="I71" s="35" t="str">
        <f aca="false">IF(ISNUMBER(F71),IF(ABS(F71-E71)&lt;=H71,"PASS","FAIL"),"FAIL")</f>
        <v>PASS</v>
      </c>
    </row>
    <row r="72" customFormat="false" ht="15" hidden="false" customHeight="false" outlineLevel="0" collapsed="false">
      <c r="B72" s="31" t="n">
        <v>64</v>
      </c>
      <c r="C72" s="9" t="s">
        <v>140</v>
      </c>
      <c r="D72" s="9" t="s">
        <v>178</v>
      </c>
      <c r="E72" s="13" t="n">
        <v>0.044</v>
      </c>
      <c r="F72" s="19" t="n">
        <f aca="false">Yield_Grid!$H$10</f>
        <v>0.0436486309387791</v>
      </c>
      <c r="G72" s="29" t="n">
        <f aca="false">IF(ISNUMBER(F72),F72-E72,"n/a")</f>
        <v>-0.000351369061220866</v>
      </c>
      <c r="H72" s="34" t="n">
        <v>0.000500001</v>
      </c>
      <c r="I72" s="35" t="str">
        <f aca="false">IF(ISNUMBER(F72),IF(ABS(F72-E72)&lt;=H72,"PASS","FAIL"),"FAIL")</f>
        <v>PASS</v>
      </c>
    </row>
    <row r="73" customFormat="false" ht="15" hidden="false" customHeight="false" outlineLevel="0" collapsed="false">
      <c r="B73" s="31" t="n">
        <v>65</v>
      </c>
      <c r="C73" s="9" t="s">
        <v>140</v>
      </c>
      <c r="D73" s="9" t="s">
        <v>179</v>
      </c>
      <c r="E73" s="13" t="n">
        <v>0.03</v>
      </c>
      <c r="F73" s="19" t="n">
        <f aca="false">Yield_Grid!$I$10</f>
        <v>0.0296628710624023</v>
      </c>
      <c r="G73" s="29" t="n">
        <f aca="false">IF(ISNUMBER(F73),F73-E73,"n/a")</f>
        <v>-0.000337128937597714</v>
      </c>
      <c r="H73" s="34" t="n">
        <v>0.000500001</v>
      </c>
      <c r="I73" s="35" t="str">
        <f aca="false">IF(ISNUMBER(F73),IF(ABS(F73-E73)&lt;=H73,"PASS","FAIL"),"FAIL")</f>
        <v>PASS</v>
      </c>
    </row>
    <row r="74" customFormat="false" ht="15" hidden="false" customHeight="false" outlineLevel="0" collapsed="false">
      <c r="B74" s="31" t="n">
        <v>66</v>
      </c>
      <c r="C74" s="9" t="s">
        <v>140</v>
      </c>
      <c r="D74" s="9" t="s">
        <v>180</v>
      </c>
      <c r="E74" s="13" t="n">
        <v>0.027</v>
      </c>
      <c r="F74" s="19" t="n">
        <f aca="false">Yield_Grid!$J$10</f>
        <v>0.0271271091838678</v>
      </c>
      <c r="G74" s="29" t="n">
        <f aca="false">IF(ISNUMBER(F74),F74-E74,"n/a")</f>
        <v>0.000127109183867848</v>
      </c>
      <c r="H74" s="34" t="n">
        <v>0.000500001</v>
      </c>
      <c r="I74" s="35" t="str">
        <f aca="false">IF(ISNUMBER(F74),IF(ABS(F74-E74)&lt;=H74,"PASS","FAIL"),"FAIL")</f>
        <v>PASS</v>
      </c>
    </row>
    <row r="75" customFormat="false" ht="15" hidden="false" customHeight="false" outlineLevel="0" collapsed="false">
      <c r="B75" s="31" t="n">
        <v>67</v>
      </c>
      <c r="C75" s="9" t="s">
        <v>140</v>
      </c>
      <c r="D75" s="9" t="s">
        <v>181</v>
      </c>
      <c r="E75" s="13" t="n">
        <v>0.32</v>
      </c>
      <c r="F75" s="19" t="n">
        <f aca="false">Yield_Grid!$C$11</f>
        <v>0.320088355906301</v>
      </c>
      <c r="G75" s="29" t="n">
        <f aca="false">IF(ISNUMBER(F75),F75-E75,"n/a")</f>
        <v>8.83559063012407E-005</v>
      </c>
      <c r="H75" s="34" t="n">
        <v>0.000500001</v>
      </c>
      <c r="I75" s="35" t="str">
        <f aca="false">IF(ISNUMBER(F75),IF(ABS(F75-E75)&lt;=H75,"PASS","FAIL"),"FAIL")</f>
        <v>PASS</v>
      </c>
    </row>
    <row r="76" customFormat="false" ht="15" hidden="false" customHeight="false" outlineLevel="0" collapsed="false">
      <c r="B76" s="31" t="n">
        <v>68</v>
      </c>
      <c r="C76" s="9" t="s">
        <v>140</v>
      </c>
      <c r="D76" s="9" t="s">
        <v>182</v>
      </c>
      <c r="E76" s="13" t="n">
        <v>0.203</v>
      </c>
      <c r="F76" s="19" t="n">
        <f aca="false">Yield_Grid!$D$11</f>
        <v>0.203377813475434</v>
      </c>
      <c r="G76" s="29" t="n">
        <f aca="false">IF(ISNUMBER(F76),F76-E76,"n/a")</f>
        <v>0.000377813475434252</v>
      </c>
      <c r="H76" s="34" t="n">
        <v>0.000500001</v>
      </c>
      <c r="I76" s="35" t="str">
        <f aca="false">IF(ISNUMBER(F76),IF(ABS(F76-E76)&lt;=H76,"PASS","FAIL"),"FAIL")</f>
        <v>PASS</v>
      </c>
    </row>
    <row r="77" customFormat="false" ht="15" hidden="false" customHeight="false" outlineLevel="0" collapsed="false">
      <c r="B77" s="31" t="n">
        <v>69</v>
      </c>
      <c r="C77" s="9" t="s">
        <v>140</v>
      </c>
      <c r="D77" s="9" t="s">
        <v>183</v>
      </c>
      <c r="E77" s="13" t="n">
        <v>0.149</v>
      </c>
      <c r="F77" s="19" t="n">
        <f aca="false">Yield_Grid!$E$11</f>
        <v>0.148950980636839</v>
      </c>
      <c r="G77" s="29" t="n">
        <f aca="false">IF(ISNUMBER(F77),F77-E77,"n/a")</f>
        <v>-4.90193631614566E-005</v>
      </c>
      <c r="H77" s="34" t="n">
        <v>0.000500001</v>
      </c>
      <c r="I77" s="35" t="str">
        <f aca="false">IF(ISNUMBER(F77),IF(ABS(F77-E77)&lt;=H77,"PASS","FAIL"),"FAIL")</f>
        <v>PASS</v>
      </c>
    </row>
    <row r="78" customFormat="false" ht="15" hidden="false" customHeight="false" outlineLevel="0" collapsed="false">
      <c r="B78" s="31" t="n">
        <v>70</v>
      </c>
      <c r="C78" s="9" t="s">
        <v>140</v>
      </c>
      <c r="D78" s="9" t="s">
        <v>184</v>
      </c>
      <c r="E78" s="13" t="n">
        <v>0.083</v>
      </c>
      <c r="F78" s="19" t="n">
        <f aca="false">Yield_Grid!$F$11</f>
        <v>0.0825750159892598</v>
      </c>
      <c r="G78" s="29" t="n">
        <f aca="false">IF(ISNUMBER(F78),F78-E78,"n/a")</f>
        <v>-0.000424984010740245</v>
      </c>
      <c r="H78" s="34" t="n">
        <v>0.000500001</v>
      </c>
      <c r="I78" s="35" t="str">
        <f aca="false">IF(ISNUMBER(F78),IF(ABS(F78-E78)&lt;=H78,"PASS","FAIL"),"FAIL")</f>
        <v>PASS</v>
      </c>
    </row>
    <row r="79" customFormat="false" ht="15" hidden="false" customHeight="false" outlineLevel="0" collapsed="false">
      <c r="B79" s="31" t="n">
        <v>71</v>
      </c>
      <c r="C79" s="9" t="s">
        <v>140</v>
      </c>
      <c r="D79" s="9" t="s">
        <v>185</v>
      </c>
      <c r="E79" s="13" t="n">
        <v>0.057</v>
      </c>
      <c r="F79" s="19" t="n">
        <f aca="false">Yield_Grid!$G$11</f>
        <v>0.0571110196248101</v>
      </c>
      <c r="G79" s="29" t="n">
        <f aca="false">IF(ISNUMBER(F79),F79-E79,"n/a")</f>
        <v>0.000111019624810131</v>
      </c>
      <c r="H79" s="34" t="n">
        <v>0.000500001</v>
      </c>
      <c r="I79" s="35" t="str">
        <f aca="false">IF(ISNUMBER(F79),IF(ABS(F79-E79)&lt;=H79,"PASS","FAIL"),"FAIL")</f>
        <v>PASS</v>
      </c>
    </row>
    <row r="80" customFormat="false" ht="15" hidden="false" customHeight="false" outlineLevel="0" collapsed="false">
      <c r="B80" s="31" t="n">
        <v>72</v>
      </c>
      <c r="C80" s="9" t="s">
        <v>140</v>
      </c>
      <c r="D80" s="9" t="s">
        <v>186</v>
      </c>
      <c r="E80" s="13" t="n">
        <v>0.044</v>
      </c>
      <c r="F80" s="19" t="n">
        <f aca="false">Yield_Grid!$H$11</f>
        <v>0.0436486309387791</v>
      </c>
      <c r="G80" s="29" t="n">
        <f aca="false">IF(ISNUMBER(F80),F80-E80,"n/a")</f>
        <v>-0.000351369061220866</v>
      </c>
      <c r="H80" s="34" t="n">
        <v>0.000500001</v>
      </c>
      <c r="I80" s="35" t="str">
        <f aca="false">IF(ISNUMBER(F80),IF(ABS(F80-E80)&lt;=H80,"PASS","FAIL"),"FAIL")</f>
        <v>PASS</v>
      </c>
    </row>
    <row r="81" customFormat="false" ht="15" hidden="false" customHeight="false" outlineLevel="0" collapsed="false">
      <c r="B81" s="31" t="n">
        <v>73</v>
      </c>
      <c r="C81" s="9" t="s">
        <v>140</v>
      </c>
      <c r="D81" s="9" t="s">
        <v>187</v>
      </c>
      <c r="E81" s="13" t="n">
        <v>0.03</v>
      </c>
      <c r="F81" s="19" t="n">
        <f aca="false">Yield_Grid!$I$11</f>
        <v>0.0296628710624023</v>
      </c>
      <c r="G81" s="29" t="n">
        <f aca="false">IF(ISNUMBER(F81),F81-E81,"n/a")</f>
        <v>-0.000337128937597714</v>
      </c>
      <c r="H81" s="34" t="n">
        <v>0.000500001</v>
      </c>
      <c r="I81" s="35" t="str">
        <f aca="false">IF(ISNUMBER(F81),IF(ABS(F81-E81)&lt;=H81,"PASS","FAIL"),"FAIL")</f>
        <v>PASS</v>
      </c>
    </row>
    <row r="82" customFormat="false" ht="15" hidden="false" customHeight="false" outlineLevel="0" collapsed="false">
      <c r="B82" s="31" t="n">
        <v>74</v>
      </c>
      <c r="C82" s="9" t="s">
        <v>140</v>
      </c>
      <c r="D82" s="9" t="s">
        <v>188</v>
      </c>
      <c r="E82" s="13" t="n">
        <v>0.022</v>
      </c>
      <c r="F82" s="19" t="n">
        <f aca="false">Yield_Grid!$J$11</f>
        <v>0.0224645042395102</v>
      </c>
      <c r="G82" s="29" t="n">
        <f aca="false">IF(ISNUMBER(F82),F82-E82,"n/a")</f>
        <v>0.000464504239510187</v>
      </c>
      <c r="H82" s="34" t="n">
        <v>0.000500001</v>
      </c>
      <c r="I82" s="35" t="str">
        <f aca="false">IF(ISNUMBER(F82),IF(ABS(F82-E82)&lt;=H82,"PASS","FAIL"),"FAIL")</f>
        <v>PASS</v>
      </c>
    </row>
    <row r="83" customFormat="false" ht="15" hidden="false" customHeight="false" outlineLevel="0" collapsed="false">
      <c r="B83" s="31" t="n">
        <v>75</v>
      </c>
      <c r="C83" s="9" t="s">
        <v>140</v>
      </c>
      <c r="D83" s="9" t="s">
        <v>189</v>
      </c>
      <c r="E83" s="13" t="n">
        <v>0.32</v>
      </c>
      <c r="F83" s="19" t="n">
        <f aca="false">Yield_Grid!$C$12</f>
        <v>0.320088355906301</v>
      </c>
      <c r="G83" s="29" t="n">
        <f aca="false">IF(ISNUMBER(F83),F83-E83,"n/a")</f>
        <v>8.83559063012407E-005</v>
      </c>
      <c r="H83" s="34" t="n">
        <v>0.000500001</v>
      </c>
      <c r="I83" s="35" t="str">
        <f aca="false">IF(ISNUMBER(F83),IF(ABS(F83-E83)&lt;=H83,"PASS","FAIL"),"FAIL")</f>
        <v>PASS</v>
      </c>
    </row>
    <row r="84" customFormat="false" ht="15" hidden="false" customHeight="false" outlineLevel="0" collapsed="false">
      <c r="B84" s="31" t="n">
        <v>76</v>
      </c>
      <c r="C84" s="9" t="s">
        <v>140</v>
      </c>
      <c r="D84" s="9" t="s">
        <v>190</v>
      </c>
      <c r="E84" s="13" t="n">
        <v>0.203</v>
      </c>
      <c r="F84" s="19" t="n">
        <f aca="false">Yield_Grid!$D$12</f>
        <v>0.203377813475434</v>
      </c>
      <c r="G84" s="29" t="n">
        <f aca="false">IF(ISNUMBER(F84),F84-E84,"n/a")</f>
        <v>0.000377813475434252</v>
      </c>
      <c r="H84" s="34" t="n">
        <v>0.000500001</v>
      </c>
      <c r="I84" s="35" t="str">
        <f aca="false">IF(ISNUMBER(F84),IF(ABS(F84-E84)&lt;=H84,"PASS","FAIL"),"FAIL")</f>
        <v>PASS</v>
      </c>
    </row>
    <row r="85" customFormat="false" ht="15" hidden="false" customHeight="false" outlineLevel="0" collapsed="false">
      <c r="B85" s="31" t="n">
        <v>77</v>
      </c>
      <c r="C85" s="9" t="s">
        <v>140</v>
      </c>
      <c r="D85" s="9" t="s">
        <v>191</v>
      </c>
      <c r="E85" s="13" t="n">
        <v>0.149</v>
      </c>
      <c r="F85" s="19" t="n">
        <f aca="false">Yield_Grid!$E$12</f>
        <v>0.148950980636839</v>
      </c>
      <c r="G85" s="29" t="n">
        <f aca="false">IF(ISNUMBER(F85),F85-E85,"n/a")</f>
        <v>-4.90193631614566E-005</v>
      </c>
      <c r="H85" s="34" t="n">
        <v>0.000500001</v>
      </c>
      <c r="I85" s="35" t="str">
        <f aca="false">IF(ISNUMBER(F85),IF(ABS(F85-E85)&lt;=H85,"PASS","FAIL"),"FAIL")</f>
        <v>PASS</v>
      </c>
    </row>
    <row r="86" customFormat="false" ht="15" hidden="false" customHeight="false" outlineLevel="0" collapsed="false">
      <c r="B86" s="31" t="n">
        <v>78</v>
      </c>
      <c r="C86" s="9" t="s">
        <v>140</v>
      </c>
      <c r="D86" s="9" t="s">
        <v>192</v>
      </c>
      <c r="E86" s="13" t="n">
        <v>0.083</v>
      </c>
      <c r="F86" s="19" t="n">
        <f aca="false">Yield_Grid!$F$12</f>
        <v>0.0825750159892598</v>
      </c>
      <c r="G86" s="29" t="n">
        <f aca="false">IF(ISNUMBER(F86),F86-E86,"n/a")</f>
        <v>-0.000424984010740245</v>
      </c>
      <c r="H86" s="34" t="n">
        <v>0.000500001</v>
      </c>
      <c r="I86" s="35" t="str">
        <f aca="false">IF(ISNUMBER(F86),IF(ABS(F86-E86)&lt;=H86,"PASS","FAIL"),"FAIL")</f>
        <v>PASS</v>
      </c>
    </row>
    <row r="87" customFormat="false" ht="15" hidden="false" customHeight="false" outlineLevel="0" collapsed="false">
      <c r="B87" s="31" t="n">
        <v>79</v>
      </c>
      <c r="C87" s="9" t="s">
        <v>140</v>
      </c>
      <c r="D87" s="9" t="s">
        <v>193</v>
      </c>
      <c r="E87" s="13" t="n">
        <v>0.057</v>
      </c>
      <c r="F87" s="19" t="n">
        <f aca="false">Yield_Grid!$G$12</f>
        <v>0.0571110196248101</v>
      </c>
      <c r="G87" s="29" t="n">
        <f aca="false">IF(ISNUMBER(F87),F87-E87,"n/a")</f>
        <v>0.000111019624810131</v>
      </c>
      <c r="H87" s="34" t="n">
        <v>0.000500001</v>
      </c>
      <c r="I87" s="35" t="str">
        <f aca="false">IF(ISNUMBER(F87),IF(ABS(F87-E87)&lt;=H87,"PASS","FAIL"),"FAIL")</f>
        <v>PASS</v>
      </c>
    </row>
    <row r="88" customFormat="false" ht="15" hidden="false" customHeight="false" outlineLevel="0" collapsed="false">
      <c r="B88" s="31" t="n">
        <v>80</v>
      </c>
      <c r="C88" s="9" t="s">
        <v>140</v>
      </c>
      <c r="D88" s="9" t="s">
        <v>194</v>
      </c>
      <c r="E88" s="13" t="n">
        <v>0.044</v>
      </c>
      <c r="F88" s="19" t="n">
        <f aca="false">Yield_Grid!$H$12</f>
        <v>0.0436486309387791</v>
      </c>
      <c r="G88" s="29" t="n">
        <f aca="false">IF(ISNUMBER(F88),F88-E88,"n/a")</f>
        <v>-0.000351369061220866</v>
      </c>
      <c r="H88" s="34" t="n">
        <v>0.000500001</v>
      </c>
      <c r="I88" s="35" t="str">
        <f aca="false">IF(ISNUMBER(F88),IF(ABS(F88-E88)&lt;=H88,"PASS","FAIL"),"FAIL")</f>
        <v>PASS</v>
      </c>
    </row>
    <row r="89" customFormat="false" ht="15" hidden="false" customHeight="false" outlineLevel="0" collapsed="false">
      <c r="B89" s="31" t="n">
        <v>81</v>
      </c>
      <c r="C89" s="9" t="s">
        <v>140</v>
      </c>
      <c r="D89" s="9" t="s">
        <v>195</v>
      </c>
      <c r="E89" s="13" t="n">
        <v>0.03</v>
      </c>
      <c r="F89" s="19" t="n">
        <f aca="false">Yield_Grid!$I$12</f>
        <v>0.0296628710624023</v>
      </c>
      <c r="G89" s="29" t="n">
        <f aca="false">IF(ISNUMBER(F89),F89-E89,"n/a")</f>
        <v>-0.000337128937597714</v>
      </c>
      <c r="H89" s="34" t="n">
        <v>0.000500001</v>
      </c>
      <c r="I89" s="35" t="str">
        <f aca="false">IF(ISNUMBER(F89),IF(ABS(F89-E89)&lt;=H89,"PASS","FAIL"),"FAIL")</f>
        <v>PASS</v>
      </c>
    </row>
    <row r="90" customFormat="false" ht="15" hidden="false" customHeight="false" outlineLevel="0" collapsed="false">
      <c r="B90" s="31" t="n">
        <v>82</v>
      </c>
      <c r="C90" s="9" t="s">
        <v>140</v>
      </c>
      <c r="D90" s="9" t="s">
        <v>196</v>
      </c>
      <c r="E90" s="13" t="n">
        <v>0.022</v>
      </c>
      <c r="F90" s="19" t="n">
        <f aca="false">Yield_Grid!$J$12</f>
        <v>0.0224645042395102</v>
      </c>
      <c r="G90" s="29" t="n">
        <f aca="false">IF(ISNUMBER(F90),F90-E90,"n/a")</f>
        <v>0.000464504239510187</v>
      </c>
      <c r="H90" s="34" t="n">
        <v>0.000500001</v>
      </c>
      <c r="I90" s="35" t="str">
        <f aca="false">IF(ISNUMBER(F90),IF(ABS(F90-E90)&lt;=H90,"PASS","FAIL"),"FAIL")</f>
        <v>PASS</v>
      </c>
    </row>
    <row r="91" customFormat="false" ht="30" hidden="false" customHeight="true" outlineLevel="0" collapsed="false">
      <c r="B91" s="31" t="n">
        <v>83</v>
      </c>
      <c r="C91" s="9" t="s">
        <v>140</v>
      </c>
      <c r="D91" s="37" t="s">
        <v>197</v>
      </c>
      <c r="E91" s="38" t="s">
        <v>133</v>
      </c>
      <c r="F91" s="39" t="str">
        <f aca="false">IF(AND(MAX(Yield_Grid!C6:C12)-MIN(Yield_Grid!C6:C12)&lt;0.000000000001,MAX(Yield_Grid!D6:D12)-MIN(Yield_Grid!D6:D12)&lt;0.000000000001,MAX(Yield_Grid!E6:E12)-MIN(Yield_Grid!E6:E12)&lt;0.000000000001),"holds","does not hold")</f>
        <v>holds</v>
      </c>
      <c r="G91" s="9"/>
      <c r="H91" s="9"/>
      <c r="I91" s="35" t="str">
        <f aca="false">IF(AND(MAX(Yield_Grid!C6:C12)-MIN(Yield_Grid!C6:C12)&lt;0.000000000001,MAX(Yield_Grid!D6:D12)-MIN(Yield_Grid!D6:D12)&lt;0.000000000001,MAX(Yield_Grid!E6:E12)-MIN(Yield_Grid!E6:E12)&lt;0.000000000001),"PASS","FAIL")</f>
        <v>PASS</v>
      </c>
    </row>
    <row r="92" customFormat="false" ht="15" hidden="false" customHeight="true" outlineLevel="0" collapsed="false">
      <c r="B92" s="31" t="n">
        <v>84</v>
      </c>
      <c r="C92" s="9" t="s">
        <v>140</v>
      </c>
      <c r="D92" s="37" t="s">
        <v>198</v>
      </c>
      <c r="E92" s="38" t="s">
        <v>133</v>
      </c>
      <c r="F92" s="39" t="str">
        <f aca="false">IF(ABS(Yield_Grid!$C$25-Yield_Grid!$C$26)&lt;0.0000001,"holds","does not hold")</f>
        <v>holds</v>
      </c>
      <c r="G92" s="9"/>
      <c r="H92" s="9"/>
      <c r="I92" s="35" t="str">
        <f aca="false">IF(ABS(Yield_Grid!$C$25-Yield_Grid!$C$26)&lt;0.0000001,"PASS","FAIL")</f>
        <v>PASS</v>
      </c>
    </row>
    <row r="93" customFormat="false" ht="15" hidden="false" customHeight="false" outlineLevel="0" collapsed="false">
      <c r="B93" s="31" t="n">
        <v>85</v>
      </c>
      <c r="C93" s="9" t="s">
        <v>140</v>
      </c>
      <c r="D93" s="9" t="s">
        <v>199</v>
      </c>
      <c r="E93" s="13" t="n">
        <v>0.162</v>
      </c>
      <c r="F93" s="19" t="n">
        <f aca="false">Yield_Grid!$C$25</f>
        <v>0.162378522662185</v>
      </c>
      <c r="G93" s="29" t="n">
        <f aca="false">IF(ISNUMBER(F93),F93-E93,"n/a")</f>
        <v>0.000378522662184549</v>
      </c>
      <c r="H93" s="34" t="n">
        <v>0.000500001</v>
      </c>
      <c r="I93" s="35" t="str">
        <f aca="false">IF(ISNUMBER(F93),IF(ABS(F93-E93)&lt;=H93,"PASS","FAIL"),"FAIL")</f>
        <v>PASS</v>
      </c>
    </row>
    <row r="94" customFormat="false" ht="15" hidden="false" customHeight="false" outlineLevel="0" collapsed="false">
      <c r="B94" s="31" t="n">
        <v>86</v>
      </c>
      <c r="C94" s="9" t="s">
        <v>200</v>
      </c>
      <c r="D94" s="9" t="s">
        <v>76</v>
      </c>
      <c r="E94" s="13" t="n">
        <v>0.18</v>
      </c>
      <c r="F94" s="19" t="n">
        <f aca="false">Decomposition!$F$10</f>
        <v>0.180000000000126</v>
      </c>
      <c r="G94" s="29" t="n">
        <f aca="false">IF(ISNUMBER(F94),F94-E94,"n/a")</f>
        <v>1.25621735236336E-013</v>
      </c>
      <c r="H94" s="34" t="n">
        <v>0.000500001</v>
      </c>
      <c r="I94" s="35" t="str">
        <f aca="false">IF(ISNUMBER(F94),IF(ABS(F94-E94)&lt;=H94,"PASS","FAIL"),"FAIL")</f>
        <v>PASS</v>
      </c>
    </row>
    <row r="95" customFormat="false" ht="15" hidden="false" customHeight="false" outlineLevel="0" collapsed="false">
      <c r="B95" s="31" t="n">
        <v>87</v>
      </c>
      <c r="C95" s="9" t="s">
        <v>200</v>
      </c>
      <c r="D95" s="9" t="s">
        <v>77</v>
      </c>
      <c r="E95" s="13" t="n">
        <v>0.177</v>
      </c>
      <c r="F95" s="19" t="n">
        <f aca="false">Decomposition!$F$11</f>
        <v>0.177045383411714</v>
      </c>
      <c r="G95" s="29" t="n">
        <f aca="false">IF(ISNUMBER(F95),F95-E95,"n/a")</f>
        <v>4.53834117142837E-005</v>
      </c>
      <c r="H95" s="34" t="n">
        <v>0.000500001</v>
      </c>
      <c r="I95" s="35" t="str">
        <f aca="false">IF(ISNUMBER(F95),IF(ABS(F95-E95)&lt;=H95,"PASS","FAIL"),"FAIL")</f>
        <v>PASS</v>
      </c>
    </row>
    <row r="96" customFormat="false" ht="15" hidden="false" customHeight="false" outlineLevel="0" collapsed="false">
      <c r="B96" s="31" t="n">
        <v>88</v>
      </c>
      <c r="C96" s="9" t="s">
        <v>200</v>
      </c>
      <c r="D96" s="9" t="s">
        <v>78</v>
      </c>
      <c r="E96" s="13" t="n">
        <v>0.165</v>
      </c>
      <c r="F96" s="19" t="n">
        <f aca="false">Decomposition!$F$12</f>
        <v>0.165071616588396</v>
      </c>
      <c r="G96" s="29" t="n">
        <f aca="false">IF(ISNUMBER(F96),F96-E96,"n/a")</f>
        <v>7.16165883960784E-005</v>
      </c>
      <c r="H96" s="34" t="n">
        <v>0.000500001</v>
      </c>
      <c r="I96" s="35" t="str">
        <f aca="false">IF(ISNUMBER(F96),IF(ABS(F96-E96)&lt;=H96,"PASS","FAIL"),"FAIL")</f>
        <v>PASS</v>
      </c>
    </row>
    <row r="97" customFormat="false" ht="15" hidden="false" customHeight="false" outlineLevel="0" collapsed="false">
      <c r="B97" s="31" t="n">
        <v>89</v>
      </c>
      <c r="C97" s="9" t="s">
        <v>200</v>
      </c>
      <c r="D97" s="9" t="s">
        <v>79</v>
      </c>
      <c r="E97" s="13" t="n">
        <v>0.162</v>
      </c>
      <c r="F97" s="19" t="n">
        <f aca="false">Decomposition!$F$13</f>
        <v>0.162378522662206</v>
      </c>
      <c r="G97" s="29" t="n">
        <f aca="false">IF(ISNUMBER(F97),F97-E97,"n/a")</f>
        <v>0.000378522662206088</v>
      </c>
      <c r="H97" s="34" t="n">
        <v>0.000500001</v>
      </c>
      <c r="I97" s="35" t="str">
        <f aca="false">IF(ISNUMBER(F97),IF(ABS(F97-E97)&lt;=H97,"PASS","FAIL"),"FAIL")</f>
        <v>PASS</v>
      </c>
    </row>
    <row r="98" customFormat="false" ht="15" hidden="false" customHeight="true" outlineLevel="0" collapsed="false">
      <c r="B98" s="31" t="n">
        <v>90</v>
      </c>
      <c r="C98" s="9" t="s">
        <v>200</v>
      </c>
      <c r="D98" s="37" t="s">
        <v>201</v>
      </c>
      <c r="E98" s="38" t="s">
        <v>133</v>
      </c>
      <c r="F98" s="39" t="str">
        <f aca="false">IF(Decomposition!$C$15&gt;Decomposition!$C$16,"holds","does not hold")</f>
        <v>holds</v>
      </c>
      <c r="G98" s="9"/>
      <c r="H98" s="9"/>
      <c r="I98" s="35" t="str">
        <f aca="false">IF(Decomposition!$C$15&gt;Decomposition!$C$16,"PASS","FAIL")</f>
        <v>PASS</v>
      </c>
    </row>
    <row r="99" customFormat="false" ht="15" hidden="false" customHeight="false" outlineLevel="0" collapsed="false">
      <c r="B99" s="31" t="n">
        <v>91</v>
      </c>
      <c r="C99" s="9" t="s">
        <v>202</v>
      </c>
      <c r="D99" s="9" t="s">
        <v>203</v>
      </c>
      <c r="E99" s="13" t="n">
        <v>0.085</v>
      </c>
      <c r="F99" s="19" t="n">
        <f aca="false">Premium!$C$8</f>
        <v>0.0845392577201838</v>
      </c>
      <c r="G99" s="29" t="n">
        <f aca="false">IF(ISNUMBER(F99),F99-E99,"n/a")</f>
        <v>-0.000460742279816226</v>
      </c>
      <c r="H99" s="34" t="n">
        <v>0.000500001</v>
      </c>
      <c r="I99" s="35" t="str">
        <f aca="false">IF(ISNUMBER(F99),IF(ABS(F99-E99)&lt;=H99,"PASS","FAIL"),"FAIL")</f>
        <v>PASS</v>
      </c>
    </row>
    <row r="100" customFormat="false" ht="15" hidden="false" customHeight="false" outlineLevel="0" collapsed="false">
      <c r="B100" s="31" t="n">
        <v>92</v>
      </c>
      <c r="C100" s="9" t="s">
        <v>202</v>
      </c>
      <c r="D100" s="9" t="s">
        <v>204</v>
      </c>
      <c r="E100" s="13" t="n">
        <v>0.108</v>
      </c>
      <c r="F100" s="19" t="n">
        <f aca="false">Premium!$D$8</f>
        <v>0.107712293742466</v>
      </c>
      <c r="G100" s="29" t="n">
        <f aca="false">IF(ISNUMBER(F100),F100-E100,"n/a")</f>
        <v>-0.000287706257534284</v>
      </c>
      <c r="H100" s="34" t="n">
        <v>0.000500001</v>
      </c>
      <c r="I100" s="35" t="str">
        <f aca="false">IF(ISNUMBER(F100),IF(ABS(F100-E100)&lt;=H100,"PASS","FAIL"),"FAIL")</f>
        <v>PASS</v>
      </c>
    </row>
    <row r="101" customFormat="false" ht="15" hidden="false" customHeight="false" outlineLevel="0" collapsed="false">
      <c r="B101" s="31" t="n">
        <v>93</v>
      </c>
      <c r="C101" s="9" t="s">
        <v>202</v>
      </c>
      <c r="D101" s="9" t="s">
        <v>205</v>
      </c>
      <c r="E101" s="13" t="n">
        <v>0.107</v>
      </c>
      <c r="F101" s="19" t="n">
        <f aca="false">Premium!$E$8</f>
        <v>0.107438927632642</v>
      </c>
      <c r="G101" s="29" t="n">
        <f aca="false">IF(ISNUMBER(F101),F101-E101,"n/a")</f>
        <v>0.000438927632642402</v>
      </c>
      <c r="H101" s="34" t="n">
        <v>0.000500001</v>
      </c>
      <c r="I101" s="35" t="str">
        <f aca="false">IF(ISNUMBER(F101),IF(ABS(F101-E101)&lt;=H101,"PASS","FAIL"),"FAIL")</f>
        <v>PASS</v>
      </c>
    </row>
    <row r="102" customFormat="false" ht="15" hidden="false" customHeight="false" outlineLevel="0" collapsed="false">
      <c r="B102" s="31" t="n">
        <v>94</v>
      </c>
      <c r="C102" s="9" t="s">
        <v>202</v>
      </c>
      <c r="D102" s="9" t="s">
        <v>206</v>
      </c>
      <c r="E102" s="13" t="n">
        <v>0.08</v>
      </c>
      <c r="F102" s="19" t="n">
        <f aca="false">Premium!$C$9</f>
        <v>0.0804192894974583</v>
      </c>
      <c r="G102" s="29" t="n">
        <f aca="false">IF(ISNUMBER(F102),F102-E102,"n/a")</f>
        <v>0.000419289497458245</v>
      </c>
      <c r="H102" s="34" t="n">
        <v>0.000500001</v>
      </c>
      <c r="I102" s="35" t="str">
        <f aca="false">IF(ISNUMBER(F102),IF(ABS(F102-E102)&lt;=H102,"PASS","FAIL"),"FAIL")</f>
        <v>PASS</v>
      </c>
    </row>
    <row r="103" customFormat="false" ht="15" hidden="false" customHeight="false" outlineLevel="0" collapsed="false">
      <c r="B103" s="31" t="n">
        <v>95</v>
      </c>
      <c r="C103" s="9" t="s">
        <v>202</v>
      </c>
      <c r="D103" s="9" t="s">
        <v>207</v>
      </c>
      <c r="E103" s="13" t="n">
        <v>0.103</v>
      </c>
      <c r="F103" s="19" t="n">
        <f aca="false">Premium!$D$9</f>
        <v>0.102615769503902</v>
      </c>
      <c r="G103" s="29" t="n">
        <f aca="false">IF(ISNUMBER(F103),F103-E103,"n/a")</f>
        <v>-0.000384230496097718</v>
      </c>
      <c r="H103" s="34" t="n">
        <v>0.000500001</v>
      </c>
      <c r="I103" s="35" t="str">
        <f aca="false">IF(ISNUMBER(F103),IF(ABS(F103-E103)&lt;=H103,"PASS","FAIL"),"FAIL")</f>
        <v>PASS</v>
      </c>
    </row>
    <row r="104" customFormat="false" ht="15" hidden="false" customHeight="false" outlineLevel="0" collapsed="false">
      <c r="B104" s="31" t="n">
        <v>96</v>
      </c>
      <c r="C104" s="9" t="s">
        <v>202</v>
      </c>
      <c r="D104" s="9" t="s">
        <v>208</v>
      </c>
      <c r="E104" s="13" t="n">
        <v>0.103</v>
      </c>
      <c r="F104" s="19" t="n">
        <f aca="false">Premium!$E$9</f>
        <v>0.102590969070578</v>
      </c>
      <c r="G104" s="29" t="n">
        <f aca="false">IF(ISNUMBER(F104),F104-E104,"n/a")</f>
        <v>-0.000409030929421586</v>
      </c>
      <c r="H104" s="34" t="n">
        <v>0.000500001</v>
      </c>
      <c r="I104" s="35" t="str">
        <f aca="false">IF(ISNUMBER(F104),IF(ABS(F104-E104)&lt;=H104,"PASS","FAIL"),"FAIL")</f>
        <v>PASS</v>
      </c>
    </row>
    <row r="105" customFormat="false" ht="15" hidden="false" customHeight="false" outlineLevel="0" collapsed="false">
      <c r="B105" s="31" t="n">
        <v>97</v>
      </c>
      <c r="C105" s="9" t="s">
        <v>202</v>
      </c>
      <c r="D105" s="9" t="s">
        <v>209</v>
      </c>
      <c r="E105" s="13" t="n">
        <v>0.077</v>
      </c>
      <c r="F105" s="19" t="n">
        <f aca="false">Premium!$C$10</f>
        <v>0.0766820802661263</v>
      </c>
      <c r="G105" s="29" t="n">
        <f aca="false">IF(ISNUMBER(F105),F105-E105,"n/a")</f>
        <v>-0.00031791973387367</v>
      </c>
      <c r="H105" s="34" t="n">
        <v>0.000500001</v>
      </c>
      <c r="I105" s="35" t="str">
        <f aca="false">IF(ISNUMBER(F105),IF(ABS(F105-E105)&lt;=H105,"PASS","FAIL"),"FAIL")</f>
        <v>PASS</v>
      </c>
    </row>
    <row r="106" customFormat="false" ht="15" hidden="false" customHeight="false" outlineLevel="0" collapsed="false">
      <c r="B106" s="31" t="n">
        <v>98</v>
      </c>
      <c r="C106" s="9" t="s">
        <v>202</v>
      </c>
      <c r="D106" s="9" t="s">
        <v>210</v>
      </c>
      <c r="E106" s="13" t="n">
        <v>0.098</v>
      </c>
      <c r="F106" s="19" t="n">
        <f aca="false">Premium!$D$10</f>
        <v>0.0979798062865696</v>
      </c>
      <c r="G106" s="29" t="n">
        <f aca="false">IF(ISNUMBER(F106),F106-E106,"n/a")</f>
        <v>-2.01937134304553E-005</v>
      </c>
      <c r="H106" s="34" t="n">
        <v>0.000500001</v>
      </c>
      <c r="I106" s="35" t="str">
        <f aca="false">IF(ISNUMBER(F106),IF(ABS(F106-E106)&lt;=H106,"PASS","FAIL"),"FAIL")</f>
        <v>PASS</v>
      </c>
    </row>
    <row r="107" customFormat="false" ht="15" hidden="false" customHeight="false" outlineLevel="0" collapsed="false">
      <c r="B107" s="31" t="n">
        <v>99</v>
      </c>
      <c r="C107" s="9" t="s">
        <v>202</v>
      </c>
      <c r="D107" s="9" t="s">
        <v>211</v>
      </c>
      <c r="E107" s="13" t="n">
        <v>0.098</v>
      </c>
      <c r="F107" s="19" t="n">
        <f aca="false">Premium!$E$10</f>
        <v>0.0981625975395111</v>
      </c>
      <c r="G107" s="29" t="n">
        <f aca="false">IF(ISNUMBER(F107),F107-E107,"n/a")</f>
        <v>0.000162597539511061</v>
      </c>
      <c r="H107" s="34" t="n">
        <v>0.000500001</v>
      </c>
      <c r="I107" s="35" t="str">
        <f aca="false">IF(ISNUMBER(F107),IF(ABS(F107-E107)&lt;=H107,"PASS","FAIL"),"FAIL")</f>
        <v>PASS</v>
      </c>
    </row>
    <row r="108" customFormat="false" ht="15" hidden="false" customHeight="false" outlineLevel="0" collapsed="false">
      <c r="B108" s="31" t="n">
        <v>100</v>
      </c>
      <c r="C108" s="9" t="s">
        <v>202</v>
      </c>
      <c r="D108" s="9" t="s">
        <v>212</v>
      </c>
      <c r="E108" s="13" t="n">
        <v>0.067</v>
      </c>
      <c r="F108" s="19" t="n">
        <f aca="false">Premium!$C$11</f>
        <v>0.0672989876123951</v>
      </c>
      <c r="G108" s="29" t="n">
        <f aca="false">IF(ISNUMBER(F108),F108-E108,"n/a")</f>
        <v>0.000298987612395052</v>
      </c>
      <c r="H108" s="34" t="n">
        <v>0.000500001</v>
      </c>
      <c r="I108" s="35" t="str">
        <f aca="false">IF(ISNUMBER(F108),IF(ABS(F108-E108)&lt;=H108,"PASS","FAIL"),"FAIL")</f>
        <v>PASS</v>
      </c>
    </row>
    <row r="109" customFormat="false" ht="15" hidden="false" customHeight="false" outlineLevel="0" collapsed="false">
      <c r="B109" s="31" t="n">
        <v>101</v>
      </c>
      <c r="C109" s="9" t="s">
        <v>202</v>
      </c>
      <c r="D109" s="9" t="s">
        <v>213</v>
      </c>
      <c r="E109" s="13" t="n">
        <v>0.086</v>
      </c>
      <c r="F109" s="19" t="n">
        <f aca="false">Premium!$D$11</f>
        <v>0.086285459094694</v>
      </c>
      <c r="G109" s="29" t="n">
        <f aca="false">IF(ISNUMBER(F109),F109-E109,"n/a")</f>
        <v>0.000285459094693991</v>
      </c>
      <c r="H109" s="34" t="n">
        <v>0.000500001</v>
      </c>
      <c r="I109" s="35" t="str">
        <f aca="false">IF(ISNUMBER(F109),IF(ABS(F109-E109)&lt;=H109,"PASS","FAIL"),"FAIL")</f>
        <v>PASS</v>
      </c>
    </row>
    <row r="110" customFormat="false" ht="15" hidden="false" customHeight="false" outlineLevel="0" collapsed="false">
      <c r="B110" s="31" t="n">
        <v>102</v>
      </c>
      <c r="C110" s="9" t="s">
        <v>202</v>
      </c>
      <c r="D110" s="9" t="s">
        <v>214</v>
      </c>
      <c r="E110" s="13" t="n">
        <v>0.087</v>
      </c>
      <c r="F110" s="19" t="n">
        <f aca="false">Premium!$E$11</f>
        <v>0.0869120385790545</v>
      </c>
      <c r="G110" s="29" t="n">
        <f aca="false">IF(ISNUMBER(F110),F110-E110,"n/a")</f>
        <v>-8.79614209454982E-005</v>
      </c>
      <c r="H110" s="34" t="n">
        <v>0.000500001</v>
      </c>
      <c r="I110" s="35" t="str">
        <f aca="false">IF(ISNUMBER(F110),IF(ABS(F110-E110)&lt;=H110,"PASS","FAIL"),"FAIL")</f>
        <v>PASS</v>
      </c>
    </row>
    <row r="111" customFormat="false" ht="15" hidden="false" customHeight="false" outlineLevel="0" collapsed="false">
      <c r="B111" s="31" t="n">
        <v>103</v>
      </c>
      <c r="C111" s="9" t="s">
        <v>202</v>
      </c>
      <c r="D111" s="9" t="s">
        <v>215</v>
      </c>
      <c r="E111" s="13" t="n">
        <v>0.056</v>
      </c>
      <c r="F111" s="19" t="n">
        <f aca="false">Premium!$C$12</f>
        <v>0.0558980980615091</v>
      </c>
      <c r="G111" s="29" t="n">
        <f aca="false">IF(ISNUMBER(F111),F111-E111,"n/a")</f>
        <v>-0.000101901938490849</v>
      </c>
      <c r="H111" s="34" t="n">
        <v>0.000500001</v>
      </c>
      <c r="I111" s="35" t="str">
        <f aca="false">IF(ISNUMBER(F111),IF(ABS(F111-E111)&lt;=H111,"PASS","FAIL"),"FAIL")</f>
        <v>PASS</v>
      </c>
    </row>
    <row r="112" customFormat="false" ht="15" hidden="false" customHeight="false" outlineLevel="0" collapsed="false">
      <c r="B112" s="31" t="n">
        <v>104</v>
      </c>
      <c r="C112" s="9" t="s">
        <v>202</v>
      </c>
      <c r="D112" s="9" t="s">
        <v>216</v>
      </c>
      <c r="E112" s="13" t="n">
        <v>0.072</v>
      </c>
      <c r="F112" s="19" t="n">
        <f aca="false">Premium!$D$12</f>
        <v>0.0719693974729456</v>
      </c>
      <c r="G112" s="29" t="n">
        <f aca="false">IF(ISNUMBER(F112),F112-E112,"n/a")</f>
        <v>-3.06025270543908E-005</v>
      </c>
      <c r="H112" s="34" t="n">
        <v>0.000500001</v>
      </c>
      <c r="I112" s="35" t="str">
        <f aca="false">IF(ISNUMBER(F112),IF(ABS(F112-E112)&lt;=H112,"PASS","FAIL"),"FAIL")</f>
        <v>PASS</v>
      </c>
    </row>
    <row r="113" customFormat="false" ht="15" hidden="false" customHeight="false" outlineLevel="0" collapsed="false">
      <c r="B113" s="31" t="n">
        <v>105</v>
      </c>
      <c r="C113" s="9" t="s">
        <v>202</v>
      </c>
      <c r="D113" s="9" t="s">
        <v>217</v>
      </c>
      <c r="E113" s="13" t="n">
        <v>0.073</v>
      </c>
      <c r="F113" s="19" t="n">
        <f aca="false">Premium!$E$12</f>
        <v>0.0729791270469447</v>
      </c>
      <c r="G113" s="29" t="n">
        <f aca="false">IF(ISNUMBER(F113),F113-E113,"n/a")</f>
        <v>-2.08729530553481E-005</v>
      </c>
      <c r="H113" s="34" t="n">
        <v>0.000500001</v>
      </c>
      <c r="I113" s="35" t="str">
        <f aca="false">IF(ISNUMBER(F113),IF(ABS(F113-E113)&lt;=H113,"PASS","FAIL"),"FAIL")</f>
        <v>PASS</v>
      </c>
    </row>
    <row r="114" customFormat="false" ht="15" hidden="false" customHeight="false" outlineLevel="0" collapsed="false">
      <c r="B114" s="31" t="n">
        <v>106</v>
      </c>
      <c r="C114" s="9" t="s">
        <v>202</v>
      </c>
      <c r="D114" s="9" t="s">
        <v>218</v>
      </c>
      <c r="E114" s="13" t="n">
        <v>0.042</v>
      </c>
      <c r="F114" s="19" t="n">
        <f aca="false">Premium!$C$13</f>
        <v>0.0417509485951715</v>
      </c>
      <c r="G114" s="29" t="n">
        <f aca="false">IF(ISNUMBER(F114),F114-E114,"n/a")</f>
        <v>-0.000249051404828525</v>
      </c>
      <c r="H114" s="34" t="n">
        <v>0.000500001</v>
      </c>
      <c r="I114" s="35" t="str">
        <f aca="false">IF(ISNUMBER(F114),IF(ABS(F114-E114)&lt;=H114,"PASS","FAIL"),"FAIL")</f>
        <v>PASS</v>
      </c>
    </row>
    <row r="115" customFormat="false" ht="15" hidden="false" customHeight="false" outlineLevel="0" collapsed="false">
      <c r="B115" s="31" t="n">
        <v>107</v>
      </c>
      <c r="C115" s="9" t="s">
        <v>202</v>
      </c>
      <c r="D115" s="9" t="s">
        <v>219</v>
      </c>
      <c r="E115" s="13" t="n">
        <v>0.054</v>
      </c>
      <c r="F115" s="19" t="n">
        <f aca="false">Premium!$D$13</f>
        <v>0.0540383746987709</v>
      </c>
      <c r="G115" s="29" t="n">
        <f aca="false">IF(ISNUMBER(F115),F115-E115,"n/a")</f>
        <v>3.83746987709169E-005</v>
      </c>
      <c r="H115" s="34" t="n">
        <v>0.000500001</v>
      </c>
      <c r="I115" s="35" t="str">
        <f aca="false">IF(ISNUMBER(F115),IF(ABS(F115-E115)&lt;=H115,"PASS","FAIL"),"FAIL")</f>
        <v>PASS</v>
      </c>
    </row>
    <row r="116" customFormat="false" ht="15" hidden="false" customHeight="false" outlineLevel="0" collapsed="false">
      <c r="B116" s="31" t="n">
        <v>108</v>
      </c>
      <c r="C116" s="9" t="s">
        <v>202</v>
      </c>
      <c r="D116" s="9" t="s">
        <v>220</v>
      </c>
      <c r="E116" s="13" t="n">
        <v>0.055</v>
      </c>
      <c r="F116" s="19" t="n">
        <f aca="false">Premium!$E$13</f>
        <v>0.0552689878894279</v>
      </c>
      <c r="G116" s="29" t="n">
        <f aca="false">IF(ISNUMBER(F116),F116-E116,"n/a")</f>
        <v>0.000268987889427912</v>
      </c>
      <c r="H116" s="34" t="n">
        <v>0.000500001</v>
      </c>
      <c r="I116" s="35" t="str">
        <f aca="false">IF(ISNUMBER(F116),IF(ABS(F116-E116)&lt;=H116,"PASS","FAIL"),"FAIL")</f>
        <v>PASS</v>
      </c>
    </row>
    <row r="117" customFormat="false" ht="15" hidden="false" customHeight="false" outlineLevel="0" collapsed="false">
      <c r="B117" s="31" t="n">
        <v>109</v>
      </c>
      <c r="C117" s="9" t="s">
        <v>202</v>
      </c>
      <c r="D117" s="9" t="s">
        <v>221</v>
      </c>
      <c r="E117" s="13" t="n">
        <v>0.085</v>
      </c>
      <c r="F117" s="19" t="n">
        <f aca="false">Premium!$C$18</f>
        <v>0.0845392577201838</v>
      </c>
      <c r="G117" s="29" t="n">
        <f aca="false">IF(ISNUMBER(F117),F117-E117,"n/a")</f>
        <v>-0.000460742279816226</v>
      </c>
      <c r="H117" s="34" t="n">
        <v>0.000500001</v>
      </c>
      <c r="I117" s="35" t="str">
        <f aca="false">IF(ISNUMBER(F117),IF(ABS(F117-E117)&lt;=H117,"PASS","FAIL"),"FAIL")</f>
        <v>PASS</v>
      </c>
    </row>
    <row r="118" customFormat="false" ht="15" hidden="false" customHeight="false" outlineLevel="0" collapsed="false">
      <c r="B118" s="31" t="n">
        <v>110</v>
      </c>
      <c r="C118" s="9" t="s">
        <v>202</v>
      </c>
      <c r="D118" s="9" t="s">
        <v>222</v>
      </c>
      <c r="E118" s="13" t="n">
        <v>0.108</v>
      </c>
      <c r="F118" s="19" t="n">
        <f aca="false">Premium!$D$18</f>
        <v>0.107712293742466</v>
      </c>
      <c r="G118" s="29" t="n">
        <f aca="false">IF(ISNUMBER(F118),F118-E118,"n/a")</f>
        <v>-0.000287706257534284</v>
      </c>
      <c r="H118" s="34" t="n">
        <v>0.000500001</v>
      </c>
      <c r="I118" s="35" t="str">
        <f aca="false">IF(ISNUMBER(F118),IF(ABS(F118-E118)&lt;=H118,"PASS","FAIL"),"FAIL")</f>
        <v>PASS</v>
      </c>
    </row>
    <row r="119" customFormat="false" ht="15" hidden="false" customHeight="false" outlineLevel="0" collapsed="false">
      <c r="B119" s="31" t="n">
        <v>111</v>
      </c>
      <c r="C119" s="9" t="s">
        <v>202</v>
      </c>
      <c r="D119" s="9" t="s">
        <v>223</v>
      </c>
      <c r="E119" s="13" t="n">
        <v>0.107</v>
      </c>
      <c r="F119" s="19" t="n">
        <f aca="false">Premium!$E$18</f>
        <v>0.107438927632642</v>
      </c>
      <c r="G119" s="29" t="n">
        <f aca="false">IF(ISNUMBER(F119),F119-E119,"n/a")</f>
        <v>0.000438927632642402</v>
      </c>
      <c r="H119" s="34" t="n">
        <v>0.000500001</v>
      </c>
      <c r="I119" s="35" t="str">
        <f aca="false">IF(ISNUMBER(F119),IF(ABS(F119-E119)&lt;=H119,"PASS","FAIL"),"FAIL")</f>
        <v>PASS</v>
      </c>
    </row>
    <row r="120" customFormat="false" ht="15" hidden="false" customHeight="false" outlineLevel="0" collapsed="false">
      <c r="B120" s="31" t="n">
        <v>112</v>
      </c>
      <c r="C120" s="9" t="s">
        <v>202</v>
      </c>
      <c r="D120" s="9" t="s">
        <v>224</v>
      </c>
      <c r="E120" s="13" t="n">
        <v>-0.063</v>
      </c>
      <c r="F120" s="19" t="n">
        <f aca="false">Premium!$C$19</f>
        <v>-0.0627990136200265</v>
      </c>
      <c r="G120" s="29" t="n">
        <f aca="false">IF(ISNUMBER(F120),F120-E120,"n/a")</f>
        <v>0.000200986379973511</v>
      </c>
      <c r="H120" s="34" t="n">
        <v>0.000500001</v>
      </c>
      <c r="I120" s="35" t="str">
        <f aca="false">IF(ISNUMBER(F120),IF(ABS(F120-E120)&lt;=H120,"PASS","FAIL"),"FAIL")</f>
        <v>PASS</v>
      </c>
    </row>
    <row r="121" customFormat="false" ht="15" hidden="false" customHeight="false" outlineLevel="0" collapsed="false">
      <c r="B121" s="31" t="n">
        <v>113</v>
      </c>
      <c r="C121" s="9" t="s">
        <v>202</v>
      </c>
      <c r="D121" s="9" t="s">
        <v>225</v>
      </c>
      <c r="E121" s="13" t="n">
        <v>0.059</v>
      </c>
      <c r="F121" s="19" t="n">
        <f aca="false">Premium!$D$19</f>
        <v>0.0590474647301238</v>
      </c>
      <c r="G121" s="29" t="n">
        <f aca="false">IF(ISNUMBER(F121),F121-E121,"n/a")</f>
        <v>4.74647301237918E-005</v>
      </c>
      <c r="H121" s="34" t="n">
        <v>0.000500001</v>
      </c>
      <c r="I121" s="35" t="str">
        <f aca="false">IF(ISNUMBER(F121),IF(ABS(F121-E121)&lt;=H121,"PASS","FAIL"),"FAIL")</f>
        <v>PASS</v>
      </c>
    </row>
    <row r="122" customFormat="false" ht="15" hidden="false" customHeight="false" outlineLevel="0" collapsed="false">
      <c r="B122" s="31" t="n">
        <v>114</v>
      </c>
      <c r="C122" s="9" t="s">
        <v>202</v>
      </c>
      <c r="D122" s="9" t="s">
        <v>226</v>
      </c>
      <c r="E122" s="13" t="n">
        <v>0.082</v>
      </c>
      <c r="F122" s="19" t="n">
        <f aca="false">Premium!$E$19</f>
        <v>0.0818667637300432</v>
      </c>
      <c r="G122" s="29" t="n">
        <f aca="false">IF(ISNUMBER(F122),F122-E122,"n/a")</f>
        <v>-0.000133236269956788</v>
      </c>
      <c r="H122" s="34" t="n">
        <v>0.000500001</v>
      </c>
      <c r="I122" s="35" t="str">
        <f aca="false">IF(ISNUMBER(F122),IF(ABS(F122-E122)&lt;=H122,"PASS","FAIL"),"FAIL")</f>
        <v>PASS</v>
      </c>
    </row>
    <row r="123" customFormat="false" ht="15" hidden="false" customHeight="false" outlineLevel="0" collapsed="false">
      <c r="B123" s="31" t="n">
        <v>115</v>
      </c>
      <c r="C123" s="9" t="s">
        <v>202</v>
      </c>
      <c r="D123" s="9" t="s">
        <v>227</v>
      </c>
      <c r="E123" s="13" t="n">
        <v>-0.185</v>
      </c>
      <c r="F123" s="19" t="n">
        <f aca="false">Premium!$C$20</f>
        <v>-0.184612914488725</v>
      </c>
      <c r="G123" s="29" t="n">
        <f aca="false">IF(ISNUMBER(F123),F123-E123,"n/a")</f>
        <v>0.000387085511275254</v>
      </c>
      <c r="H123" s="34" t="n">
        <v>0.000500001</v>
      </c>
      <c r="I123" s="35" t="str">
        <f aca="false">IF(ISNUMBER(F123),IF(ABS(F123-E123)&lt;=H123,"PASS","FAIL"),"FAIL")</f>
        <v>PASS</v>
      </c>
    </row>
    <row r="124" customFormat="false" ht="15" hidden="false" customHeight="false" outlineLevel="0" collapsed="false">
      <c r="B124" s="31" t="n">
        <v>116</v>
      </c>
      <c r="C124" s="9" t="s">
        <v>202</v>
      </c>
      <c r="D124" s="9" t="s">
        <v>228</v>
      </c>
      <c r="E124" s="13" t="n">
        <v>0.015</v>
      </c>
      <c r="F124" s="19" t="n">
        <f aca="false">Premium!$D$20</f>
        <v>0.0146344571066064</v>
      </c>
      <c r="G124" s="29" t="n">
        <f aca="false">IF(ISNUMBER(F124),F124-E124,"n/a")</f>
        <v>-0.000365542893393619</v>
      </c>
      <c r="H124" s="34" t="n">
        <v>0.000500001</v>
      </c>
      <c r="I124" s="35" t="str">
        <f aca="false">IF(ISNUMBER(F124),IF(ABS(F124-E124)&lt;=H124,"PASS","FAIL"),"FAIL")</f>
        <v>PASS</v>
      </c>
    </row>
    <row r="125" customFormat="false" ht="15" hidden="false" customHeight="false" outlineLevel="0" collapsed="false">
      <c r="B125" s="31" t="n">
        <v>117</v>
      </c>
      <c r="C125" s="9" t="s">
        <v>202</v>
      </c>
      <c r="D125" s="9" t="s">
        <v>229</v>
      </c>
      <c r="E125" s="13" t="n">
        <v>0.058</v>
      </c>
      <c r="F125" s="19" t="n">
        <f aca="false">Premium!$E$20</f>
        <v>0.0580318794935371</v>
      </c>
      <c r="G125" s="29" t="n">
        <f aca="false">IF(ISNUMBER(F125),F125-E125,"n/a")</f>
        <v>3.18794935370501E-005</v>
      </c>
      <c r="H125" s="34" t="n">
        <v>0.000500001</v>
      </c>
      <c r="I125" s="35" t="str">
        <f aca="false">IF(ISNUMBER(F125),IF(ABS(F125-E125)&lt;=H125,"PASS","FAIL"),"FAIL")</f>
        <v>PASS</v>
      </c>
    </row>
    <row r="126" customFormat="false" ht="15" hidden="false" customHeight="false" outlineLevel="0" collapsed="false">
      <c r="B126" s="31" t="n">
        <v>118</v>
      </c>
      <c r="C126" s="9" t="s">
        <v>202</v>
      </c>
      <c r="D126" s="9" t="s">
        <v>230</v>
      </c>
      <c r="E126" s="13" t="n">
        <v>-0.444</v>
      </c>
      <c r="F126" s="19" t="n">
        <f aca="false">Premium!$C$21</f>
        <v>-0.443880834180484</v>
      </c>
      <c r="G126" s="29" t="n">
        <f aca="false">IF(ISNUMBER(F126),F126-E126,"n/a")</f>
        <v>0.000119165819516154</v>
      </c>
      <c r="H126" s="34" t="n">
        <v>0.000500001</v>
      </c>
      <c r="I126" s="35" t="str">
        <f aca="false">IF(ISNUMBER(F126),IF(ABS(F126-E126)&lt;=H126,"PASS","FAIL"),"FAIL")</f>
        <v>PASS</v>
      </c>
    </row>
    <row r="127" customFormat="false" ht="15" hidden="false" customHeight="false" outlineLevel="0" collapsed="false">
      <c r="B127" s="31" t="n">
        <v>119</v>
      </c>
      <c r="C127" s="9" t="s">
        <v>202</v>
      </c>
      <c r="D127" s="9" t="s">
        <v>231</v>
      </c>
      <c r="E127" s="13" t="n">
        <v>-0.098</v>
      </c>
      <c r="F127" s="19" t="n">
        <f aca="false">Premium!$D$21</f>
        <v>-0.0980709263276707</v>
      </c>
      <c r="G127" s="29" t="n">
        <f aca="false">IF(ISNUMBER(F127),F127-E127,"n/a")</f>
        <v>-7.09263276706673E-005</v>
      </c>
      <c r="H127" s="34" t="n">
        <v>0.000500001</v>
      </c>
      <c r="I127" s="35" t="str">
        <f aca="false">IF(ISNUMBER(F127),IF(ABS(F127-E127)&lt;=H127,"PASS","FAIL"),"FAIL")</f>
        <v>PASS</v>
      </c>
    </row>
    <row r="128" customFormat="false" ht="15" hidden="false" customHeight="false" outlineLevel="0" collapsed="false">
      <c r="B128" s="31" t="n">
        <v>120</v>
      </c>
      <c r="C128" s="9" t="s">
        <v>202</v>
      </c>
      <c r="D128" s="9" t="s">
        <v>232</v>
      </c>
      <c r="E128" s="13" t="n">
        <v>-0.005</v>
      </c>
      <c r="F128" s="19" t="n">
        <f aca="false">Premium!$E$21</f>
        <v>-0.00480680194168215</v>
      </c>
      <c r="G128" s="29" t="n">
        <f aca="false">IF(ISNUMBER(F128),F128-E128,"n/a")</f>
        <v>0.000193198058317852</v>
      </c>
      <c r="H128" s="34" t="n">
        <v>0.000500001</v>
      </c>
      <c r="I128" s="35" t="str">
        <f aca="false">IF(ISNUMBER(F128),IF(ABS(F128-E128)&lt;=H128,"PASS","FAIL"),"FAIL")</f>
        <v>PASS</v>
      </c>
    </row>
    <row r="129" customFormat="false" ht="15" hidden="false" customHeight="false" outlineLevel="0" collapsed="false">
      <c r="B129" s="31" t="n">
        <v>121</v>
      </c>
      <c r="C129" s="9" t="s">
        <v>202</v>
      </c>
      <c r="D129" s="9" t="s">
        <v>233</v>
      </c>
      <c r="E129" s="13" t="n">
        <v>-0.678</v>
      </c>
      <c r="F129" s="19" t="n">
        <f aca="false">Premium!$C$22</f>
        <v>-0.677849070116192</v>
      </c>
      <c r="G129" s="29" t="n">
        <f aca="false">IF(ISNUMBER(F129),F129-E129,"n/a")</f>
        <v>0.000150929883807494</v>
      </c>
      <c r="H129" s="34" t="n">
        <v>0.000500001</v>
      </c>
      <c r="I129" s="35" t="str">
        <f aca="false">IF(ISNUMBER(F129),IF(ABS(F129-E129)&lt;=H129,"PASS","FAIL"),"FAIL")</f>
        <v>PASS</v>
      </c>
    </row>
    <row r="130" customFormat="false" ht="15" hidden="false" customHeight="false" outlineLevel="0" collapsed="false">
      <c r="B130" s="31" t="n">
        <v>122</v>
      </c>
      <c r="C130" s="9" t="s">
        <v>202</v>
      </c>
      <c r="D130" s="9" t="s">
        <v>234</v>
      </c>
      <c r="E130" s="13" t="n">
        <v>-0.238</v>
      </c>
      <c r="F130" s="19" t="n">
        <f aca="false">Premium!$D$22</f>
        <v>-0.237541986454344</v>
      </c>
      <c r="G130" s="29" t="n">
        <f aca="false">IF(ISNUMBER(F130),F130-E130,"n/a")</f>
        <v>0.000458013545655889</v>
      </c>
      <c r="H130" s="34" t="n">
        <v>0.000500001</v>
      </c>
      <c r="I130" s="35" t="str">
        <f aca="false">IF(ISNUMBER(F130),IF(ABS(F130-E130)&lt;=H130,"PASS","FAIL"),"FAIL")</f>
        <v>PASS</v>
      </c>
    </row>
    <row r="131" customFormat="false" ht="15" hidden="false" customHeight="false" outlineLevel="0" collapsed="false">
      <c r="B131" s="31" t="n">
        <v>123</v>
      </c>
      <c r="C131" s="9" t="s">
        <v>202</v>
      </c>
      <c r="D131" s="9" t="s">
        <v>235</v>
      </c>
      <c r="E131" s="13" t="n">
        <v>-0.088</v>
      </c>
      <c r="F131" s="19" t="n">
        <f aca="false">Premium!$E$22</f>
        <v>-0.088052067017159</v>
      </c>
      <c r="G131" s="29" t="n">
        <f aca="false">IF(ISNUMBER(F131),F131-E131,"n/a")</f>
        <v>-5.20670171589438E-005</v>
      </c>
      <c r="H131" s="34" t="n">
        <v>0.000500001</v>
      </c>
      <c r="I131" s="35" t="str">
        <f aca="false">IF(ISNUMBER(F131),IF(ABS(F131-E131)&lt;=H131,"PASS","FAIL"),"FAIL")</f>
        <v>PASS</v>
      </c>
    </row>
    <row r="132" customFormat="false" ht="15" hidden="false" customHeight="false" outlineLevel="0" collapsed="false">
      <c r="B132" s="31" t="n">
        <v>124</v>
      </c>
      <c r="C132" s="9" t="s">
        <v>202</v>
      </c>
      <c r="D132" s="9" t="s">
        <v>236</v>
      </c>
      <c r="E132" s="13" t="n">
        <v>-0.864</v>
      </c>
      <c r="F132" s="19" t="n">
        <f aca="false">Premium!$C$23</f>
        <v>-0.863922141833817</v>
      </c>
      <c r="G132" s="29" t="n">
        <f aca="false">IF(ISNUMBER(F132),F132-E132,"n/a")</f>
        <v>7.7858166182887E-005</v>
      </c>
      <c r="H132" s="34" t="n">
        <v>0.000500001</v>
      </c>
      <c r="I132" s="35" t="str">
        <f aca="false">IF(ISNUMBER(F132),IF(ABS(F132-E132)&lt;=H132,"PASS","FAIL"),"FAIL")</f>
        <v>PASS</v>
      </c>
    </row>
    <row r="133" customFormat="false" ht="15" hidden="false" customHeight="false" outlineLevel="0" collapsed="false">
      <c r="B133" s="31" t="n">
        <v>125</v>
      </c>
      <c r="C133" s="9" t="s">
        <v>202</v>
      </c>
      <c r="D133" s="9" t="s">
        <v>237</v>
      </c>
      <c r="E133" s="13" t="n">
        <v>-0.415</v>
      </c>
      <c r="F133" s="19" t="n">
        <f aca="false">Premium!$D$23</f>
        <v>-0.415135392597492</v>
      </c>
      <c r="G133" s="29" t="n">
        <f aca="false">IF(ISNUMBER(F133),F133-E133,"n/a")</f>
        <v>-0.000135392597492456</v>
      </c>
      <c r="H133" s="34" t="n">
        <v>0.000500001</v>
      </c>
      <c r="I133" s="35" t="str">
        <f aca="false">IF(ISNUMBER(F133),IF(ABS(F133-E133)&lt;=H133,"PASS","FAIL"),"FAIL")</f>
        <v>PASS</v>
      </c>
    </row>
    <row r="134" customFormat="false" ht="15" hidden="false" customHeight="false" outlineLevel="0" collapsed="false">
      <c r="B134" s="31" t="n">
        <v>126</v>
      </c>
      <c r="C134" s="9" t="s">
        <v>202</v>
      </c>
      <c r="D134" s="9" t="s">
        <v>238</v>
      </c>
      <c r="E134" s="13" t="n">
        <v>-0.206</v>
      </c>
      <c r="F134" s="19" t="n">
        <f aca="false">Premium!$E$23</f>
        <v>-0.205513475510903</v>
      </c>
      <c r="G134" s="29" t="n">
        <f aca="false">IF(ISNUMBER(F134),F134-E134,"n/a")</f>
        <v>0.000486524489096835</v>
      </c>
      <c r="H134" s="34" t="n">
        <v>0.000500001</v>
      </c>
      <c r="I134" s="35" t="str">
        <f aca="false">IF(ISNUMBER(F134),IF(ABS(F134-E134)&lt;=H134,"PASS","FAIL"),"FAIL")</f>
        <v>PASS</v>
      </c>
    </row>
    <row r="135" customFormat="false" ht="30" hidden="false" customHeight="true" outlineLevel="0" collapsed="false">
      <c r="B135" s="31" t="n">
        <v>127</v>
      </c>
      <c r="C135" s="9" t="s">
        <v>202</v>
      </c>
      <c r="D135" s="37" t="s">
        <v>239</v>
      </c>
      <c r="E135" s="38" t="s">
        <v>133</v>
      </c>
      <c r="F135" s="39" t="str">
        <f aca="false">IF(ABS(Premium!F28-Premium!C28)&lt;0.0000001,"holds","does not hold")</f>
        <v>holds</v>
      </c>
      <c r="G135" s="9"/>
      <c r="H135" s="9"/>
      <c r="I135" s="35" t="str">
        <f aca="false">IF(ABS(Premium!F28-Premium!C28)&lt;0.0000001,"PASS","FAIL")</f>
        <v>PASS</v>
      </c>
    </row>
    <row r="136" customFormat="false" ht="30" hidden="false" customHeight="true" outlineLevel="0" collapsed="false">
      <c r="B136" s="31" t="n">
        <v>128</v>
      </c>
      <c r="C136" s="9" t="s">
        <v>202</v>
      </c>
      <c r="D136" s="37" t="s">
        <v>240</v>
      </c>
      <c r="E136" s="38" t="s">
        <v>133</v>
      </c>
      <c r="F136" s="39" t="str">
        <f aca="false">IF(ABS(Premium!F29-Premium!C29)&lt;0.0000001,"holds","does not hold")</f>
        <v>holds</v>
      </c>
      <c r="G136" s="9"/>
      <c r="H136" s="9"/>
      <c r="I136" s="35" t="str">
        <f aca="false">IF(ABS(Premium!F29-Premium!C29)&lt;0.0000001,"PASS","FAIL")</f>
        <v>PASS</v>
      </c>
    </row>
    <row r="137" customFormat="false" ht="30" hidden="false" customHeight="true" outlineLevel="0" collapsed="false">
      <c r="B137" s="31" t="n">
        <v>129</v>
      </c>
      <c r="C137" s="9" t="s">
        <v>202</v>
      </c>
      <c r="D137" s="37" t="s">
        <v>241</v>
      </c>
      <c r="E137" s="38" t="s">
        <v>133</v>
      </c>
      <c r="F137" s="39" t="str">
        <f aca="false">IF(ABS(Premium!F30-Premium!C30)&lt;0.0000001,"holds","does not hold")</f>
        <v>holds</v>
      </c>
      <c r="G137" s="9"/>
      <c r="H137" s="9"/>
      <c r="I137" s="35" t="str">
        <f aca="false">IF(ABS(Premium!F30-Premium!C30)&lt;0.0000001,"PASS","FAIL")</f>
        <v>PASS</v>
      </c>
    </row>
    <row r="138" customFormat="false" ht="15" hidden="false" customHeight="false" outlineLevel="0" collapsed="false">
      <c r="B138" s="31" t="n">
        <v>130</v>
      </c>
      <c r="C138" s="9" t="s">
        <v>202</v>
      </c>
      <c r="D138" s="9" t="s">
        <v>242</v>
      </c>
      <c r="E138" s="13" t="n">
        <v>0.071</v>
      </c>
      <c r="F138" s="19" t="n">
        <f aca="false">Premium!$E$28</f>
        <v>0.0708988174496152</v>
      </c>
      <c r="G138" s="29" t="n">
        <f aca="false">IF(ISNUMBER(F138),F138-E138,"n/a")</f>
        <v>-0.000101182550384757</v>
      </c>
      <c r="H138" s="34" t="n">
        <v>0.000500001</v>
      </c>
      <c r="I138" s="35" t="str">
        <f aca="false">IF(ISNUMBER(F138),IF(ABS(F138-E138)&lt;=H138,"PASS","FAIL"),"FAIL")</f>
        <v>PASS</v>
      </c>
    </row>
    <row r="139" customFormat="false" ht="15" hidden="false" customHeight="false" outlineLevel="0" collapsed="false">
      <c r="B139" s="31" t="n">
        <v>131</v>
      </c>
      <c r="C139" s="9" t="s">
        <v>202</v>
      </c>
      <c r="D139" s="9" t="s">
        <v>243</v>
      </c>
      <c r="E139" s="28" t="n">
        <v>1.7</v>
      </c>
      <c r="F139" s="20" t="n">
        <f aca="false">Premium!$E$29</f>
        <v>1.70433562976148</v>
      </c>
      <c r="G139" s="29" t="n">
        <f aca="false">IF(ISNUMBER(F139),F139-E139,"n/a")</f>
        <v>0.00433562976148005</v>
      </c>
      <c r="H139" s="34" t="n">
        <v>0.005000001</v>
      </c>
      <c r="I139" s="35" t="str">
        <f aca="false">IF(ISNUMBER(F139),IF(ABS(F139-E139)&lt;=H139,"PASS","FAIL"),"FAIL")</f>
        <v>PASS</v>
      </c>
    </row>
    <row r="140" customFormat="false" ht="15" hidden="false" customHeight="false" outlineLevel="0" collapsed="false">
      <c r="B140" s="31" t="n">
        <v>132</v>
      </c>
      <c r="C140" s="9" t="s">
        <v>202</v>
      </c>
      <c r="D140" s="9" t="s">
        <v>244</v>
      </c>
      <c r="E140" s="13" t="n">
        <v>0.117</v>
      </c>
      <c r="F140" s="19" t="n">
        <f aca="false">Premium!$E$30</f>
        <v>0.117489802321933</v>
      </c>
      <c r="G140" s="29" t="n">
        <f aca="false">IF(ISNUMBER(F140),F140-E140,"n/a")</f>
        <v>0.000489802321932839</v>
      </c>
      <c r="H140" s="34" t="n">
        <v>0.000500001</v>
      </c>
      <c r="I140" s="35" t="str">
        <f aca="false">IF(ISNUMBER(F140),IF(ABS(F140-E140)&lt;=H140,"PASS","FAIL"),"FAIL")</f>
        <v>PASS</v>
      </c>
    </row>
  </sheetData>
  <conditionalFormatting sqref="I9:I140">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2026-09-24T20:13:16Z</dcterms:created>
  <dc:creator>openpyxl</dc:creator>
  <dc:description/>
  <dc:language>en-US</dc:language>
  <cp:lastModifiedBy/>
  <dcterms:modified xsi:type="dcterms:W3CDTF">2026-09-24T20:13:17Z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