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Discount Is Not a Yield" sheetId="3" state="visible" r:id="rId5"/>
    <sheet name="Discount Against Own Funding" sheetId="4" state="visible" r:id="rId6"/>
    <sheet name="Open Account and Insurance" sheetId="5" state="visible" r:id="rId7"/>
    <sheet name="Collections" sheetId="6" state="visible" r:id="rId8"/>
    <sheet name="Receivables Purchase" sheetId="7" state="visible" r:id="rId9"/>
    <sheet name="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<sst xmlns="http://schemas.openxmlformats.org/spreadsheetml/2006/main" count="501" uniqueCount="358">
  <si>
    <t xml:space="preserve">Trade Finance -- Workbook 3 of 4</t>
  </si>
  <si>
    <t xml:space="preserve">The Cost of the Money: discounts, yields, and the routes with no bank in them</t>
  </si>
  <si>
    <t xml:space="preserve">Julian R. Sterling. Companion files: julianrsterling.com/tradefinance</t>
  </si>
  <si>
    <t xml:space="preserve">What this workbook does</t>
  </si>
  <si>
    <t xml:space="preserve">Harrowgate Instruments ships a 4,200,000 order of process instrumentation to Meridian Process</t>
  </si>
  <si>
    <t xml:space="preserve">Holdings. This workbook prices the arithmetic of the money itself: what a bank discount really</t>
  </si>
  <si>
    <t xml:space="preserve">costs, why a discount rate below your own cost of funds can still be the dearer money, and what</t>
  </si>
  <si>
    <t xml:space="preserve">the routes that carry no bank undertaking cost once their credit risk is priced.</t>
  </si>
  <si>
    <t xml:space="preserve">Chapters 4, 5, 9, 10 and 11 of the book are reproduced here in full.</t>
  </si>
  <si>
    <t xml:space="preserve">The three points it exists to make</t>
  </si>
  <si>
    <t xml:space="preserve">A discount is computed on the FACE and earned on the PROCEEDS. The quoted rate therefore</t>
  </si>
  <si>
    <t xml:space="preserve">understates the cost of the money, always, and by more the longer the tenor.</t>
  </si>
  <si>
    <t xml:space="preserve">Your own facility funds your COST of 3,423,000. A discount funds your PRICE of 4,200,000.</t>
  </si>
  <si>
    <t xml:space="preserve">The two rates are charged on different things and are comparable only after the conversion</t>
  </si>
  <si>
    <t xml:space="preserve">the Discount Against Own Funding sheet performs.</t>
  </si>
  <si>
    <t xml:space="preserve">Open account and the collections carry no bank undertaking, so they carry credit risk instead,</t>
  </si>
  <si>
    <t xml:space="preserve">and that risk is a cost whether or not anyone invoices it.</t>
  </si>
  <si>
    <t xml:space="preserve">Two conventions, and they are not the same</t>
  </si>
  <si>
    <t xml:space="preserve">Money is actual/360. Every financing cost, fee and discount on every sheet divides by 360.</t>
  </si>
  <si>
    <t xml:space="preserve">Probability is annualised on 365, as one less one minus the annual rate raised to days over 365.</t>
  </si>
  <si>
    <t xml:space="preserve">Both divisors sit on the Inputs sheet as blue cells so neither can drift.</t>
  </si>
  <si>
    <t xml:space="preserve">One rule about the discount, and it matters</t>
  </si>
  <si>
    <t xml:space="preserve">A discount appears ONCE, on its own line. It is never also folded into a fee. Double-counting the</t>
  </si>
  <si>
    <t xml:space="preserve">discount inside the fee line was the worst defect this model ever carried, and every fee total in</t>
  </si>
  <si>
    <t xml:space="preserve">this file is built from its named components so that the defect cannot return unseen.</t>
  </si>
  <si>
    <t xml:space="preserve">Conventions</t>
  </si>
  <si>
    <t xml:space="preserve">Blue text is an input. Change it and everything recomputes.</t>
  </si>
  <si>
    <t xml:space="preserve">A yellow fill marks an assumption that decides the answer rather than merely feeding it:</t>
  </si>
  <si>
    <t xml:space="preserve">the exporter's cost of funds, the cost of goods sold percentage, and the buyer's default probability.</t>
  </si>
  <si>
    <t xml:space="preserve">Black text is a formula. Do not overtype it.</t>
  </si>
  <si>
    <t xml:space="preserve">Green text is a link to a computed cell, or a residual that must read zero.</t>
  </si>
  <si>
    <t xml:space="preserve">The Checks sheet</t>
  </si>
  <si>
    <t xml:space="preserve">Every figure the book prints within this workbook's scope appears there beside the figure this</t>
  </si>
  <si>
    <t xml:space="preserve">workbook computes, with the difference and PASS or FAIL. Each priced route also carries an</t>
  </si>
  <si>
    <t xml:space="preserve">identity check: margin after finance equals 306,600 less the total cost, to the cent.</t>
  </si>
  <si>
    <t xml:space="preserve">If a check ever reads FAIL, the workbook is wrong, not the book.</t>
  </si>
  <si>
    <t xml:space="preserve">There are no macros, no external links, no protection and no circular references.</t>
  </si>
  <si>
    <t xml:space="preserve">The file behaves identically in Excel, LibreOffice and Google Sheets.</t>
  </si>
  <si>
    <t xml:space="preserve">Inputs</t>
  </si>
  <si>
    <t xml:space="preserve">Every figure in this workbook is computed from these cells. Nothing else in the file is typed.</t>
  </si>
  <si>
    <t xml:space="preserve">Value</t>
  </si>
  <si>
    <t xml:space="preserve">Note</t>
  </si>
  <si>
    <t xml:space="preserve">The order</t>
  </si>
  <si>
    <t xml:space="preserve">Contract value</t>
  </si>
  <si>
    <t xml:space="preserve">Harrowgate Instruments to Meridian Process Holdings</t>
  </si>
  <si>
    <t xml:space="preserve">Cost of goods sold, per cent of the price</t>
  </si>
  <si>
    <t xml:space="preserve">Deciding assumption. It sets what the exporter's own facility has to fund.</t>
  </si>
  <si>
    <t xml:space="preserve">Cost of goods sold</t>
  </si>
  <si>
    <t xml:space="preserve">This, and not the contract value, is what the exporter finances</t>
  </si>
  <si>
    <t xml:space="preserve">Gross margin</t>
  </si>
  <si>
    <t xml:space="preserve">Gross margin, per cent of the price</t>
  </si>
  <si>
    <t xml:space="preserve">Selling, general and administrative, per cent of the price</t>
  </si>
  <si>
    <t xml:space="preserve">Selling, general and administrative</t>
  </si>
  <si>
    <t xml:space="preserve">OPERATING MARGIN BEFORE ANY FINANCE COST</t>
  </si>
  <si>
    <t xml:space="preserve">Every total cost on every sheet is measured against this figure</t>
  </si>
  <si>
    <t xml:space="preserve">Exporter's own cost of funds, a year</t>
  </si>
  <si>
    <t xml:space="preserve">Deciding assumption. Charged on the cost, actual/360.</t>
  </si>
  <si>
    <t xml:space="preserve">The calendar, in days</t>
  </si>
  <si>
    <t xml:space="preserve">Production, order to ship-ready</t>
  </si>
  <si>
    <t xml:space="preserve">Money is out from the start of production</t>
  </si>
  <si>
    <t xml:space="preserve">Transit, port to port and inland</t>
  </si>
  <si>
    <t xml:space="preserve">Shipment to presentation of documents</t>
  </si>
  <si>
    <t xml:space="preserve">Collection cycle, presentation to remittance</t>
  </si>
  <si>
    <t xml:space="preserve">D/P and D/A alike</t>
  </si>
  <si>
    <t xml:space="preserve">Receivables purchase settlement, presentation to funds</t>
  </si>
  <si>
    <t xml:space="preserve">Buyer credit period, stated term</t>
  </si>
  <si>
    <t xml:space="preserve">Ninety days, but ninety days from WHAT differs by route</t>
  </si>
  <si>
    <t xml:space="preserve">Money day count basis</t>
  </si>
  <si>
    <t xml:space="preserve">Actual/360, the convention of the trade. Never used for probability.</t>
  </si>
  <si>
    <t xml:space="preserve">Probability annualisation basis</t>
  </si>
  <si>
    <t xml:space="preserve">Probabilities annualise on 365. Never used for money.</t>
  </si>
  <si>
    <t xml:space="preserve">The counterparty</t>
  </si>
  <si>
    <t xml:space="preserve">Buyer one-year probability of default</t>
  </si>
  <si>
    <t xml:space="preserve">Deciding assumption. It prices every route with no bank undertaking in it.</t>
  </si>
  <si>
    <t xml:space="preserve">Loss given default on an unsecured trade claim</t>
  </si>
  <si>
    <t xml:space="preserve">Issuing bank one-year probability of default</t>
  </si>
  <si>
    <t xml:space="preserve">Carried for completeness; no credit is priced on this sheet</t>
  </si>
  <si>
    <t xml:space="preserve">Country transfer and convertibility event, one year</t>
  </si>
  <si>
    <t xml:space="preserve">As above</t>
  </si>
  <si>
    <t xml:space="preserve">What the instruments are priced at</t>
  </si>
  <si>
    <t xml:space="preserve">Credit insurance premium, per cent of the invoice</t>
  </si>
  <si>
    <t xml:space="preserve">Credit insurance cover, share of a loss the policy pays</t>
  </si>
  <si>
    <t xml:space="preserve">The uncovered tenth stays with the exporter</t>
  </si>
  <si>
    <t xml:space="preserve">Collection fee, per cent of the invoice</t>
  </si>
  <si>
    <t xml:space="preserve">Collection fee, minimum</t>
  </si>
  <si>
    <t xml:space="preserve">Not binding on an order this size</t>
  </si>
  <si>
    <t xml:space="preserve">Couriers, legalisation and certificates</t>
  </si>
  <si>
    <t xml:space="preserve">Receivables purchase discount, a year</t>
  </si>
  <si>
    <t xml:space="preserve">Computed on the FACE, never on the proceeds</t>
  </si>
  <si>
    <t xml:space="preserve">Receivables purchase commission, per cent of the face</t>
  </si>
  <si>
    <t xml:space="preserve">A charge for the money, and it is not inside the discount</t>
  </si>
  <si>
    <t xml:space="preserve">Confirming bank's discount rate, a year</t>
  </si>
  <si>
    <t xml:space="preserve">The rate the discount sheets convert</t>
  </si>
  <si>
    <t xml:space="preserve">The judgement inputs</t>
  </si>
  <si>
    <t xml:space="preserve">Refusal to take up documents under D/P, multiple of the buyer's default probability</t>
  </si>
  <si>
    <t xml:space="preserve">A judgement, not a measurement. Refusing is easier than defaulting.</t>
  </si>
  <si>
    <t xml:space="preserve">Loss on a refused D/P consignment sold under duress</t>
  </si>
  <si>
    <t xml:space="preserve">Of contract value, the cargo being in the wrong market</t>
  </si>
  <si>
    <t xml:space="preserve">D/A expected loss as a share of the open-account loss</t>
  </si>
  <si>
    <t xml:space="preserve">An accepted bill is worth something only where it is quickly enforceable</t>
  </si>
  <si>
    <t xml:space="preserve">Dispute rate on a purchased receivable</t>
  </si>
  <si>
    <t xml:space="preserve">Dilution is not a credit event, so non-recourse does not cover it</t>
  </si>
  <si>
    <t xml:space="preserve">Loss on a disputed receivable</t>
  </si>
  <si>
    <t xml:space="preserve">Tenors used on the discount sheets</t>
  </si>
  <si>
    <t xml:space="preserve">Short tenor, days</t>
  </si>
  <si>
    <t xml:space="preserve">Middle tenor, days</t>
  </si>
  <si>
    <t xml:space="preserve">Long tenor, days</t>
  </si>
  <si>
    <t xml:space="preserve">A bank discount is not a yield</t>
  </si>
  <si>
    <t xml:space="preserve">The discount is computed on the face and earned on the proceeds. Change the rate on Inputs, or any tenor below, and watch the gap move.</t>
  </si>
  <si>
    <t xml:space="preserve">90 days</t>
  </si>
  <si>
    <t xml:space="preserve">120 days</t>
  </si>
  <si>
    <t xml:space="preserve">180 days</t>
  </si>
  <si>
    <t xml:space="preserve">The conversion</t>
  </si>
  <si>
    <t xml:space="preserve">Tenor, days</t>
  </si>
  <si>
    <t xml:space="preserve">Face value of the bill</t>
  </si>
  <si>
    <t xml:space="preserve">The amount the bank will be paid at maturity</t>
  </si>
  <si>
    <t xml:space="preserve">Quoted discount rate, a year</t>
  </si>
  <si>
    <t xml:space="preserve">One rate, three tenors</t>
  </si>
  <si>
    <t xml:space="preserve">Discount taken, computed on the FACE</t>
  </si>
  <si>
    <t xml:space="preserve">Proceeds, the money actually received</t>
  </si>
  <si>
    <t xml:space="preserve">This is the amount the exporter has the use of</t>
  </si>
  <si>
    <t xml:space="preserve">Equivalent yield, earned on the PROCEEDS</t>
  </si>
  <si>
    <t xml:space="preserve">The cost the exporter actually bears</t>
  </si>
  <si>
    <t xml:space="preserve">Gap, quoted against borne, basis points</t>
  </si>
  <si>
    <t xml:space="preserve">Twelve, sixteen and twenty-five basis points of understatement</t>
  </si>
  <si>
    <t xml:space="preserve">Gap as a share of the quoted rate</t>
  </si>
  <si>
    <t xml:space="preserve">The identity behind it</t>
  </si>
  <si>
    <t xml:space="preserve">Discount as a share of the face</t>
  </si>
  <si>
    <t xml:space="preserve">Proceeds as a share of the face</t>
  </si>
  <si>
    <t xml:space="preserve">Yield restated: the rate over one less the rate times days over 360</t>
  </si>
  <si>
    <t xml:space="preserve">The closed form. It is the same number as the yield above.</t>
  </si>
  <si>
    <t xml:space="preserve">Difference against the yield above, must read zero</t>
  </si>
  <si>
    <t xml:space="preserve">A residual, not a result</t>
  </si>
  <si>
    <t xml:space="preserve">The gap widens with the tenor</t>
  </si>
  <si>
    <t xml:space="preserve">Gap at 180 days less gap at 90 days, basis points</t>
  </si>
  <si>
    <t xml:space="preserve">Doubling the tenor more than doubles the understatement, because the proceeds shrink as well.</t>
  </si>
  <si>
    <t xml:space="preserve">The 180-day gap as a multiple of the 90-day gap</t>
  </si>
  <si>
    <t xml:space="preserve">Not two. The denominator moves too.</t>
  </si>
  <si>
    <t xml:space="preserve">The same conversion across a ladder of tenors</t>
  </si>
  <si>
    <t xml:space="preserve">Discount taken</t>
  </si>
  <si>
    <t xml:space="preserve">Proceeds</t>
  </si>
  <si>
    <t xml:space="preserve">Equivalent yield</t>
  </si>
  <si>
    <t xml:space="preserve">Gap, basis points</t>
  </si>
  <si>
    <t xml:space="preserve">Overtype any tenor in the blue column. The book prints the 90, 120 and 180 day rows; the rest are yours to move.</t>
  </si>
  <si>
    <t xml:space="preserve">At 360 days the gap is no longer a rounding difference. It is a rate the quotation never mentioned.</t>
  </si>
  <si>
    <t xml:space="preserve">Why 6.90 per cent can cost more than 8.40 per cent</t>
  </si>
  <si>
    <t xml:space="preserve">Your own facility funds your COST. A discount funds your PRICE. The rates are charged on different things and are comparable only after the conversion below.</t>
  </si>
  <si>
    <t xml:space="preserve">Two rates, charged on two different things</t>
  </si>
  <si>
    <t xml:space="preserve">Your own facility: the rate</t>
  </si>
  <si>
    <t xml:space="preserve">The dearer rate of the two</t>
  </si>
  <si>
    <t xml:space="preserve">Your own facility: what it is charged on, your COST</t>
  </si>
  <si>
    <t xml:space="preserve">81.5 per cent of the price. The factory was paid this, not the invoice.</t>
  </si>
  <si>
    <t xml:space="preserve">Your own facility: the cost of the money</t>
  </si>
  <si>
    <t xml:space="preserve">The discount: the rate</t>
  </si>
  <si>
    <t xml:space="preserve">The cheaper rate of the two</t>
  </si>
  <si>
    <t xml:space="preserve">The discount: what it is charged on, your PRICE</t>
  </si>
  <si>
    <t xml:space="preserve">The whole invoice, margin included</t>
  </si>
  <si>
    <t xml:space="preserve">The discount: the cost of the money</t>
  </si>
  <si>
    <t xml:space="preserve">Difference, the discount less your own facility</t>
  </si>
  <si>
    <t xml:space="preserve">Positive means the lower rate is the dearer money</t>
  </si>
  <si>
    <t xml:space="preserve">Cheaper on these numbers</t>
  </si>
  <si>
    <t xml:space="preserve">The lower rate costs more by, share of the own-facility cost</t>
  </si>
  <si>
    <t xml:space="preserve">The break-even discount rate</t>
  </si>
  <si>
    <t xml:space="preserve">Ratio of your cost to your price</t>
  </si>
  <si>
    <t xml:space="preserve">The whole of the conversion sits in this one ratio</t>
  </si>
  <si>
    <t xml:space="preserve">Break-even discount rate</t>
  </si>
  <si>
    <t xml:space="preserve">Solved from the equality: cost times own rate equals price times discount rate. The tenor cancels, which is why both columns agree.</t>
  </si>
  <si>
    <t xml:space="preserve">The discount at that rate, in money</t>
  </si>
  <si>
    <t xml:space="preserve">Difference against your own facility, must read zero</t>
  </si>
  <si>
    <t xml:space="preserve">Break-even less the quoted discount rate, basis points</t>
  </si>
  <si>
    <t xml:space="preserve">Negative means the quoted discount sits above the break-even and is therefore the dearer money</t>
  </si>
  <si>
    <t xml:space="preserve">Is the quoted discount cheaper than your own facility?</t>
  </si>
  <si>
    <t xml:space="preserve">The two rates restated on one base</t>
  </si>
  <si>
    <t xml:space="preserve">Your own cost of funds restated on the PRICE</t>
  </si>
  <si>
    <t xml:space="preserve">8.40 per cent of your cost is this much of your price</t>
  </si>
  <si>
    <t xml:space="preserve">The discount rate restated on your COST</t>
  </si>
  <si>
    <t xml:space="preserve">6.90 per cent of your price is this much of your cost</t>
  </si>
  <si>
    <t xml:space="preserve">The restated discount less your own cost of funds, basis points</t>
  </si>
  <si>
    <t xml:space="preserve">The honest spread between the two facilities, once both are on one base</t>
  </si>
  <si>
    <t xml:space="preserve">A rate is a number attached to a base. Quoting two rates without their bases is not a comparison, it is a coincidence.</t>
  </si>
  <si>
    <t xml:space="preserve">The break-even does not depend on the tenor: both sides of the equality carry the same days, and the days cancel. Lengthening the tenor changes the money, not the decision.</t>
  </si>
  <si>
    <t xml:space="preserve">Raise the cost of goods sold percentage on Inputs and the break-even rises with it. An exporter on thinner margins can accept a dearer discount.</t>
  </si>
  <si>
    <t xml:space="preserve">Open account, and what the insurance changes</t>
  </si>
  <si>
    <t xml:space="preserve">No bank, no instrument, no undertaking. The exporter ships, invoices and waits, and carries the buyer for every day of it.</t>
  </si>
  <si>
    <t xml:space="preserve">Open account</t>
  </si>
  <si>
    <t xml:space="preserve">Credit insured</t>
  </si>
  <si>
    <t xml:space="preserve">The calendar</t>
  </si>
  <si>
    <t xml:space="preserve">Production, order to ship-ready, days</t>
  </si>
  <si>
    <t xml:space="preserve">Transit, port to port and inland, days</t>
  </si>
  <si>
    <t xml:space="preserve">Buyer credit period, stated term, days</t>
  </si>
  <si>
    <t xml:space="preserve">Days to cash</t>
  </si>
  <si>
    <t xml:space="preserve">From order to money in the bank</t>
  </si>
  <si>
    <t xml:space="preserve">Days the exporter carries the buyer, the exposure period</t>
  </si>
  <si>
    <t xml:space="preserve">The risk starts at shipment, not at invoice</t>
  </si>
  <si>
    <t xml:space="preserve">Days of buyer credit measured from the bill of lading</t>
  </si>
  <si>
    <t xml:space="preserve">Ninety, and on this route ninety means ninety</t>
  </si>
  <si>
    <t xml:space="preserve">Financing, charged on the COST and not on the price</t>
  </si>
  <si>
    <t xml:space="preserve">Amount financed, the cost of goods sold</t>
  </si>
  <si>
    <t xml:space="preserve">The exporter funds what it spent, not what it invoiced</t>
  </si>
  <si>
    <t xml:space="preserve">Financing cost</t>
  </si>
  <si>
    <t xml:space="preserve">Actual/360</t>
  </si>
  <si>
    <t xml:space="preserve">Fees and discount</t>
  </si>
  <si>
    <t xml:space="preserve">Credit insurance premium rate, per cent of the invoice</t>
  </si>
  <si>
    <t xml:space="preserve">Credit insurance premium</t>
  </si>
  <si>
    <t xml:space="preserve">No policy in the left column, so no premium</t>
  </si>
  <si>
    <t xml:space="preserve">Fees and discount, total</t>
  </si>
  <si>
    <t xml:space="preserve">There is no bank on this route, so there is nothing else to pay</t>
  </si>
  <si>
    <t xml:space="preserve">Expected loss</t>
  </si>
  <si>
    <t xml:space="preserve">Buyer probability of default over the exposure period</t>
  </si>
  <si>
    <t xml:space="preserve">Annualised on 365, which is the one place 360 is wrong</t>
  </si>
  <si>
    <t xml:space="preserve">Expected loss before insurance</t>
  </si>
  <si>
    <t xml:space="preserve">Share of a loss the policy covers</t>
  </si>
  <si>
    <t xml:space="preserve">Share left with the exporter</t>
  </si>
  <si>
    <t xml:space="preserve">The uncovered tenth</t>
  </si>
  <si>
    <t xml:space="preserve">Expected loss borne by the exporter</t>
  </si>
  <si>
    <t xml:space="preserve">Expected loss removed by the policy</t>
  </si>
  <si>
    <t xml:space="preserve">The total, and what is left</t>
  </si>
  <si>
    <t xml:space="preserve">Financing</t>
  </si>
  <si>
    <t xml:space="preserve">TOTAL COST</t>
  </si>
  <si>
    <t xml:space="preserve">Cost as a share of the operating margin</t>
  </si>
  <si>
    <t xml:space="preserve">Against 306,600, which is all the order earns before any finance cost</t>
  </si>
  <si>
    <t xml:space="preserve">Margin after finance</t>
  </si>
  <si>
    <t xml:space="preserve">Margin, per cent of the contract value</t>
  </si>
  <si>
    <t xml:space="preserve">Effective cost of the money, a year</t>
  </si>
  <si>
    <t xml:space="preserve">Total cost annualised over the days to cash</t>
  </si>
  <si>
    <t xml:space="preserve">Identity: operating margin less total cost less margin after finance</t>
  </si>
  <si>
    <t xml:space="preserve">Must read zero on every priced route in this file</t>
  </si>
  <si>
    <t xml:space="preserve">What the uncovered tenth is worth</t>
  </si>
  <si>
    <t xml:space="preserve">Premium paid</t>
  </si>
  <si>
    <t xml:space="preserve">Expected loss removed</t>
  </si>
  <si>
    <t xml:space="preserve">Loss removed less premium paid</t>
  </si>
  <si>
    <t xml:space="preserve">Positive means the policy is bought below its actuarial price</t>
  </si>
  <si>
    <t xml:space="preserve">Does the policy pay for itself at these probabilities?</t>
  </si>
  <si>
    <t xml:space="preserve">Buyer one-year default probability at which premium equals loss removed</t>
  </si>
  <si>
    <t xml:space="preserve">Below this the policy is dear; above it, cheap</t>
  </si>
  <si>
    <t xml:space="preserve">The model's assumed buyer probability</t>
  </si>
  <si>
    <t xml:space="preserve">The uncovered tenth, in money</t>
  </si>
  <si>
    <t xml:space="preserve">What the exporter still stands to lose with a policy in place</t>
  </si>
  <si>
    <t xml:space="preserve">Credit insurance does not remove the risk. It removes nine tenths of it and charges a premium that is certain against a loss that is not.</t>
  </si>
  <si>
    <t xml:space="preserve">The premium is a fee and sits in the fee line. The uncovered tenth is an expected loss and sits in the expected-loss line. Neither is netted against the other before the total.</t>
  </si>
  <si>
    <t xml:space="preserve">Policies carry conditions, waiting periods and a duty to notify. None of that is modelled here, and every one of them delays cash.</t>
  </si>
  <si>
    <t xml:space="preserve">Documents against payment, documents against acceptance</t>
  </si>
  <si>
    <t xml:space="preserve">The bank is a postman, not an obligor. It presents documents and remits money. It promises nothing.</t>
  </si>
  <si>
    <t xml:space="preserve">D/P</t>
  </si>
  <si>
    <t xml:space="preserve">D/A</t>
  </si>
  <si>
    <t xml:space="preserve">Shipment to presentation of documents, days</t>
  </si>
  <si>
    <t xml:space="preserve">Collection cycle, presentation to remittance, days</t>
  </si>
  <si>
    <t xml:space="preserve">Buyer credit period after acceptance, stated term, days</t>
  </si>
  <si>
    <t xml:space="preserve">D/P grants no credit at all. That is the whole difference between the two columns.</t>
  </si>
  <si>
    <t xml:space="preserve">Ninety days is not ninety days</t>
  </si>
  <si>
    <t xml:space="preserve">On D/A the ninety days run from ACCEPTANCE, and acceptance is sixteen days after the bill of lading</t>
  </si>
  <si>
    <t xml:space="preserve">The same period on open account</t>
  </si>
  <si>
    <t xml:space="preserve">Open account runs its ninety days from shipment</t>
  </si>
  <si>
    <t xml:space="preserve">Extra days this route carries against open account</t>
  </si>
  <si>
    <t xml:space="preserve">Sixteen days the exporter finances and nobody negotiated</t>
  </si>
  <si>
    <t xml:space="preserve">of which, shipment to presentation of documents</t>
  </si>
  <si>
    <t xml:space="preserve">of which, the collection cycle</t>
  </si>
  <si>
    <t xml:space="preserve">Presentation, acceptance, remittance. Bank machinery, not a term conceded to the buyer.</t>
  </si>
  <si>
    <t xml:space="preserve">Collection fee charged</t>
  </si>
  <si>
    <t xml:space="preserve">The percentage bites on an order this size; the minimum does not</t>
  </si>
  <si>
    <t xml:space="preserve">There is no discount on either route, so the line is fees alone</t>
  </si>
  <si>
    <t xml:space="preserve">Annualised on 365</t>
  </si>
  <si>
    <t xml:space="preserve">Refusal multiple: refusing is easier than defaulting</t>
  </si>
  <si>
    <t xml:space="preserve">Probability the buyer declines to take up the documents</t>
  </si>
  <si>
    <t xml:space="preserve">Loss on a refused consignment sold under duress</t>
  </si>
  <si>
    <t xml:space="preserve">The cargo is at a foreign port in the exporter's name</t>
  </si>
  <si>
    <t xml:space="preserve">Expected loss as a share of the open-account loss</t>
  </si>
  <si>
    <t xml:space="preserve">An accepted bill removes a tenth of the loss, and only where it is quickly enforceable</t>
  </si>
  <si>
    <t xml:space="preserve">Must read zero</t>
  </si>
  <si>
    <t xml:space="preserve">What this sheet assumes, and where it is weakest</t>
  </si>
  <si>
    <t xml:space="preserve">The model assumes the drawee pays on presentation. A real D/P buyer pays when the cargo arrives, which on this lane is later, and sometimes considerably later.</t>
  </si>
  <si>
    <t xml:space="preserve">Days to cash on the D/P column is therefore the figure in this workbook most exposed to drift. Add the days your own lane actually runs and the D/P advantage narrows.</t>
  </si>
  <si>
    <t xml:space="preserve">The sixteen extra days on D/A are not a concession. They are the instrument's own machinery, and the exporter finances every one of them.</t>
  </si>
  <si>
    <t xml:space="preserve">Neither route carries a bank undertaking. URC 522 governs the handling of the documents; it does not make the collecting bank liable for the money.</t>
  </si>
  <si>
    <t xml:space="preserve">Selling the receivable</t>
  </si>
  <si>
    <t xml:space="preserve">Non-recourse purchase of a ninety-day receivable. The credit risk is sold. The commercial dispute is not.</t>
  </si>
  <si>
    <t xml:space="preserve">The receivable and the calendar</t>
  </si>
  <si>
    <t xml:space="preserve">Face value of the receivable</t>
  </si>
  <si>
    <t xml:space="preserve">Tenor of the receivable, days</t>
  </si>
  <si>
    <t xml:space="preserve">What the purchaser discounts</t>
  </si>
  <si>
    <t xml:space="preserve">Production, transit, documents, and four days to settle the purchase</t>
  </si>
  <si>
    <t xml:space="preserve">Ninety, and the purchaser carries them, not the exporter</t>
  </si>
  <si>
    <t xml:space="preserve">The exporter still funds production. Selling the receivable shortens that period; it does not remove it.</t>
  </si>
  <si>
    <t xml:space="preserve">What the purchaser charges</t>
  </si>
  <si>
    <t xml:space="preserve">Purchase discount rate, a year</t>
  </si>
  <si>
    <t xml:space="preserve">Discount, computed on the FACE</t>
  </si>
  <si>
    <t xml:space="preserve">On the face, not on the proceeds. This line appears once in this workbook and nowhere else.</t>
  </si>
  <si>
    <t xml:space="preserve">Commission, per cent of the face</t>
  </si>
  <si>
    <t xml:space="preserve">Commission</t>
  </si>
  <si>
    <t xml:space="preserve">A separate charge. It is not inside the discount and the discount is not inside it.</t>
  </si>
  <si>
    <t xml:space="preserve">Built from its three named components, so the discount cannot be counted twice</t>
  </si>
  <si>
    <t xml:space="preserve">What is not sold: dilution</t>
  </si>
  <si>
    <t xml:space="preserve">Dilution, the expected loss the exporter keeps</t>
  </si>
  <si>
    <t xml:space="preserve">A dispute is not a credit event, so non-recourse does not reach it. The purchaser comes back.</t>
  </si>
  <si>
    <t xml:space="preserve">Expected loss, dilution</t>
  </si>
  <si>
    <t xml:space="preserve">The dearest of the six routes the book prices at ninety days</t>
  </si>
  <si>
    <t xml:space="preserve">Short days to cash, so the same money annualises steeply</t>
  </si>
  <si>
    <t xml:space="preserve">The discount converted to a yield</t>
  </si>
  <si>
    <t xml:space="preserve">Face value</t>
  </si>
  <si>
    <t xml:space="preserve">Less the discount</t>
  </si>
  <si>
    <t xml:space="preserve">Proceeds after the discount</t>
  </si>
  <si>
    <t xml:space="preserve">Yield on the proceeds, a year</t>
  </si>
  <si>
    <t xml:space="preserve">The discount rate restated as what it actually costs</t>
  </si>
  <si>
    <t xml:space="preserve">Quoted discount rate</t>
  </si>
  <si>
    <t xml:space="preserve">And the commission converted with it</t>
  </si>
  <si>
    <t xml:space="preserve">Less the commission</t>
  </si>
  <si>
    <t xml:space="preserve">Money actually advanced</t>
  </si>
  <si>
    <t xml:space="preserve">What reaches the exporter's account</t>
  </si>
  <si>
    <t xml:space="preserve">Total charge for the money, discount plus commission</t>
  </si>
  <si>
    <t xml:space="preserve">Couriers are a cost of the shipment, not a charge for the money, so they stay out of this line</t>
  </si>
  <si>
    <t xml:space="preserve">All-in cost on the money advanced, a year</t>
  </si>
  <si>
    <t xml:space="preserve">All-in less the quoted discount rate, basis points</t>
  </si>
  <si>
    <t xml:space="preserve">Two and a half percentage points the quotation never mentioned</t>
  </si>
  <si>
    <t xml:space="preserve">A commission quoted flat is not cheap because it is small. Charged once on a ninety-day receivable it annualises at four times its face.</t>
  </si>
  <si>
    <t xml:space="preserve">Non-recourse sells the buyer's credit and nothing else. Dilution, set-off, a disputed delivery and a late claim all come back to the exporter.</t>
  </si>
  <si>
    <t xml:space="preserve">The discount is charged on the face. It appears on line 18 and is carried into line 22 once. Nothing else in this file adds it again.</t>
  </si>
  <si>
    <t xml:space="preserve">Checks</t>
  </si>
  <si>
    <t xml:space="preserve">Every figure the book prints within this workbook's scope, beside the figure this workbook computes.</t>
  </si>
  <si>
    <t xml:space="preserve">A FAIL means the workbook is wrong, not the book. Computed values are rounded to the precision the book prints.</t>
  </si>
  <si>
    <t xml:space="preserve">The identity rows are structural: on every priced route the margin after finance must equal 306,600 less the total cost, exactly.</t>
  </si>
  <si>
    <t xml:space="preserve">Figure</t>
  </si>
  <si>
    <t xml:space="preserve">As printed</t>
  </si>
  <si>
    <t xml:space="preserve">Computed</t>
  </si>
  <si>
    <t xml:space="preserve">Difference</t>
  </si>
  <si>
    <t xml:space="preserve">Verdict</t>
  </si>
  <si>
    <t xml:space="preserve">Operating margin before any finance cost</t>
  </si>
  <si>
    <t xml:space="preserve">A bank discount is not a yield, 90 days</t>
  </si>
  <si>
    <t xml:space="preserve">Face</t>
  </si>
  <si>
    <t xml:space="preserve">Closed form against the yield, must be zero</t>
  </si>
  <si>
    <t xml:space="preserve">A bank discount is not a yield, 120 days</t>
  </si>
  <si>
    <t xml:space="preserve">A bank discount is not a yield, 180 days</t>
  </si>
  <si>
    <t xml:space="preserve">The discount against your own funding, 90 days</t>
  </si>
  <si>
    <t xml:space="preserve">Own facility on the cost of 3,423,000</t>
  </si>
  <si>
    <t xml:space="preserve">The discount on the price of 4,200,000</t>
  </si>
  <si>
    <t xml:space="preserve">Difference, in favour of the own facility</t>
  </si>
  <si>
    <t xml:space="preserve">Ratio of the cost to the price</t>
  </si>
  <si>
    <t xml:space="preserve">Break-even identity, must be zero</t>
  </si>
  <si>
    <t xml:space="preserve">The discount against your own funding, 180 days</t>
  </si>
  <si>
    <t xml:space="preserve">Open account, 90 days</t>
  </si>
  <si>
    <t xml:space="preserve">Days of buyer credit from the bill of lading</t>
  </si>
  <si>
    <t xml:space="preserve">Total cost</t>
  </si>
  <si>
    <t xml:space="preserve">Effective cost a year</t>
  </si>
  <si>
    <t xml:space="preserve">Identity, margin after finance equals 306,600 less total cost</t>
  </si>
  <si>
    <t xml:space="preserve">Open account, 90 days, credit insured</t>
  </si>
  <si>
    <t xml:space="preserve">Fees and discount, the premium</t>
  </si>
  <si>
    <t xml:space="preserve">Expected loss, the uncovered tenth</t>
  </si>
  <si>
    <t xml:space="preserve">Documentary collection, documents against payment</t>
  </si>
  <si>
    <t xml:space="preserve">Documents against acceptance</t>
  </si>
  <si>
    <t xml:space="preserve">Extra days carried against open account</t>
  </si>
  <si>
    <t xml:space="preserve">Receivables purchase, non-recourse, 90-day receivable</t>
  </si>
  <si>
    <t xml:space="preserve">Discount, on the face</t>
  </si>
  <si>
    <t xml:space="preserve">Dilution, expected loss retained</t>
  </si>
  <si>
    <t xml:space="preserve">Money actually advanced, after the commission</t>
  </si>
  <si>
    <t xml:space="preserve">Total charge for the money</t>
  </si>
  <si>
    <t xml:space="preserve">Checks run</t>
  </si>
  <si>
    <t xml:space="preserve">PASS</t>
  </si>
  <si>
    <t xml:space="preserve">FAIL</t>
  </si>
  <si>
    <t xml:space="preserve">Overtype a blue cell on Inputs and these checks will fail by design. That is the workbook working, not breaking.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</si>
</sst>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%"/>
    <numFmt numFmtId="167" formatCode="0.00%"/>
    <numFmt numFmtId="168" formatCode="0.0000%"/>
    <numFmt numFmtId="169" formatCode="#,##0.00"/>
    <numFmt numFmtId="170" formatCode="#,##0.0"/>
    <numFmt numFmtId="171" formatCode="#,##0.00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83A"/>
      <name val="Calibri"/>
      <family val="0"/>
      <charset val="1"/>
    </font>
    <font>
      <b val="true"/>
      <sz val="11"/>
      <color rgb="FF14283A"/>
      <name val="Calibri"/>
      <family val="0"/>
      <charset val="1"/>
    </font>
    <font>
      <sz val="10"/>
      <name val="Calibri"/>
      <family val="0"/>
      <charset val="1"/>
    </font>
    <font>
      <b val="true"/>
      <sz val="10"/>
      <name val="Calibri"/>
      <family val="0"/>
      <charset val="1"/>
    </font>
    <font>
      <sz val="10"/>
      <color rgb="FF0000CC"/>
      <name val="Calibri"/>
      <family val="0"/>
      <charset val="1"/>
    </font>
    <font>
      <sz val="9"/>
      <color rgb="FF666666"/>
      <name val="Calibri"/>
      <family val="0"/>
      <charset val="1"/>
    </font>
    <font>
      <sz val="10"/>
      <color rgb="FF0066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BBBBB"/>
      </bottom>
      <diagonal/>
    </border>
    <border diagonalUp="false" diagonalDown="false">
      <left/>
      <right/>
      <top style="thin">
        <color rgb="FF33333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428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8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2" t="s">
        <v>3</v>
      </c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2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 t="s">
        <v>14</v>
      </c>
    </row>
    <row r="20" customFormat="false" ht="1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3" t="s">
        <v>16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2" t="s">
        <v>17</v>
      </c>
    </row>
    <row r="24" customFormat="false" ht="15" hidden="false" customHeight="false" outlineLevel="0" collapsed="false">
      <c r="B24" s="3" t="s">
        <v>18</v>
      </c>
    </row>
    <row r="25" customFormat="false" ht="15" hidden="false" customHeight="false" outlineLevel="0" collapsed="false">
      <c r="B25" s="3" t="s">
        <v>19</v>
      </c>
    </row>
    <row r="26" customFormat="false" ht="15" hidden="false" customHeight="false" outlineLevel="0" collapsed="false">
      <c r="B26" s="3" t="s">
        <v>20</v>
      </c>
    </row>
    <row r="27" customFormat="false" ht="15" hidden="false" customHeight="false" outlineLevel="0" collapsed="false">
      <c r="B27" s="3"/>
    </row>
    <row r="28" customFormat="false" ht="15" hidden="false" customHeight="false" outlineLevel="0" collapsed="false">
      <c r="B28" s="2" t="s">
        <v>21</v>
      </c>
    </row>
    <row r="29" customFormat="false" ht="15" hidden="false" customHeight="false" outlineLevel="0" collapsed="false">
      <c r="B29" s="3" t="s">
        <v>22</v>
      </c>
    </row>
    <row r="30" customFormat="false" ht="15" hidden="false" customHeight="false" outlineLevel="0" collapsed="false">
      <c r="B30" s="3" t="s">
        <v>23</v>
      </c>
    </row>
    <row r="31" customFormat="false" ht="15" hidden="false" customHeight="false" outlineLevel="0" collapsed="false">
      <c r="B31" s="3" t="s">
        <v>24</v>
      </c>
    </row>
    <row r="32" customFormat="false" ht="15" hidden="false" customHeight="false" outlineLevel="0" collapsed="false">
      <c r="B32" s="3"/>
    </row>
    <row r="33" customFormat="false" ht="15" hidden="false" customHeight="false" outlineLevel="0" collapsed="false">
      <c r="B33" s="2" t="s">
        <v>25</v>
      </c>
    </row>
    <row r="34" customFormat="false" ht="15" hidden="false" customHeight="false" outlineLevel="0" collapsed="false">
      <c r="B34" s="3" t="s">
        <v>26</v>
      </c>
    </row>
    <row r="35" customFormat="false" ht="15" hidden="false" customHeight="false" outlineLevel="0" collapsed="false">
      <c r="B35" s="3" t="s">
        <v>27</v>
      </c>
    </row>
    <row r="36" customFormat="false" ht="15" hidden="false" customHeight="false" outlineLevel="0" collapsed="false">
      <c r="B36" s="3" t="s">
        <v>28</v>
      </c>
    </row>
    <row r="37" customFormat="false" ht="15" hidden="false" customHeight="false" outlineLevel="0" collapsed="false">
      <c r="B37" s="3" t="s">
        <v>29</v>
      </c>
    </row>
    <row r="38" customFormat="false" ht="15" hidden="false" customHeight="false" outlineLevel="0" collapsed="false">
      <c r="B38" s="3" t="s">
        <v>30</v>
      </c>
    </row>
    <row r="39" customFormat="false" ht="15" hidden="false" customHeight="false" outlineLevel="0" collapsed="false">
      <c r="B39" s="3"/>
    </row>
    <row r="40" customFormat="false" ht="15" hidden="false" customHeight="false" outlineLevel="0" collapsed="false">
      <c r="B40" s="2" t="s">
        <v>31</v>
      </c>
    </row>
    <row r="41" customFormat="false" ht="15" hidden="false" customHeight="false" outlineLevel="0" collapsed="false">
      <c r="B41" s="3" t="s">
        <v>32</v>
      </c>
    </row>
    <row r="42" customFormat="false" ht="15" hidden="false" customHeight="false" outlineLevel="0" collapsed="false">
      <c r="B42" s="3" t="s">
        <v>33</v>
      </c>
    </row>
    <row r="43" customFormat="false" ht="15" hidden="false" customHeight="false" outlineLevel="0" collapsed="false">
      <c r="B43" s="3" t="s">
        <v>34</v>
      </c>
    </row>
    <row r="44" customFormat="false" ht="15" hidden="false" customHeight="false" outlineLevel="0" collapsed="false">
      <c r="B44" s="3" t="s">
        <v>35</v>
      </c>
    </row>
    <row r="45" customFormat="false" ht="15" hidden="false" customHeight="false" outlineLevel="0" collapsed="false">
      <c r="B45" s="3"/>
    </row>
    <row r="46" customFormat="false" ht="15" hidden="false" customHeight="false" outlineLevel="0" collapsed="false">
      <c r="B46" s="3" t="s">
        <v>36</v>
      </c>
    </row>
    <row r="47" customFormat="false" ht="15" hidden="false" customHeight="false" outlineLevel="0" collapsed="false">
      <c r="B47" s="3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8"/>
    <col collapsed="false" customWidth="true" hidden="false" outlineLevel="0" max="3" min="3" style="0" width="16"/>
    <col collapsed="false" customWidth="true" hidden="false" outlineLevel="0" max="4" min="4" style="0" width="76"/>
  </cols>
  <sheetData>
    <row r="2" customFormat="false" ht="17.35" hidden="false" customHeight="false" outlineLevel="0" collapsed="false">
      <c r="B2" s="1" t="s">
        <v>38</v>
      </c>
    </row>
    <row r="3" customFormat="false" ht="15" hidden="false" customHeight="false" outlineLevel="0" collapsed="false">
      <c r="B3" s="3" t="s">
        <v>39</v>
      </c>
    </row>
    <row r="4" customFormat="false" ht="15" hidden="false" customHeight="false" outlineLevel="0" collapsed="false">
      <c r="C4" s="4" t="s">
        <v>40</v>
      </c>
      <c r="D4" s="4" t="s">
        <v>41</v>
      </c>
    </row>
    <row r="6" customFormat="false" ht="15" hidden="false" customHeight="false" outlineLevel="0" collapsed="false">
      <c r="B6" s="5" t="s">
        <v>42</v>
      </c>
      <c r="C6" s="6"/>
      <c r="D6" s="6"/>
    </row>
    <row r="7" customFormat="false" ht="15" hidden="false" customHeight="false" outlineLevel="0" collapsed="false">
      <c r="B7" s="3" t="s">
        <v>43</v>
      </c>
      <c r="C7" s="7" t="n">
        <v>4200000</v>
      </c>
      <c r="D7" s="8" t="s">
        <v>44</v>
      </c>
    </row>
    <row r="8" customFormat="false" ht="15" hidden="false" customHeight="false" outlineLevel="0" collapsed="false">
      <c r="B8" s="3" t="s">
        <v>45</v>
      </c>
      <c r="C8" s="9" t="n">
        <v>0.815</v>
      </c>
      <c r="D8" s="8" t="s">
        <v>46</v>
      </c>
    </row>
    <row r="9" customFormat="false" ht="15" hidden="false" customHeight="false" outlineLevel="0" collapsed="false">
      <c r="B9" s="3" t="s">
        <v>47</v>
      </c>
      <c r="C9" s="10" t="n">
        <f aca="false">C7*C8</f>
        <v>3423000</v>
      </c>
      <c r="D9" s="8" t="s">
        <v>48</v>
      </c>
    </row>
    <row r="10" customFormat="false" ht="15" hidden="false" customHeight="false" outlineLevel="0" collapsed="false">
      <c r="B10" s="3" t="s">
        <v>49</v>
      </c>
      <c r="C10" s="10" t="n">
        <f aca="false">C7-C9</f>
        <v>777000</v>
      </c>
    </row>
    <row r="11" customFormat="false" ht="15" hidden="false" customHeight="false" outlineLevel="0" collapsed="false">
      <c r="B11" s="3" t="s">
        <v>50</v>
      </c>
      <c r="C11" s="11" t="n">
        <f aca="false">C10/C7</f>
        <v>0.185</v>
      </c>
    </row>
    <row r="12" customFormat="false" ht="15" hidden="false" customHeight="false" outlineLevel="0" collapsed="false">
      <c r="B12" s="3" t="s">
        <v>51</v>
      </c>
      <c r="C12" s="12" t="n">
        <v>0.112</v>
      </c>
    </row>
    <row r="13" customFormat="false" ht="15" hidden="false" customHeight="false" outlineLevel="0" collapsed="false">
      <c r="B13" s="3" t="s">
        <v>52</v>
      </c>
      <c r="C13" s="10" t="n">
        <f aca="false">C7*C12</f>
        <v>470400</v>
      </c>
    </row>
    <row r="14" customFormat="false" ht="15" hidden="false" customHeight="false" outlineLevel="0" collapsed="false">
      <c r="B14" s="4" t="s">
        <v>53</v>
      </c>
      <c r="C14" s="13" t="n">
        <f aca="false">C10-C13</f>
        <v>306600</v>
      </c>
      <c r="D14" s="8" t="s">
        <v>54</v>
      </c>
    </row>
    <row r="15" customFormat="false" ht="15" hidden="false" customHeight="false" outlineLevel="0" collapsed="false">
      <c r="B15" s="3" t="s">
        <v>55</v>
      </c>
      <c r="C15" s="14" t="n">
        <v>0.084</v>
      </c>
      <c r="D15" s="8" t="s">
        <v>56</v>
      </c>
    </row>
    <row r="17" customFormat="false" ht="15" hidden="false" customHeight="false" outlineLevel="0" collapsed="false">
      <c r="B17" s="5" t="s">
        <v>57</v>
      </c>
      <c r="C17" s="6"/>
      <c r="D17" s="6"/>
    </row>
    <row r="18" customFormat="false" ht="15" hidden="false" customHeight="false" outlineLevel="0" collapsed="false">
      <c r="B18" s="3" t="s">
        <v>58</v>
      </c>
      <c r="C18" s="7" t="n">
        <v>70</v>
      </c>
      <c r="D18" s="8" t="s">
        <v>59</v>
      </c>
    </row>
    <row r="19" customFormat="false" ht="15" hidden="false" customHeight="false" outlineLevel="0" collapsed="false">
      <c r="B19" s="3" t="s">
        <v>60</v>
      </c>
      <c r="C19" s="7" t="n">
        <v>26</v>
      </c>
    </row>
    <row r="20" customFormat="false" ht="15" hidden="false" customHeight="false" outlineLevel="0" collapsed="false">
      <c r="B20" s="3" t="s">
        <v>61</v>
      </c>
      <c r="C20" s="7" t="n">
        <v>9</v>
      </c>
    </row>
    <row r="21" customFormat="false" ht="15" hidden="false" customHeight="false" outlineLevel="0" collapsed="false">
      <c r="B21" s="3" t="s">
        <v>62</v>
      </c>
      <c r="C21" s="7" t="n">
        <v>7</v>
      </c>
      <c r="D21" s="8" t="s">
        <v>63</v>
      </c>
    </row>
    <row r="22" customFormat="false" ht="15" hidden="false" customHeight="false" outlineLevel="0" collapsed="false">
      <c r="B22" s="3" t="s">
        <v>64</v>
      </c>
      <c r="C22" s="7" t="n">
        <v>4</v>
      </c>
    </row>
    <row r="23" customFormat="false" ht="15" hidden="false" customHeight="false" outlineLevel="0" collapsed="false">
      <c r="B23" s="3" t="s">
        <v>65</v>
      </c>
      <c r="C23" s="7" t="n">
        <v>90</v>
      </c>
      <c r="D23" s="8" t="s">
        <v>66</v>
      </c>
    </row>
    <row r="24" customFormat="false" ht="15" hidden="false" customHeight="false" outlineLevel="0" collapsed="false">
      <c r="B24" s="3" t="s">
        <v>67</v>
      </c>
      <c r="C24" s="7" t="n">
        <v>360</v>
      </c>
      <c r="D24" s="8" t="s">
        <v>68</v>
      </c>
    </row>
    <row r="25" customFormat="false" ht="15" hidden="false" customHeight="false" outlineLevel="0" collapsed="false">
      <c r="B25" s="3" t="s">
        <v>69</v>
      </c>
      <c r="C25" s="7" t="n">
        <v>365</v>
      </c>
      <c r="D25" s="8" t="s">
        <v>70</v>
      </c>
    </row>
    <row r="27" customFormat="false" ht="15" hidden="false" customHeight="false" outlineLevel="0" collapsed="false">
      <c r="B27" s="5" t="s">
        <v>71</v>
      </c>
      <c r="C27" s="6"/>
      <c r="D27" s="6"/>
    </row>
    <row r="28" customFormat="false" ht="15" hidden="false" customHeight="false" outlineLevel="0" collapsed="false">
      <c r="B28" s="3" t="s">
        <v>72</v>
      </c>
      <c r="C28" s="14" t="n">
        <v>0.041</v>
      </c>
      <c r="D28" s="8" t="s">
        <v>73</v>
      </c>
    </row>
    <row r="29" customFormat="false" ht="15" hidden="false" customHeight="false" outlineLevel="0" collapsed="false">
      <c r="B29" s="3" t="s">
        <v>74</v>
      </c>
      <c r="C29" s="12" t="n">
        <v>0.62</v>
      </c>
    </row>
    <row r="30" customFormat="false" ht="15" hidden="false" customHeight="false" outlineLevel="0" collapsed="false">
      <c r="B30" s="3" t="s">
        <v>75</v>
      </c>
      <c r="C30" s="15" t="n">
        <v>0.0135</v>
      </c>
      <c r="D30" s="8" t="s">
        <v>76</v>
      </c>
    </row>
    <row r="31" customFormat="false" ht="15" hidden="false" customHeight="false" outlineLevel="0" collapsed="false">
      <c r="B31" s="3" t="s">
        <v>77</v>
      </c>
      <c r="C31" s="15" t="n">
        <v>0.018</v>
      </c>
      <c r="D31" s="8" t="s">
        <v>78</v>
      </c>
    </row>
    <row r="33" customFormat="false" ht="15" hidden="false" customHeight="false" outlineLevel="0" collapsed="false">
      <c r="B33" s="5" t="s">
        <v>79</v>
      </c>
      <c r="C33" s="6"/>
      <c r="D33" s="6"/>
    </row>
    <row r="34" customFormat="false" ht="15" hidden="false" customHeight="false" outlineLevel="0" collapsed="false">
      <c r="B34" s="3" t="s">
        <v>80</v>
      </c>
      <c r="C34" s="15" t="n">
        <v>0.0062</v>
      </c>
    </row>
    <row r="35" customFormat="false" ht="15" hidden="false" customHeight="false" outlineLevel="0" collapsed="false">
      <c r="B35" s="3" t="s">
        <v>81</v>
      </c>
      <c r="C35" s="12" t="n">
        <v>0.9</v>
      </c>
      <c r="D35" s="8" t="s">
        <v>82</v>
      </c>
    </row>
    <row r="36" customFormat="false" ht="15" hidden="false" customHeight="false" outlineLevel="0" collapsed="false">
      <c r="B36" s="3" t="s">
        <v>83</v>
      </c>
      <c r="C36" s="16" t="n">
        <v>0.0009</v>
      </c>
    </row>
    <row r="37" customFormat="false" ht="15" hidden="false" customHeight="false" outlineLevel="0" collapsed="false">
      <c r="B37" s="3" t="s">
        <v>84</v>
      </c>
      <c r="C37" s="7" t="n">
        <v>260</v>
      </c>
      <c r="D37" s="8" t="s">
        <v>85</v>
      </c>
    </row>
    <row r="38" customFormat="false" ht="15" hidden="false" customHeight="false" outlineLevel="0" collapsed="false">
      <c r="B38" s="3" t="s">
        <v>86</v>
      </c>
      <c r="C38" s="7" t="n">
        <v>1180</v>
      </c>
    </row>
    <row r="39" customFormat="false" ht="15" hidden="false" customHeight="false" outlineLevel="0" collapsed="false">
      <c r="B39" s="3" t="s">
        <v>87</v>
      </c>
      <c r="C39" s="15" t="n">
        <v>0.076</v>
      </c>
      <c r="D39" s="8" t="s">
        <v>88</v>
      </c>
    </row>
    <row r="40" customFormat="false" ht="15" hidden="false" customHeight="false" outlineLevel="0" collapsed="false">
      <c r="B40" s="3" t="s">
        <v>89</v>
      </c>
      <c r="C40" s="15" t="n">
        <v>0.0055</v>
      </c>
      <c r="D40" s="8" t="s">
        <v>90</v>
      </c>
    </row>
    <row r="41" customFormat="false" ht="15" hidden="false" customHeight="false" outlineLevel="0" collapsed="false">
      <c r="B41" s="3" t="s">
        <v>91</v>
      </c>
      <c r="C41" s="15" t="n">
        <v>0.069</v>
      </c>
      <c r="D41" s="8" t="s">
        <v>92</v>
      </c>
    </row>
    <row r="43" customFormat="false" ht="15" hidden="false" customHeight="false" outlineLevel="0" collapsed="false">
      <c r="B43" s="5" t="s">
        <v>93</v>
      </c>
      <c r="C43" s="6"/>
      <c r="D43" s="6"/>
    </row>
    <row r="44" customFormat="false" ht="15" hidden="false" customHeight="false" outlineLevel="0" collapsed="false">
      <c r="B44" s="3" t="s">
        <v>94</v>
      </c>
      <c r="C44" s="17" t="n">
        <v>1.45</v>
      </c>
      <c r="D44" s="8" t="s">
        <v>95</v>
      </c>
    </row>
    <row r="45" customFormat="false" ht="15" hidden="false" customHeight="false" outlineLevel="0" collapsed="false">
      <c r="B45" s="3" t="s">
        <v>96</v>
      </c>
      <c r="C45" s="12" t="n">
        <v>0.29</v>
      </c>
      <c r="D45" s="8" t="s">
        <v>97</v>
      </c>
    </row>
    <row r="46" customFormat="false" ht="15" hidden="false" customHeight="false" outlineLevel="0" collapsed="false">
      <c r="B46" s="3" t="s">
        <v>98</v>
      </c>
      <c r="C46" s="12" t="n">
        <v>0.9</v>
      </c>
      <c r="D46" s="8" t="s">
        <v>99</v>
      </c>
    </row>
    <row r="47" customFormat="false" ht="15" hidden="false" customHeight="false" outlineLevel="0" collapsed="false">
      <c r="B47" s="3" t="s">
        <v>100</v>
      </c>
      <c r="C47" s="15" t="n">
        <v>0.0225</v>
      </c>
      <c r="D47" s="8" t="s">
        <v>101</v>
      </c>
    </row>
    <row r="48" customFormat="false" ht="15" hidden="false" customHeight="false" outlineLevel="0" collapsed="false">
      <c r="B48" s="3" t="s">
        <v>102</v>
      </c>
      <c r="C48" s="12" t="n">
        <v>0.34</v>
      </c>
    </row>
    <row r="50" customFormat="false" ht="15" hidden="false" customHeight="false" outlineLevel="0" collapsed="false">
      <c r="B50" s="5" t="s">
        <v>103</v>
      </c>
      <c r="C50" s="6"/>
      <c r="D50" s="6"/>
    </row>
    <row r="51" customFormat="false" ht="15" hidden="false" customHeight="false" outlineLevel="0" collapsed="false">
      <c r="B51" s="3" t="s">
        <v>104</v>
      </c>
      <c r="C51" s="7" t="n">
        <v>90</v>
      </c>
    </row>
    <row r="52" customFormat="false" ht="15" hidden="false" customHeight="false" outlineLevel="0" collapsed="false">
      <c r="B52" s="3" t="s">
        <v>105</v>
      </c>
      <c r="C52" s="7" t="n">
        <v>120</v>
      </c>
    </row>
    <row r="53" customFormat="false" ht="15" hidden="false" customHeight="false" outlineLevel="0" collapsed="false">
      <c r="B53" s="3" t="s">
        <v>106</v>
      </c>
      <c r="C53" s="7" t="n">
        <v>180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0"/>
    <col collapsed="false" customWidth="true" hidden="false" outlineLevel="0" max="6" min="3" style="0" width="16"/>
    <col collapsed="false" customWidth="true" hidden="false" outlineLevel="0" max="7" min="7" style="0" width="60"/>
  </cols>
  <sheetData>
    <row r="2" customFormat="false" ht="17.35" hidden="false" customHeight="false" outlineLevel="0" collapsed="false">
      <c r="B2" s="1" t="s">
        <v>107</v>
      </c>
    </row>
    <row r="3" customFormat="false" ht="15" hidden="false" customHeight="false" outlineLevel="0" collapsed="false">
      <c r="B3" s="3" t="s">
        <v>108</v>
      </c>
    </row>
    <row r="5" customFormat="false" ht="15" hidden="false" customHeight="false" outlineLevel="0" collapsed="false">
      <c r="C5" s="4" t="s">
        <v>109</v>
      </c>
      <c r="D5" s="4" t="s">
        <v>110</v>
      </c>
      <c r="E5" s="4" t="s">
        <v>111</v>
      </c>
      <c r="G5" s="4" t="s">
        <v>41</v>
      </c>
    </row>
    <row r="6" customFormat="false" ht="15" hidden="false" customHeight="false" outlineLevel="0" collapsed="false">
      <c r="B6" s="5" t="s">
        <v>112</v>
      </c>
      <c r="C6" s="6"/>
      <c r="D6" s="6"/>
      <c r="E6" s="6"/>
    </row>
    <row r="7" customFormat="false" ht="15" hidden="false" customHeight="false" outlineLevel="0" collapsed="false">
      <c r="B7" s="3" t="s">
        <v>113</v>
      </c>
      <c r="C7" s="18" t="n">
        <f aca="false">Inputs!$C$51</f>
        <v>90</v>
      </c>
      <c r="D7" s="18" t="n">
        <f aca="false">Inputs!$C$52</f>
        <v>120</v>
      </c>
      <c r="E7" s="18" t="n">
        <f aca="false">Inputs!$C$53</f>
        <v>180</v>
      </c>
    </row>
    <row r="8" customFormat="false" ht="15" hidden="false" customHeight="false" outlineLevel="0" collapsed="false">
      <c r="B8" s="3" t="s">
        <v>114</v>
      </c>
      <c r="C8" s="10" t="n">
        <f aca="false">Inputs!$C$7</f>
        <v>4200000</v>
      </c>
      <c r="D8" s="10" t="n">
        <f aca="false">Inputs!$C$7</f>
        <v>4200000</v>
      </c>
      <c r="E8" s="10" t="n">
        <f aca="false">Inputs!$C$7</f>
        <v>4200000</v>
      </c>
      <c r="G8" s="8" t="s">
        <v>115</v>
      </c>
    </row>
    <row r="9" customFormat="false" ht="15" hidden="false" customHeight="false" outlineLevel="0" collapsed="false">
      <c r="B9" s="3" t="s">
        <v>116</v>
      </c>
      <c r="C9" s="19" t="n">
        <f aca="false">Inputs!$C$41</f>
        <v>0.069</v>
      </c>
      <c r="D9" s="19" t="n">
        <f aca="false">Inputs!$C$41</f>
        <v>0.069</v>
      </c>
      <c r="E9" s="19" t="n">
        <f aca="false">Inputs!$C$41</f>
        <v>0.069</v>
      </c>
      <c r="G9" s="8" t="s">
        <v>117</v>
      </c>
    </row>
    <row r="10" customFormat="false" ht="15" hidden="false" customHeight="false" outlineLevel="0" collapsed="false">
      <c r="B10" s="3" t="s">
        <v>118</v>
      </c>
      <c r="C10" s="10" t="n">
        <f aca="false">C8*C9*C7/Inputs!$C$24</f>
        <v>72450</v>
      </c>
      <c r="D10" s="10" t="n">
        <f aca="false">D8*D9*D7/Inputs!$C$24</f>
        <v>96600</v>
      </c>
      <c r="E10" s="10" t="n">
        <f aca="false">E8*E9*E7/Inputs!$C$24</f>
        <v>144900</v>
      </c>
    </row>
    <row r="11" customFormat="false" ht="15" hidden="false" customHeight="false" outlineLevel="0" collapsed="false">
      <c r="B11" s="3" t="s">
        <v>119</v>
      </c>
      <c r="C11" s="10" t="n">
        <f aca="false">C8-C10</f>
        <v>4127550</v>
      </c>
      <c r="D11" s="10" t="n">
        <f aca="false">D8-D10</f>
        <v>4103400</v>
      </c>
      <c r="E11" s="10" t="n">
        <f aca="false">E8-E10</f>
        <v>4055100</v>
      </c>
      <c r="G11" s="8" t="s">
        <v>120</v>
      </c>
    </row>
    <row r="12" customFormat="false" ht="15" hidden="false" customHeight="false" outlineLevel="0" collapsed="false">
      <c r="B12" s="4" t="s">
        <v>121</v>
      </c>
      <c r="C12" s="20" t="n">
        <f aca="false">C10/C11*(Inputs!$C$24/C7)</f>
        <v>0.0702111422030018</v>
      </c>
      <c r="D12" s="20" t="n">
        <f aca="false">D10/D11*(Inputs!$C$24/D7)</f>
        <v>0.0706243602865916</v>
      </c>
      <c r="E12" s="20" t="n">
        <f aca="false">E10/E11*(Inputs!$C$24/E7)</f>
        <v>0.0714655618850337</v>
      </c>
      <c r="G12" s="8" t="s">
        <v>122</v>
      </c>
    </row>
    <row r="13" customFormat="false" ht="15" hidden="false" customHeight="false" outlineLevel="0" collapsed="false">
      <c r="B13" s="4" t="s">
        <v>123</v>
      </c>
      <c r="C13" s="21" t="n">
        <f aca="false">(C12-C9)*10000</f>
        <v>12.1114220300178</v>
      </c>
      <c r="D13" s="21" t="n">
        <f aca="false">(D12-D9)*10000</f>
        <v>16.243602865916</v>
      </c>
      <c r="E13" s="21" t="n">
        <f aca="false">(E12-E9)*10000</f>
        <v>24.6556188503366</v>
      </c>
      <c r="G13" s="8" t="s">
        <v>124</v>
      </c>
    </row>
    <row r="14" customFormat="false" ht="15" hidden="false" customHeight="false" outlineLevel="0" collapsed="false">
      <c r="B14" s="3" t="s">
        <v>125</v>
      </c>
      <c r="C14" s="19" t="n">
        <f aca="false">C13/(C9*10000)</f>
        <v>0.0175527855507504</v>
      </c>
      <c r="D14" s="19" t="n">
        <f aca="false">D13/(D9*10000)</f>
        <v>0.0235414534288638</v>
      </c>
      <c r="E14" s="19" t="n">
        <f aca="false">E13/(E9*10000)</f>
        <v>0.0357327809425168</v>
      </c>
    </row>
    <row r="16" customFormat="false" ht="15" hidden="false" customHeight="false" outlineLevel="0" collapsed="false">
      <c r="B16" s="5" t="s">
        <v>126</v>
      </c>
      <c r="C16" s="6"/>
      <c r="D16" s="6"/>
      <c r="E16" s="6"/>
    </row>
    <row r="17" customFormat="false" ht="15" hidden="false" customHeight="false" outlineLevel="0" collapsed="false">
      <c r="B17" s="3" t="s">
        <v>127</v>
      </c>
      <c r="C17" s="22" t="n">
        <f aca="false">C10/C8</f>
        <v>0.01725</v>
      </c>
      <c r="D17" s="22" t="n">
        <f aca="false">D10/D8</f>
        <v>0.023</v>
      </c>
      <c r="E17" s="22" t="n">
        <f aca="false">E10/E8</f>
        <v>0.0345</v>
      </c>
    </row>
    <row r="18" customFormat="false" ht="15" hidden="false" customHeight="false" outlineLevel="0" collapsed="false">
      <c r="B18" s="3" t="s">
        <v>128</v>
      </c>
      <c r="C18" s="22" t="n">
        <f aca="false">C11/C8</f>
        <v>0.98275</v>
      </c>
      <c r="D18" s="22" t="n">
        <f aca="false">D11/D8</f>
        <v>0.977</v>
      </c>
      <c r="E18" s="22" t="n">
        <f aca="false">E11/E8</f>
        <v>0.9655</v>
      </c>
    </row>
    <row r="19" customFormat="false" ht="15" hidden="false" customHeight="false" outlineLevel="0" collapsed="false">
      <c r="B19" s="3" t="s">
        <v>129</v>
      </c>
      <c r="C19" s="22" t="n">
        <f aca="false">C9/(1-C9*C7/Inputs!$C$24)</f>
        <v>0.0702111422030018</v>
      </c>
      <c r="D19" s="22" t="n">
        <f aca="false">D9/(1-D9*D7/Inputs!$C$24)</f>
        <v>0.0706243602865916</v>
      </c>
      <c r="E19" s="22" t="n">
        <f aca="false">E9/(1-E9*E7/Inputs!$C$24)</f>
        <v>0.0714655618850337</v>
      </c>
      <c r="G19" s="8" t="s">
        <v>130</v>
      </c>
    </row>
    <row r="20" customFormat="false" ht="15" hidden="false" customHeight="false" outlineLevel="0" collapsed="false">
      <c r="B20" s="3" t="s">
        <v>131</v>
      </c>
      <c r="C20" s="23" t="n">
        <f aca="false">C19-C12</f>
        <v>0</v>
      </c>
      <c r="D20" s="23" t="n">
        <f aca="false">D19-D12</f>
        <v>0</v>
      </c>
      <c r="E20" s="23" t="n">
        <f aca="false">E19-E12</f>
        <v>0</v>
      </c>
      <c r="G20" s="8" t="s">
        <v>132</v>
      </c>
    </row>
    <row r="22" customFormat="false" ht="15" hidden="false" customHeight="false" outlineLevel="0" collapsed="false">
      <c r="B22" s="5" t="s">
        <v>133</v>
      </c>
      <c r="C22" s="6"/>
      <c r="D22" s="6"/>
      <c r="E22" s="6"/>
    </row>
    <row r="23" customFormat="false" ht="15" hidden="false" customHeight="false" outlineLevel="0" collapsed="false">
      <c r="B23" s="3" t="s">
        <v>134</v>
      </c>
      <c r="C23" s="18" t="n">
        <f aca="false">E13-C13</f>
        <v>12.5441968203188</v>
      </c>
      <c r="G23" s="8" t="s">
        <v>135</v>
      </c>
    </row>
    <row r="24" customFormat="false" ht="15" hidden="false" customHeight="false" outlineLevel="0" collapsed="false">
      <c r="B24" s="3" t="s">
        <v>136</v>
      </c>
      <c r="C24" s="24" t="n">
        <f aca="false">E13/C13</f>
        <v>2.03573278094252</v>
      </c>
      <c r="G24" s="8" t="s">
        <v>137</v>
      </c>
    </row>
    <row r="26" customFormat="false" ht="15" hidden="false" customHeight="false" outlineLevel="0" collapsed="false">
      <c r="B26" s="5" t="s">
        <v>138</v>
      </c>
      <c r="C26" s="6"/>
      <c r="D26" s="6"/>
      <c r="E26" s="6"/>
      <c r="F26" s="6"/>
    </row>
    <row r="27" customFormat="false" ht="15" hidden="false" customHeight="false" outlineLevel="0" collapsed="false">
      <c r="B27" s="25" t="s">
        <v>113</v>
      </c>
      <c r="C27" s="25" t="s">
        <v>139</v>
      </c>
      <c r="D27" s="25" t="s">
        <v>140</v>
      </c>
      <c r="E27" s="25" t="s">
        <v>141</v>
      </c>
      <c r="F27" s="25" t="s">
        <v>142</v>
      </c>
    </row>
    <row r="28" customFormat="false" ht="15" hidden="false" customHeight="false" outlineLevel="0" collapsed="false">
      <c r="B28" s="7" t="n">
        <v>30</v>
      </c>
      <c r="C28" s="10" t="n">
        <f aca="false">Inputs!$C$7*Inputs!$C$41*$B28/Inputs!$C$24</f>
        <v>24150</v>
      </c>
      <c r="D28" s="10" t="n">
        <f aca="false">Inputs!$C$7-C28</f>
        <v>4175850</v>
      </c>
      <c r="E28" s="22" t="n">
        <f aca="false">C28/D28*(Inputs!$C$24/$B28)</f>
        <v>0.069399044505909</v>
      </c>
      <c r="F28" s="18" t="n">
        <f aca="false">(E28-Inputs!$C$41)*10000</f>
        <v>3.99044505908969</v>
      </c>
    </row>
    <row r="29" customFormat="false" ht="15" hidden="false" customHeight="false" outlineLevel="0" collapsed="false">
      <c r="B29" s="7" t="n">
        <v>60</v>
      </c>
      <c r="C29" s="10" t="n">
        <f aca="false">Inputs!$C$7*Inputs!$C$41*$B29/Inputs!$C$24</f>
        <v>48300</v>
      </c>
      <c r="D29" s="10" t="n">
        <f aca="false">Inputs!$C$7-C29</f>
        <v>4151700</v>
      </c>
      <c r="E29" s="22" t="n">
        <f aca="false">C29/D29*(Inputs!$C$24/$B29)</f>
        <v>0.0698027314112291</v>
      </c>
      <c r="F29" s="18" t="n">
        <f aca="false">(E29-Inputs!$C$41)*10000</f>
        <v>8.02731411229135</v>
      </c>
    </row>
    <row r="30" customFormat="false" ht="15" hidden="false" customHeight="false" outlineLevel="0" collapsed="false">
      <c r="B30" s="7" t="n">
        <v>90</v>
      </c>
      <c r="C30" s="10" t="n">
        <f aca="false">Inputs!$C$7*Inputs!$C$41*$B30/Inputs!$C$24</f>
        <v>72450</v>
      </c>
      <c r="D30" s="10" t="n">
        <f aca="false">Inputs!$C$7-C30</f>
        <v>4127550</v>
      </c>
      <c r="E30" s="22" t="n">
        <f aca="false">C30/D30*(Inputs!$C$24/$B30)</f>
        <v>0.0702111422030018</v>
      </c>
      <c r="F30" s="18" t="n">
        <f aca="false">(E30-Inputs!$C$41)*10000</f>
        <v>12.1114220300178</v>
      </c>
    </row>
    <row r="31" customFormat="false" ht="15" hidden="false" customHeight="false" outlineLevel="0" collapsed="false">
      <c r="B31" s="7" t="n">
        <v>120</v>
      </c>
      <c r="C31" s="10" t="n">
        <f aca="false">Inputs!$C$7*Inputs!$C$41*$B31/Inputs!$C$24</f>
        <v>96600</v>
      </c>
      <c r="D31" s="10" t="n">
        <f aca="false">Inputs!$C$7-C31</f>
        <v>4103400</v>
      </c>
      <c r="E31" s="22" t="n">
        <f aca="false">C31/D31*(Inputs!$C$24/$B31)</f>
        <v>0.0706243602865916</v>
      </c>
      <c r="F31" s="18" t="n">
        <f aca="false">(E31-Inputs!$C$41)*10000</f>
        <v>16.243602865916</v>
      </c>
    </row>
    <row r="32" customFormat="false" ht="15" hidden="false" customHeight="false" outlineLevel="0" collapsed="false">
      <c r="B32" s="7" t="n">
        <v>180</v>
      </c>
      <c r="C32" s="10" t="n">
        <f aca="false">Inputs!$C$7*Inputs!$C$41*$B32/Inputs!$C$24</f>
        <v>144900</v>
      </c>
      <c r="D32" s="10" t="n">
        <f aca="false">Inputs!$C$7-C32</f>
        <v>4055100</v>
      </c>
      <c r="E32" s="22" t="n">
        <f aca="false">C32/D32*(Inputs!$C$24/$B32)</f>
        <v>0.0714655618850337</v>
      </c>
      <c r="F32" s="18" t="n">
        <f aca="false">(E32-Inputs!$C$41)*10000</f>
        <v>24.6556188503366</v>
      </c>
    </row>
    <row r="33" customFormat="false" ht="15" hidden="false" customHeight="false" outlineLevel="0" collapsed="false">
      <c r="B33" s="7" t="n">
        <v>270</v>
      </c>
      <c r="C33" s="10" t="n">
        <f aca="false">Inputs!$C$7*Inputs!$C$41*$B33/Inputs!$C$24</f>
        <v>217350</v>
      </c>
      <c r="D33" s="10" t="n">
        <f aca="false">Inputs!$C$7-C33</f>
        <v>3982650</v>
      </c>
      <c r="E33" s="22" t="n">
        <f aca="false">C33/D33*(Inputs!$C$24/$B33)</f>
        <v>0.0727656208805695</v>
      </c>
      <c r="F33" s="18" t="n">
        <f aca="false">(E33-Inputs!$C$41)*10000</f>
        <v>37.6562088056946</v>
      </c>
    </row>
    <row r="34" customFormat="false" ht="15" hidden="false" customHeight="false" outlineLevel="0" collapsed="false">
      <c r="B34" s="7" t="n">
        <v>360</v>
      </c>
      <c r="C34" s="10" t="n">
        <f aca="false">Inputs!$C$7*Inputs!$C$41*$B34/Inputs!$C$24</f>
        <v>289800</v>
      </c>
      <c r="D34" s="10" t="n">
        <f aca="false">Inputs!$C$7-C34</f>
        <v>3910200</v>
      </c>
      <c r="E34" s="22" t="n">
        <f aca="false">C34/D34*(Inputs!$C$24/$B34)</f>
        <v>0.0741138560687433</v>
      </c>
      <c r="F34" s="18" t="n">
        <f aca="false">(E34-Inputs!$C$41)*10000</f>
        <v>51.1385606874328</v>
      </c>
    </row>
    <row r="36" customFormat="false" ht="15" hidden="false" customHeight="false" outlineLevel="0" collapsed="false">
      <c r="B36" s="8" t="s">
        <v>143</v>
      </c>
    </row>
    <row r="37" customFormat="false" ht="15" hidden="false" customHeight="false" outlineLevel="0" collapsed="false">
      <c r="B37" s="8" t="s">
        <v>144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4" min="3" style="0" width="16"/>
    <col collapsed="false" customWidth="true" hidden="false" outlineLevel="0" max="5" min="5" style="0" width="74"/>
  </cols>
  <sheetData>
    <row r="2" customFormat="false" ht="17.35" hidden="false" customHeight="false" outlineLevel="0" collapsed="false">
      <c r="B2" s="1" t="s">
        <v>145</v>
      </c>
    </row>
    <row r="3" customFormat="false" ht="15" hidden="false" customHeight="false" outlineLevel="0" collapsed="false">
      <c r="B3" s="3" t="s">
        <v>146</v>
      </c>
    </row>
    <row r="5" customFormat="false" ht="15" hidden="false" customHeight="false" outlineLevel="0" collapsed="false">
      <c r="C5" s="4" t="s">
        <v>109</v>
      </c>
      <c r="D5" s="4" t="s">
        <v>111</v>
      </c>
      <c r="E5" s="4" t="s">
        <v>41</v>
      </c>
    </row>
    <row r="6" customFormat="false" ht="15" hidden="false" customHeight="false" outlineLevel="0" collapsed="false">
      <c r="B6" s="5" t="s">
        <v>147</v>
      </c>
      <c r="C6" s="6"/>
      <c r="D6" s="6"/>
    </row>
    <row r="7" customFormat="false" ht="15" hidden="false" customHeight="false" outlineLevel="0" collapsed="false">
      <c r="B7" s="3" t="s">
        <v>113</v>
      </c>
      <c r="C7" s="18" t="n">
        <f aca="false">Inputs!$C$51</f>
        <v>90</v>
      </c>
      <c r="D7" s="18" t="n">
        <f aca="false">Inputs!$C$53</f>
        <v>180</v>
      </c>
    </row>
    <row r="8" customFormat="false" ht="15" hidden="false" customHeight="false" outlineLevel="0" collapsed="false">
      <c r="B8" s="3" t="s">
        <v>148</v>
      </c>
      <c r="C8" s="19" t="n">
        <f aca="false">Inputs!$C$15</f>
        <v>0.084</v>
      </c>
      <c r="D8" s="19" t="n">
        <f aca="false">Inputs!$C$15</f>
        <v>0.084</v>
      </c>
      <c r="E8" s="8" t="s">
        <v>149</v>
      </c>
    </row>
    <row r="9" customFormat="false" ht="15" hidden="false" customHeight="false" outlineLevel="0" collapsed="false">
      <c r="B9" s="3" t="s">
        <v>150</v>
      </c>
      <c r="C9" s="10" t="n">
        <f aca="false">Inputs!$C$9</f>
        <v>3423000</v>
      </c>
      <c r="D9" s="10" t="n">
        <f aca="false">Inputs!$C$9</f>
        <v>3423000</v>
      </c>
      <c r="E9" s="8" t="s">
        <v>151</v>
      </c>
    </row>
    <row r="10" customFormat="false" ht="15" hidden="false" customHeight="false" outlineLevel="0" collapsed="false">
      <c r="B10" s="4" t="s">
        <v>152</v>
      </c>
      <c r="C10" s="13" t="n">
        <f aca="false">C9*C8*C7/Inputs!$C$24</f>
        <v>71883</v>
      </c>
      <c r="D10" s="13" t="n">
        <f aca="false">D9*D8*D7/Inputs!$C$24</f>
        <v>143766</v>
      </c>
    </row>
    <row r="11" customFormat="false" ht="15" hidden="false" customHeight="false" outlineLevel="0" collapsed="false">
      <c r="B11" s="3" t="s">
        <v>153</v>
      </c>
      <c r="C11" s="19" t="n">
        <f aca="false">Inputs!$C$41</f>
        <v>0.069</v>
      </c>
      <c r="D11" s="19" t="n">
        <f aca="false">Inputs!$C$41</f>
        <v>0.069</v>
      </c>
      <c r="E11" s="8" t="s">
        <v>154</v>
      </c>
    </row>
    <row r="12" customFormat="false" ht="15" hidden="false" customHeight="false" outlineLevel="0" collapsed="false">
      <c r="B12" s="3" t="s">
        <v>155</v>
      </c>
      <c r="C12" s="10" t="n">
        <f aca="false">Inputs!$C$7</f>
        <v>4200000</v>
      </c>
      <c r="D12" s="10" t="n">
        <f aca="false">Inputs!$C$7</f>
        <v>4200000</v>
      </c>
      <c r="E12" s="8" t="s">
        <v>156</v>
      </c>
    </row>
    <row r="13" customFormat="false" ht="15" hidden="false" customHeight="false" outlineLevel="0" collapsed="false">
      <c r="B13" s="4" t="s">
        <v>157</v>
      </c>
      <c r="C13" s="13" t="n">
        <f aca="false">C12*C11*C7/Inputs!$C$24</f>
        <v>72450</v>
      </c>
      <c r="D13" s="13" t="n">
        <f aca="false">D12*D11*D7/Inputs!$C$24</f>
        <v>144900</v>
      </c>
    </row>
    <row r="14" customFormat="false" ht="15" hidden="false" customHeight="false" outlineLevel="0" collapsed="false">
      <c r="B14" s="4" t="s">
        <v>158</v>
      </c>
      <c r="C14" s="13" t="n">
        <f aca="false">C13-C10</f>
        <v>567</v>
      </c>
      <c r="D14" s="13" t="n">
        <f aca="false">D13-D10</f>
        <v>1134</v>
      </c>
      <c r="E14" s="8" t="s">
        <v>159</v>
      </c>
    </row>
    <row r="15" customFormat="false" ht="15" hidden="false" customHeight="false" outlineLevel="0" collapsed="false">
      <c r="B15" s="3" t="s">
        <v>160</v>
      </c>
      <c r="C15" s="3" t="str">
        <f aca="false">IF(C10&lt;C13,"own facility","discount")</f>
        <v>own facility</v>
      </c>
      <c r="D15" s="3" t="str">
        <f aca="false">IF(D10&lt;D13,"own facility","discount")</f>
        <v>own facility</v>
      </c>
    </row>
    <row r="16" customFormat="false" ht="15" hidden="false" customHeight="false" outlineLevel="0" collapsed="false">
      <c r="B16" s="3" t="s">
        <v>161</v>
      </c>
      <c r="C16" s="19" t="n">
        <f aca="false">C14/C10</f>
        <v>0.00788781770376862</v>
      </c>
      <c r="D16" s="19" t="n">
        <f aca="false">D14/D10</f>
        <v>0.00788781770376862</v>
      </c>
    </row>
    <row r="18" customFormat="false" ht="15" hidden="false" customHeight="false" outlineLevel="0" collapsed="false">
      <c r="B18" s="5" t="s">
        <v>162</v>
      </c>
      <c r="C18" s="6"/>
      <c r="D18" s="6"/>
    </row>
    <row r="19" customFormat="false" ht="15" hidden="false" customHeight="false" outlineLevel="0" collapsed="false">
      <c r="B19" s="3" t="s">
        <v>163</v>
      </c>
      <c r="C19" s="11" t="n">
        <f aca="false">Inputs!$C$9/Inputs!$C$7</f>
        <v>0.815</v>
      </c>
      <c r="D19" s="11" t="n">
        <f aca="false">Inputs!$C$9/Inputs!$C$7</f>
        <v>0.815</v>
      </c>
      <c r="E19" s="8" t="s">
        <v>164</v>
      </c>
    </row>
    <row r="20" customFormat="false" ht="15" hidden="false" customHeight="false" outlineLevel="0" collapsed="false">
      <c r="B20" s="4" t="s">
        <v>165</v>
      </c>
      <c r="C20" s="20" t="n">
        <f aca="false">Inputs!$C$15*C19</f>
        <v>0.06846</v>
      </c>
      <c r="D20" s="20" t="n">
        <f aca="false">Inputs!$C$15*D19</f>
        <v>0.06846</v>
      </c>
      <c r="E20" s="8" t="s">
        <v>166</v>
      </c>
    </row>
    <row r="21" customFormat="false" ht="15" hidden="false" customHeight="false" outlineLevel="0" collapsed="false">
      <c r="B21" s="3" t="s">
        <v>167</v>
      </c>
      <c r="C21" s="10" t="n">
        <f aca="false">Inputs!$C$7*C20*C7/Inputs!$C$24</f>
        <v>71883</v>
      </c>
      <c r="D21" s="10" t="n">
        <f aca="false">Inputs!$C$7*D20*D7/Inputs!$C$24</f>
        <v>143766</v>
      </c>
    </row>
    <row r="22" customFormat="false" ht="15" hidden="false" customHeight="false" outlineLevel="0" collapsed="false">
      <c r="B22" s="3" t="s">
        <v>168</v>
      </c>
      <c r="C22" s="23" t="n">
        <f aca="false">C21-C10</f>
        <v>0</v>
      </c>
      <c r="D22" s="23" t="n">
        <f aca="false">D21-D10</f>
        <v>0</v>
      </c>
      <c r="E22" s="8" t="s">
        <v>132</v>
      </c>
    </row>
    <row r="23" customFormat="false" ht="15" hidden="false" customHeight="false" outlineLevel="0" collapsed="false">
      <c r="B23" s="3" t="s">
        <v>169</v>
      </c>
      <c r="C23" s="18" t="n">
        <f aca="false">(C20-Inputs!$C$41)*10000</f>
        <v>-5.40000000000013</v>
      </c>
      <c r="D23" s="18" t="n">
        <f aca="false">(D20-Inputs!$C$41)*10000</f>
        <v>-5.40000000000013</v>
      </c>
      <c r="E23" s="8" t="s">
        <v>170</v>
      </c>
    </row>
    <row r="24" customFormat="false" ht="15" hidden="false" customHeight="false" outlineLevel="0" collapsed="false">
      <c r="B24" s="3" t="s">
        <v>171</v>
      </c>
      <c r="C24" s="3" t="str">
        <f aca="false">IF(Inputs!$C$41&lt;C20,"yes","no")</f>
        <v>no</v>
      </c>
      <c r="D24" s="3" t="str">
        <f aca="false">IF(Inputs!$C$41&lt;D20,"yes","no")</f>
        <v>no</v>
      </c>
    </row>
    <row r="26" customFormat="false" ht="15" hidden="false" customHeight="false" outlineLevel="0" collapsed="false">
      <c r="B26" s="5" t="s">
        <v>172</v>
      </c>
      <c r="C26" s="6"/>
      <c r="D26" s="6"/>
    </row>
    <row r="27" customFormat="false" ht="15" hidden="false" customHeight="false" outlineLevel="0" collapsed="false">
      <c r="B27" s="3" t="s">
        <v>173</v>
      </c>
      <c r="C27" s="22" t="n">
        <f aca="false">Inputs!$C$15*C19</f>
        <v>0.06846</v>
      </c>
      <c r="D27" s="22" t="n">
        <f aca="false">Inputs!$C$15*D19</f>
        <v>0.06846</v>
      </c>
      <c r="E27" s="8" t="s">
        <v>174</v>
      </c>
    </row>
    <row r="28" customFormat="false" ht="15" hidden="false" customHeight="false" outlineLevel="0" collapsed="false">
      <c r="B28" s="3" t="s">
        <v>175</v>
      </c>
      <c r="C28" s="22" t="n">
        <f aca="false">Inputs!$C$41/C19</f>
        <v>0.0846625766871166</v>
      </c>
      <c r="D28" s="22" t="n">
        <f aca="false">Inputs!$C$41/D19</f>
        <v>0.0846625766871166</v>
      </c>
      <c r="E28" s="8" t="s">
        <v>176</v>
      </c>
    </row>
    <row r="29" customFormat="false" ht="15" hidden="false" customHeight="false" outlineLevel="0" collapsed="false">
      <c r="B29" s="3" t="s">
        <v>177</v>
      </c>
      <c r="C29" s="18" t="n">
        <f aca="false">(C28-Inputs!$C$15)*10000</f>
        <v>6.6257668711657</v>
      </c>
      <c r="D29" s="18" t="n">
        <f aca="false">(D28-Inputs!$C$15)*10000</f>
        <v>6.6257668711657</v>
      </c>
      <c r="E29" s="8" t="s">
        <v>178</v>
      </c>
    </row>
    <row r="31" customFormat="false" ht="15" hidden="false" customHeight="false" outlineLevel="0" collapsed="false">
      <c r="B31" s="8" t="s">
        <v>179</v>
      </c>
    </row>
    <row r="32" customFormat="false" ht="15" hidden="false" customHeight="false" outlineLevel="0" collapsed="false">
      <c r="B32" s="8" t="s">
        <v>180</v>
      </c>
    </row>
    <row r="33" customFormat="false" ht="15" hidden="false" customHeight="false" outlineLevel="0" collapsed="false">
      <c r="B33" s="8" t="s">
        <v>181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4" min="3" style="0" width="16"/>
    <col collapsed="false" customWidth="true" hidden="false" outlineLevel="0" max="5" min="5" style="0" width="72"/>
  </cols>
  <sheetData>
    <row r="2" customFormat="false" ht="17.35" hidden="false" customHeight="false" outlineLevel="0" collapsed="false">
      <c r="B2" s="1" t="s">
        <v>182</v>
      </c>
    </row>
    <row r="3" customFormat="false" ht="15" hidden="false" customHeight="false" outlineLevel="0" collapsed="false">
      <c r="B3" s="3" t="s">
        <v>183</v>
      </c>
    </row>
    <row r="5" customFormat="false" ht="15" hidden="false" customHeight="false" outlineLevel="0" collapsed="false">
      <c r="C5" s="4" t="s">
        <v>184</v>
      </c>
      <c r="D5" s="4" t="s">
        <v>185</v>
      </c>
      <c r="E5" s="4" t="s">
        <v>41</v>
      </c>
    </row>
    <row r="6" customFormat="false" ht="15" hidden="false" customHeight="false" outlineLevel="0" collapsed="false">
      <c r="B6" s="5" t="s">
        <v>186</v>
      </c>
      <c r="C6" s="6"/>
      <c r="D6" s="6"/>
    </row>
    <row r="7" customFormat="false" ht="15" hidden="false" customHeight="false" outlineLevel="0" collapsed="false">
      <c r="B7" s="3" t="s">
        <v>187</v>
      </c>
      <c r="C7" s="10" t="n">
        <f aca="false">Inputs!$C$18</f>
        <v>70</v>
      </c>
      <c r="D7" s="10" t="n">
        <f aca="false">Inputs!$C$18</f>
        <v>70</v>
      </c>
    </row>
    <row r="8" customFormat="false" ht="15" hidden="false" customHeight="false" outlineLevel="0" collapsed="false">
      <c r="B8" s="3" t="s">
        <v>188</v>
      </c>
      <c r="C8" s="10" t="n">
        <f aca="false">Inputs!$C$19</f>
        <v>26</v>
      </c>
      <c r="D8" s="10" t="n">
        <f aca="false">Inputs!$C$19</f>
        <v>26</v>
      </c>
    </row>
    <row r="9" customFormat="false" ht="15" hidden="false" customHeight="false" outlineLevel="0" collapsed="false">
      <c r="B9" s="3" t="s">
        <v>189</v>
      </c>
      <c r="C9" s="10" t="n">
        <f aca="false">Inputs!$C$23</f>
        <v>90</v>
      </c>
      <c r="D9" s="10" t="n">
        <f aca="false">Inputs!$C$23</f>
        <v>90</v>
      </c>
    </row>
    <row r="10" customFormat="false" ht="15" hidden="false" customHeight="false" outlineLevel="0" collapsed="false">
      <c r="B10" s="4" t="s">
        <v>190</v>
      </c>
      <c r="C10" s="21" t="n">
        <f aca="false">C7+C8+C9</f>
        <v>186</v>
      </c>
      <c r="D10" s="21" t="n">
        <f aca="false">D7+D8+D9</f>
        <v>186</v>
      </c>
      <c r="E10" s="8" t="s">
        <v>191</v>
      </c>
    </row>
    <row r="11" customFormat="false" ht="15" hidden="false" customHeight="false" outlineLevel="0" collapsed="false">
      <c r="B11" s="3" t="s">
        <v>192</v>
      </c>
      <c r="C11" s="18" t="n">
        <f aca="false">C8+C9</f>
        <v>116</v>
      </c>
      <c r="D11" s="18" t="n">
        <f aca="false">D8+D9</f>
        <v>116</v>
      </c>
      <c r="E11" s="8" t="s">
        <v>193</v>
      </c>
    </row>
    <row r="12" customFormat="false" ht="15" hidden="false" customHeight="false" outlineLevel="0" collapsed="false">
      <c r="B12" s="3" t="s">
        <v>194</v>
      </c>
      <c r="C12" s="18" t="n">
        <f aca="false">C9</f>
        <v>90</v>
      </c>
      <c r="D12" s="18" t="n">
        <f aca="false">D9</f>
        <v>90</v>
      </c>
      <c r="E12" s="8" t="s">
        <v>195</v>
      </c>
    </row>
    <row r="14" customFormat="false" ht="15" hidden="false" customHeight="false" outlineLevel="0" collapsed="false">
      <c r="B14" s="5" t="s">
        <v>196</v>
      </c>
      <c r="C14" s="6"/>
      <c r="D14" s="6"/>
    </row>
    <row r="15" customFormat="false" ht="15" hidden="false" customHeight="false" outlineLevel="0" collapsed="false">
      <c r="B15" s="3" t="s">
        <v>197</v>
      </c>
      <c r="C15" s="10" t="n">
        <f aca="false">Inputs!$C$9</f>
        <v>3423000</v>
      </c>
      <c r="D15" s="10" t="n">
        <f aca="false">Inputs!$C$9</f>
        <v>3423000</v>
      </c>
      <c r="E15" s="8" t="s">
        <v>198</v>
      </c>
    </row>
    <row r="16" customFormat="false" ht="15" hidden="false" customHeight="false" outlineLevel="0" collapsed="false">
      <c r="B16" s="3" t="s">
        <v>55</v>
      </c>
      <c r="C16" s="19" t="n">
        <f aca="false">Inputs!$C$15</f>
        <v>0.084</v>
      </c>
      <c r="D16" s="19" t="n">
        <f aca="false">Inputs!$C$15</f>
        <v>0.084</v>
      </c>
    </row>
    <row r="17" customFormat="false" ht="15" hidden="false" customHeight="false" outlineLevel="0" collapsed="false">
      <c r="B17" s="4" t="s">
        <v>199</v>
      </c>
      <c r="C17" s="13" t="n">
        <f aca="false">C15*C16*C10/Inputs!$C$24</f>
        <v>148558.2</v>
      </c>
      <c r="D17" s="13" t="n">
        <f aca="false">D15*D16*D10/Inputs!$C$24</f>
        <v>148558.2</v>
      </c>
      <c r="E17" s="8" t="s">
        <v>200</v>
      </c>
    </row>
    <row r="19" customFormat="false" ht="15" hidden="false" customHeight="false" outlineLevel="0" collapsed="false">
      <c r="B19" s="5" t="s">
        <v>201</v>
      </c>
      <c r="C19" s="6"/>
      <c r="D19" s="6"/>
    </row>
    <row r="20" customFormat="false" ht="15" hidden="false" customHeight="false" outlineLevel="0" collapsed="false">
      <c r="B20" s="3" t="s">
        <v>202</v>
      </c>
      <c r="D20" s="19" t="n">
        <f aca="false">Inputs!$C$34</f>
        <v>0.0062</v>
      </c>
    </row>
    <row r="21" customFormat="false" ht="15" hidden="false" customHeight="false" outlineLevel="0" collapsed="false">
      <c r="B21" s="3" t="s">
        <v>203</v>
      </c>
      <c r="C21" s="10" t="n">
        <f aca="false">0</f>
        <v>0</v>
      </c>
      <c r="D21" s="10" t="n">
        <f aca="false">Inputs!$C$7*D20</f>
        <v>26040</v>
      </c>
      <c r="E21" s="8" t="s">
        <v>204</v>
      </c>
    </row>
    <row r="22" customFormat="false" ht="15" hidden="false" customHeight="false" outlineLevel="0" collapsed="false">
      <c r="B22" s="4" t="s">
        <v>205</v>
      </c>
      <c r="C22" s="13" t="n">
        <f aca="false">C21</f>
        <v>0</v>
      </c>
      <c r="D22" s="13" t="n">
        <f aca="false">D21</f>
        <v>26040</v>
      </c>
      <c r="E22" s="8" t="s">
        <v>206</v>
      </c>
    </row>
    <row r="24" customFormat="false" ht="15" hidden="false" customHeight="false" outlineLevel="0" collapsed="false">
      <c r="B24" s="5" t="s">
        <v>207</v>
      </c>
      <c r="C24" s="6"/>
      <c r="D24" s="6"/>
    </row>
    <row r="25" customFormat="false" ht="15" hidden="false" customHeight="false" outlineLevel="0" collapsed="false">
      <c r="B25" s="3" t="s">
        <v>208</v>
      </c>
      <c r="C25" s="22" t="n">
        <f aca="false">1-(1-Inputs!$C$28)^(C11/Inputs!$C$25)</f>
        <v>0.0132166706856739</v>
      </c>
      <c r="D25" s="22" t="n">
        <f aca="false">1-(1-Inputs!$C$28)^(D11/Inputs!$C$25)</f>
        <v>0.0132166706856739</v>
      </c>
      <c r="E25" s="8" t="s">
        <v>209</v>
      </c>
    </row>
    <row r="26" customFormat="false" ht="15" hidden="false" customHeight="false" outlineLevel="0" collapsed="false">
      <c r="B26" s="3" t="s">
        <v>74</v>
      </c>
      <c r="C26" s="11" t="n">
        <f aca="false">Inputs!$C$29</f>
        <v>0.62</v>
      </c>
      <c r="D26" s="11" t="n">
        <f aca="false">Inputs!$C$29</f>
        <v>0.62</v>
      </c>
    </row>
    <row r="27" customFormat="false" ht="15" hidden="false" customHeight="false" outlineLevel="0" collapsed="false">
      <c r="B27" s="3" t="s">
        <v>210</v>
      </c>
      <c r="C27" s="10" t="n">
        <f aca="false">Inputs!$C$7*C25*C26</f>
        <v>34416.2104654948</v>
      </c>
      <c r="D27" s="10" t="n">
        <f aca="false">Inputs!$C$7*D25*D26</f>
        <v>34416.2104654948</v>
      </c>
    </row>
    <row r="28" customFormat="false" ht="15" hidden="false" customHeight="false" outlineLevel="0" collapsed="false">
      <c r="B28" s="3" t="s">
        <v>211</v>
      </c>
      <c r="C28" s="11" t="n">
        <f aca="false">0</f>
        <v>0</v>
      </c>
      <c r="D28" s="11" t="n">
        <f aca="false">Inputs!$C$35</f>
        <v>0.9</v>
      </c>
    </row>
    <row r="29" customFormat="false" ht="15" hidden="false" customHeight="false" outlineLevel="0" collapsed="false">
      <c r="B29" s="3" t="s">
        <v>212</v>
      </c>
      <c r="C29" s="11" t="n">
        <f aca="false">1-C28</f>
        <v>1</v>
      </c>
      <c r="D29" s="11" t="n">
        <f aca="false">1-D28</f>
        <v>0.1</v>
      </c>
      <c r="E29" s="8" t="s">
        <v>213</v>
      </c>
    </row>
    <row r="30" customFormat="false" ht="15" hidden="false" customHeight="false" outlineLevel="0" collapsed="false">
      <c r="B30" s="4" t="s">
        <v>214</v>
      </c>
      <c r="C30" s="13" t="n">
        <f aca="false">C27*C29</f>
        <v>34416.2104654948</v>
      </c>
      <c r="D30" s="13" t="n">
        <f aca="false">D27*D29</f>
        <v>3441.62104654948</v>
      </c>
    </row>
    <row r="31" customFormat="false" ht="15" hidden="false" customHeight="false" outlineLevel="0" collapsed="false">
      <c r="B31" s="3" t="s">
        <v>215</v>
      </c>
      <c r="C31" s="10" t="n">
        <f aca="false">C27-C30</f>
        <v>0</v>
      </c>
      <c r="D31" s="10" t="n">
        <f aca="false">D27-D30</f>
        <v>30974.5894189453</v>
      </c>
    </row>
    <row r="33" customFormat="false" ht="15" hidden="false" customHeight="false" outlineLevel="0" collapsed="false">
      <c r="B33" s="5" t="s">
        <v>216</v>
      </c>
      <c r="C33" s="6"/>
      <c r="D33" s="6"/>
    </row>
    <row r="34" customFormat="false" ht="15" hidden="false" customHeight="false" outlineLevel="0" collapsed="false">
      <c r="B34" s="3" t="s">
        <v>217</v>
      </c>
      <c r="C34" s="10" t="n">
        <f aca="false">C17</f>
        <v>148558.2</v>
      </c>
      <c r="D34" s="10" t="n">
        <f aca="false">D17</f>
        <v>148558.2</v>
      </c>
    </row>
    <row r="35" customFormat="false" ht="15" hidden="false" customHeight="false" outlineLevel="0" collapsed="false">
      <c r="B35" s="3" t="s">
        <v>201</v>
      </c>
      <c r="C35" s="10" t="n">
        <f aca="false">C22</f>
        <v>0</v>
      </c>
      <c r="D35" s="10" t="n">
        <f aca="false">D22</f>
        <v>26040</v>
      </c>
    </row>
    <row r="36" customFormat="false" ht="15" hidden="false" customHeight="false" outlineLevel="0" collapsed="false">
      <c r="B36" s="3" t="s">
        <v>207</v>
      </c>
      <c r="C36" s="10" t="n">
        <f aca="false">C30</f>
        <v>34416.2104654948</v>
      </c>
      <c r="D36" s="10" t="n">
        <f aca="false">D30</f>
        <v>3441.62104654948</v>
      </c>
    </row>
    <row r="37" customFormat="false" ht="15" hidden="false" customHeight="false" outlineLevel="0" collapsed="false">
      <c r="B37" s="26" t="s">
        <v>218</v>
      </c>
      <c r="C37" s="27" t="n">
        <f aca="false">SUM(C34:C36)</f>
        <v>182974.410465495</v>
      </c>
      <c r="D37" s="27" t="n">
        <f aca="false">SUM(D34:D36)</f>
        <v>178039.82104655</v>
      </c>
    </row>
    <row r="38" customFormat="false" ht="15" hidden="false" customHeight="false" outlineLevel="0" collapsed="false">
      <c r="B38" s="3" t="s">
        <v>219</v>
      </c>
      <c r="C38" s="11" t="n">
        <f aca="false">C37/Inputs!$C$14</f>
        <v>0.596785422261888</v>
      </c>
      <c r="D38" s="11" t="n">
        <f aca="false">D37/Inputs!$C$14</f>
        <v>0.580690870993312</v>
      </c>
      <c r="E38" s="8" t="s">
        <v>220</v>
      </c>
    </row>
    <row r="39" customFormat="false" ht="15" hidden="false" customHeight="false" outlineLevel="0" collapsed="false">
      <c r="B39" s="4" t="s">
        <v>221</v>
      </c>
      <c r="C39" s="13" t="n">
        <f aca="false">Inputs!$C$14-C37</f>
        <v>123625.589534505</v>
      </c>
      <c r="D39" s="13" t="n">
        <f aca="false">Inputs!$C$14-D37</f>
        <v>128560.178953451</v>
      </c>
    </row>
    <row r="40" customFormat="false" ht="15" hidden="false" customHeight="false" outlineLevel="0" collapsed="false">
      <c r="B40" s="3" t="s">
        <v>222</v>
      </c>
      <c r="C40" s="19" t="n">
        <f aca="false">C39/Inputs!$C$7</f>
        <v>0.0294346641748822</v>
      </c>
      <c r="D40" s="19" t="n">
        <f aca="false">D39/Inputs!$C$7</f>
        <v>0.0306095664174882</v>
      </c>
    </row>
    <row r="41" customFormat="false" ht="15" hidden="false" customHeight="false" outlineLevel="0" collapsed="false">
      <c r="B41" s="3" t="s">
        <v>223</v>
      </c>
      <c r="C41" s="19" t="n">
        <f aca="false">C37/Inputs!$C$7*(Inputs!$C$24/C10)</f>
        <v>0.0843200048228087</v>
      </c>
      <c r="D41" s="19" t="n">
        <f aca="false">D37/Inputs!$C$7*(Inputs!$C$24/D10)</f>
        <v>0.0820460004822809</v>
      </c>
      <c r="E41" s="8" t="s">
        <v>224</v>
      </c>
    </row>
    <row r="42" customFormat="false" ht="15" hidden="false" customHeight="false" outlineLevel="0" collapsed="false">
      <c r="B42" s="3" t="s">
        <v>225</v>
      </c>
      <c r="C42" s="23" t="n">
        <f aca="false">Inputs!$C$14-C37-C39</f>
        <v>0</v>
      </c>
      <c r="D42" s="23" t="n">
        <f aca="false">Inputs!$C$14-D37-D39</f>
        <v>0</v>
      </c>
      <c r="E42" s="8" t="s">
        <v>226</v>
      </c>
    </row>
    <row r="44" customFormat="false" ht="15" hidden="false" customHeight="false" outlineLevel="0" collapsed="false">
      <c r="B44" s="5" t="s">
        <v>227</v>
      </c>
      <c r="C44" s="6"/>
      <c r="D44" s="6"/>
    </row>
    <row r="45" customFormat="false" ht="15" hidden="false" customHeight="false" outlineLevel="0" collapsed="false">
      <c r="B45" s="3" t="s">
        <v>228</v>
      </c>
      <c r="C45" s="10" t="n">
        <f aca="false">D21</f>
        <v>26040</v>
      </c>
    </row>
    <row r="46" customFormat="false" ht="15" hidden="false" customHeight="false" outlineLevel="0" collapsed="false">
      <c r="B46" s="3" t="s">
        <v>229</v>
      </c>
      <c r="C46" s="10" t="n">
        <f aca="false">D31</f>
        <v>30974.5894189453</v>
      </c>
    </row>
    <row r="47" customFormat="false" ht="15" hidden="false" customHeight="false" outlineLevel="0" collapsed="false">
      <c r="B47" s="3" t="s">
        <v>230</v>
      </c>
      <c r="C47" s="10" t="n">
        <f aca="false">C46-C45</f>
        <v>4934.58941894534</v>
      </c>
      <c r="E47" s="8" t="s">
        <v>231</v>
      </c>
    </row>
    <row r="48" customFormat="false" ht="15" hidden="false" customHeight="false" outlineLevel="0" collapsed="false">
      <c r="B48" s="3" t="s">
        <v>232</v>
      </c>
      <c r="C48" s="3" t="str">
        <f aca="false">IF(C47&gt;0,"yes","no")</f>
        <v>yes</v>
      </c>
    </row>
    <row r="49" customFormat="false" ht="15" hidden="false" customHeight="false" outlineLevel="0" collapsed="false">
      <c r="B49" s="3" t="s">
        <v>233</v>
      </c>
      <c r="C49" s="22" t="n">
        <f aca="false">1-(1-Inputs!$C$34/(Inputs!$C$35*Inputs!$C$29))^(Inputs!$C$25/D11)</f>
        <v>0.0345465274320619</v>
      </c>
      <c r="E49" s="8" t="s">
        <v>234</v>
      </c>
    </row>
    <row r="50" customFormat="false" ht="15" hidden="false" customHeight="false" outlineLevel="0" collapsed="false">
      <c r="B50" s="3" t="s">
        <v>235</v>
      </c>
      <c r="C50" s="19" t="n">
        <f aca="false">Inputs!$C$28</f>
        <v>0.041</v>
      </c>
    </row>
    <row r="51" customFormat="false" ht="15" hidden="false" customHeight="false" outlineLevel="0" collapsed="false">
      <c r="B51" s="3" t="s">
        <v>236</v>
      </c>
      <c r="C51" s="10" t="n">
        <f aca="false">D30</f>
        <v>3441.62104654948</v>
      </c>
      <c r="E51" s="8" t="s">
        <v>237</v>
      </c>
    </row>
    <row r="53" customFormat="false" ht="15" hidden="false" customHeight="false" outlineLevel="0" collapsed="false">
      <c r="B53" s="8" t="s">
        <v>238</v>
      </c>
    </row>
    <row r="54" customFormat="false" ht="15" hidden="false" customHeight="false" outlineLevel="0" collapsed="false">
      <c r="B54" s="8" t="s">
        <v>239</v>
      </c>
    </row>
    <row r="55" customFormat="false" ht="15" hidden="false" customHeight="false" outlineLevel="0" collapsed="false">
      <c r="B55" s="8" t="s">
        <v>240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4"/>
    <col collapsed="false" customWidth="true" hidden="false" outlineLevel="0" max="4" min="3" style="0" width="16"/>
    <col collapsed="false" customWidth="true" hidden="false" outlineLevel="0" max="5" min="5" style="0" width="74"/>
  </cols>
  <sheetData>
    <row r="2" customFormat="false" ht="17.35" hidden="false" customHeight="false" outlineLevel="0" collapsed="false">
      <c r="B2" s="1" t="s">
        <v>241</v>
      </c>
    </row>
    <row r="3" customFormat="false" ht="15" hidden="false" customHeight="false" outlineLevel="0" collapsed="false">
      <c r="B3" s="3" t="s">
        <v>242</v>
      </c>
    </row>
    <row r="5" customFormat="false" ht="15" hidden="false" customHeight="false" outlineLevel="0" collapsed="false">
      <c r="C5" s="4" t="s">
        <v>243</v>
      </c>
      <c r="D5" s="4" t="s">
        <v>244</v>
      </c>
      <c r="E5" s="4" t="s">
        <v>41</v>
      </c>
    </row>
    <row r="6" customFormat="false" ht="15" hidden="false" customHeight="false" outlineLevel="0" collapsed="false">
      <c r="B6" s="5" t="s">
        <v>186</v>
      </c>
      <c r="C6" s="6"/>
      <c r="D6" s="6"/>
    </row>
    <row r="7" customFormat="false" ht="15" hidden="false" customHeight="false" outlineLevel="0" collapsed="false">
      <c r="B7" s="3" t="s">
        <v>187</v>
      </c>
      <c r="C7" s="10" t="n">
        <f aca="false">Inputs!$C$18</f>
        <v>70</v>
      </c>
      <c r="D7" s="10" t="n">
        <f aca="false">Inputs!$C$18</f>
        <v>70</v>
      </c>
    </row>
    <row r="8" customFormat="false" ht="15" hidden="false" customHeight="false" outlineLevel="0" collapsed="false">
      <c r="B8" s="3" t="s">
        <v>188</v>
      </c>
      <c r="C8" s="10" t="n">
        <f aca="false">Inputs!$C$19</f>
        <v>26</v>
      </c>
      <c r="D8" s="10" t="n">
        <f aca="false">Inputs!$C$19</f>
        <v>26</v>
      </c>
    </row>
    <row r="9" customFormat="false" ht="15" hidden="false" customHeight="false" outlineLevel="0" collapsed="false">
      <c r="B9" s="3" t="s">
        <v>245</v>
      </c>
      <c r="C9" s="10" t="n">
        <f aca="false">Inputs!$C$20</f>
        <v>9</v>
      </c>
      <c r="D9" s="10" t="n">
        <f aca="false">Inputs!$C$20</f>
        <v>9</v>
      </c>
    </row>
    <row r="10" customFormat="false" ht="15" hidden="false" customHeight="false" outlineLevel="0" collapsed="false">
      <c r="B10" s="3" t="s">
        <v>246</v>
      </c>
      <c r="C10" s="10" t="n">
        <f aca="false">Inputs!$C$21</f>
        <v>7</v>
      </c>
      <c r="D10" s="10" t="n">
        <f aca="false">Inputs!$C$21</f>
        <v>7</v>
      </c>
    </row>
    <row r="11" customFormat="false" ht="15" hidden="false" customHeight="false" outlineLevel="0" collapsed="false">
      <c r="B11" s="3" t="s">
        <v>247</v>
      </c>
      <c r="C11" s="10" t="n">
        <f aca="false">0</f>
        <v>0</v>
      </c>
      <c r="D11" s="10" t="n">
        <f aca="false">Inputs!$C$23</f>
        <v>90</v>
      </c>
      <c r="E11" s="8" t="s">
        <v>248</v>
      </c>
    </row>
    <row r="12" customFormat="false" ht="15" hidden="false" customHeight="false" outlineLevel="0" collapsed="false">
      <c r="B12" s="4" t="s">
        <v>190</v>
      </c>
      <c r="C12" s="21" t="n">
        <f aca="false">C7+C8+C9+C10+C11</f>
        <v>112</v>
      </c>
      <c r="D12" s="21" t="n">
        <f aca="false">D7+D8+D9+D10+D11</f>
        <v>202</v>
      </c>
    </row>
    <row r="13" customFormat="false" ht="15" hidden="false" customHeight="false" outlineLevel="0" collapsed="false">
      <c r="B13" s="3" t="s">
        <v>192</v>
      </c>
      <c r="C13" s="18" t="n">
        <f aca="false">C8+C9+C10+C11</f>
        <v>42</v>
      </c>
      <c r="D13" s="18" t="n">
        <f aca="false">D8+D9+D10+D11</f>
        <v>132</v>
      </c>
    </row>
    <row r="15" customFormat="false" ht="15" hidden="false" customHeight="false" outlineLevel="0" collapsed="false">
      <c r="B15" s="5" t="s">
        <v>249</v>
      </c>
      <c r="C15" s="6"/>
      <c r="D15" s="6"/>
    </row>
    <row r="16" customFormat="false" ht="15" hidden="false" customHeight="false" outlineLevel="0" collapsed="false">
      <c r="B16" s="4" t="s">
        <v>194</v>
      </c>
      <c r="C16" s="21" t="n">
        <f aca="false">0</f>
        <v>0</v>
      </c>
      <c r="D16" s="21" t="n">
        <f aca="false">Inputs!$C$20+Inputs!$C$21+Inputs!$C$23</f>
        <v>106</v>
      </c>
      <c r="E16" s="8" t="s">
        <v>250</v>
      </c>
    </row>
    <row r="17" customFormat="false" ht="15" hidden="false" customHeight="false" outlineLevel="0" collapsed="false">
      <c r="B17" s="3" t="s">
        <v>251</v>
      </c>
      <c r="C17" s="18" t="n">
        <f aca="false">Inputs!$C$23</f>
        <v>90</v>
      </c>
      <c r="D17" s="18" t="n">
        <f aca="false">Inputs!$C$23</f>
        <v>90</v>
      </c>
      <c r="E17" s="8" t="s">
        <v>252</v>
      </c>
    </row>
    <row r="18" customFormat="false" ht="15" hidden="false" customHeight="false" outlineLevel="0" collapsed="false">
      <c r="B18" s="4" t="s">
        <v>253</v>
      </c>
      <c r="C18" s="21" t="n">
        <f aca="false">C16-C17</f>
        <v>-90</v>
      </c>
      <c r="D18" s="21" t="n">
        <f aca="false">D16-D17</f>
        <v>16</v>
      </c>
      <c r="E18" s="8" t="s">
        <v>254</v>
      </c>
    </row>
    <row r="19" customFormat="false" ht="15" hidden="false" customHeight="false" outlineLevel="0" collapsed="false">
      <c r="B19" s="3" t="s">
        <v>255</v>
      </c>
      <c r="D19" s="18" t="n">
        <f aca="false">Inputs!$C$20</f>
        <v>9</v>
      </c>
    </row>
    <row r="20" customFormat="false" ht="15" hidden="false" customHeight="false" outlineLevel="0" collapsed="false">
      <c r="B20" s="3" t="s">
        <v>256</v>
      </c>
      <c r="D20" s="18" t="n">
        <f aca="false">Inputs!$C$21</f>
        <v>7</v>
      </c>
      <c r="E20" s="8" t="s">
        <v>257</v>
      </c>
    </row>
    <row r="22" customFormat="false" ht="15" hidden="false" customHeight="false" outlineLevel="0" collapsed="false">
      <c r="B22" s="5" t="s">
        <v>196</v>
      </c>
      <c r="C22" s="6"/>
      <c r="D22" s="6"/>
    </row>
    <row r="23" customFormat="false" ht="15" hidden="false" customHeight="false" outlineLevel="0" collapsed="false">
      <c r="B23" s="3" t="s">
        <v>197</v>
      </c>
      <c r="C23" s="10" t="n">
        <f aca="false">Inputs!$C$9</f>
        <v>3423000</v>
      </c>
      <c r="D23" s="10" t="n">
        <f aca="false">Inputs!$C$9</f>
        <v>3423000</v>
      </c>
    </row>
    <row r="24" customFormat="false" ht="15" hidden="false" customHeight="false" outlineLevel="0" collapsed="false">
      <c r="B24" s="3" t="s">
        <v>55</v>
      </c>
      <c r="C24" s="19" t="n">
        <f aca="false">Inputs!$C$15</f>
        <v>0.084</v>
      </c>
      <c r="D24" s="19" t="n">
        <f aca="false">Inputs!$C$15</f>
        <v>0.084</v>
      </c>
    </row>
    <row r="25" customFormat="false" ht="15" hidden="false" customHeight="false" outlineLevel="0" collapsed="false">
      <c r="B25" s="4" t="s">
        <v>199</v>
      </c>
      <c r="C25" s="13" t="n">
        <f aca="false">C23*C24*C12/Inputs!$C$24</f>
        <v>89454.4</v>
      </c>
      <c r="D25" s="13" t="n">
        <f aca="false">D23*D24*D12/Inputs!$C$24</f>
        <v>161337.4</v>
      </c>
      <c r="E25" s="8" t="s">
        <v>200</v>
      </c>
    </row>
    <row r="27" customFormat="false" ht="15" hidden="false" customHeight="false" outlineLevel="0" collapsed="false">
      <c r="B27" s="5" t="s">
        <v>201</v>
      </c>
      <c r="C27" s="6"/>
      <c r="D27" s="6"/>
    </row>
    <row r="28" customFormat="false" ht="15" hidden="false" customHeight="false" outlineLevel="0" collapsed="false">
      <c r="B28" s="3" t="s">
        <v>83</v>
      </c>
      <c r="C28" s="22" t="n">
        <f aca="false">Inputs!$C$36</f>
        <v>0.0009</v>
      </c>
      <c r="D28" s="22" t="n">
        <f aca="false">Inputs!$C$36</f>
        <v>0.0009</v>
      </c>
    </row>
    <row r="29" customFormat="false" ht="15" hidden="false" customHeight="false" outlineLevel="0" collapsed="false">
      <c r="B29" s="3" t="s">
        <v>84</v>
      </c>
      <c r="C29" s="10" t="n">
        <f aca="false">Inputs!$C$37</f>
        <v>260</v>
      </c>
      <c r="D29" s="10" t="n">
        <f aca="false">Inputs!$C$37</f>
        <v>260</v>
      </c>
    </row>
    <row r="30" customFormat="false" ht="15" hidden="false" customHeight="false" outlineLevel="0" collapsed="false">
      <c r="B30" s="3" t="s">
        <v>258</v>
      </c>
      <c r="C30" s="10" t="n">
        <f aca="false">MAX(Inputs!$C$7*C28,C29)</f>
        <v>3780</v>
      </c>
      <c r="D30" s="10" t="n">
        <f aca="false">MAX(Inputs!$C$7*D28,D29)</f>
        <v>3780</v>
      </c>
      <c r="E30" s="8" t="s">
        <v>259</v>
      </c>
    </row>
    <row r="31" customFormat="false" ht="15" hidden="false" customHeight="false" outlineLevel="0" collapsed="false">
      <c r="B31" s="3" t="s">
        <v>86</v>
      </c>
      <c r="C31" s="10" t="n">
        <f aca="false">Inputs!$C$38</f>
        <v>1180</v>
      </c>
      <c r="D31" s="10" t="n">
        <f aca="false">Inputs!$C$38</f>
        <v>1180</v>
      </c>
    </row>
    <row r="32" customFormat="false" ht="15" hidden="false" customHeight="false" outlineLevel="0" collapsed="false">
      <c r="B32" s="4" t="s">
        <v>205</v>
      </c>
      <c r="C32" s="13" t="n">
        <f aca="false">C30+C31</f>
        <v>4960</v>
      </c>
      <c r="D32" s="13" t="n">
        <f aca="false">D30+D31</f>
        <v>4960</v>
      </c>
      <c r="E32" s="8" t="s">
        <v>260</v>
      </c>
    </row>
    <row r="34" customFormat="false" ht="15" hidden="false" customHeight="false" outlineLevel="0" collapsed="false">
      <c r="B34" s="5" t="s">
        <v>207</v>
      </c>
      <c r="C34" s="6"/>
      <c r="D34" s="6"/>
    </row>
    <row r="35" customFormat="false" ht="15" hidden="false" customHeight="false" outlineLevel="0" collapsed="false">
      <c r="B35" s="3" t="s">
        <v>208</v>
      </c>
      <c r="C35" s="22" t="n">
        <f aca="false">1-(1-Inputs!$C$28)^(C13/Inputs!$C$25)</f>
        <v>0.00480566653858583</v>
      </c>
      <c r="D35" s="22" t="n">
        <f aca="false">1-(1-Inputs!$C$28)^(D13/Inputs!$C$25)</f>
        <v>0.0150258987917193</v>
      </c>
      <c r="E35" s="8" t="s">
        <v>261</v>
      </c>
    </row>
    <row r="36" customFormat="false" ht="15" hidden="false" customHeight="false" outlineLevel="0" collapsed="false">
      <c r="B36" s="3" t="s">
        <v>262</v>
      </c>
      <c r="C36" s="24" t="n">
        <f aca="false">Inputs!$C$44</f>
        <v>1.45</v>
      </c>
    </row>
    <row r="37" customFormat="false" ht="15" hidden="false" customHeight="false" outlineLevel="0" collapsed="false">
      <c r="B37" s="3" t="s">
        <v>263</v>
      </c>
      <c r="C37" s="22" t="n">
        <f aca="false">C35*C36</f>
        <v>0.00696821648094945</v>
      </c>
    </row>
    <row r="38" customFormat="false" ht="15" hidden="false" customHeight="false" outlineLevel="0" collapsed="false">
      <c r="B38" s="3" t="s">
        <v>264</v>
      </c>
      <c r="C38" s="11" t="n">
        <f aca="false">Inputs!$C$45</f>
        <v>0.29</v>
      </c>
      <c r="E38" s="8" t="s">
        <v>265</v>
      </c>
    </row>
    <row r="39" customFormat="false" ht="15" hidden="false" customHeight="false" outlineLevel="0" collapsed="false">
      <c r="B39" s="3" t="s">
        <v>74</v>
      </c>
      <c r="D39" s="11" t="n">
        <f aca="false">Inputs!$C$29</f>
        <v>0.62</v>
      </c>
    </row>
    <row r="40" customFormat="false" ht="15" hidden="false" customHeight="false" outlineLevel="0" collapsed="false">
      <c r="B40" s="3" t="s">
        <v>266</v>
      </c>
      <c r="D40" s="11" t="n">
        <f aca="false">Inputs!$C$46</f>
        <v>0.9</v>
      </c>
      <c r="E40" s="8" t="s">
        <v>267</v>
      </c>
    </row>
    <row r="41" customFormat="false" ht="15" hidden="false" customHeight="false" outlineLevel="0" collapsed="false">
      <c r="B41" s="4" t="s">
        <v>207</v>
      </c>
      <c r="C41" s="13" t="n">
        <f aca="false">Inputs!$C$7*C37*C38</f>
        <v>8487.28767379643</v>
      </c>
      <c r="D41" s="13" t="n">
        <f aca="false">Inputs!$C$7*D35*D39*D40</f>
        <v>35214.6964082734</v>
      </c>
    </row>
    <row r="43" customFormat="false" ht="15" hidden="false" customHeight="false" outlineLevel="0" collapsed="false">
      <c r="B43" s="5" t="s">
        <v>216</v>
      </c>
      <c r="C43" s="6"/>
      <c r="D43" s="6"/>
    </row>
    <row r="44" customFormat="false" ht="15" hidden="false" customHeight="false" outlineLevel="0" collapsed="false">
      <c r="B44" s="3" t="s">
        <v>217</v>
      </c>
      <c r="C44" s="10" t="n">
        <f aca="false">C25</f>
        <v>89454.4</v>
      </c>
      <c r="D44" s="10" t="n">
        <f aca="false">D25</f>
        <v>161337.4</v>
      </c>
    </row>
    <row r="45" customFormat="false" ht="15" hidden="false" customHeight="false" outlineLevel="0" collapsed="false">
      <c r="B45" s="3" t="s">
        <v>201</v>
      </c>
      <c r="C45" s="10" t="n">
        <f aca="false">C32</f>
        <v>4960</v>
      </c>
      <c r="D45" s="10" t="n">
        <f aca="false">D32</f>
        <v>4960</v>
      </c>
    </row>
    <row r="46" customFormat="false" ht="15" hidden="false" customHeight="false" outlineLevel="0" collapsed="false">
      <c r="B46" s="3" t="s">
        <v>207</v>
      </c>
      <c r="C46" s="10" t="n">
        <f aca="false">C41</f>
        <v>8487.28767379643</v>
      </c>
      <c r="D46" s="10" t="n">
        <f aca="false">D41</f>
        <v>35214.6964082734</v>
      </c>
    </row>
    <row r="47" customFormat="false" ht="15" hidden="false" customHeight="false" outlineLevel="0" collapsed="false">
      <c r="B47" s="26" t="s">
        <v>218</v>
      </c>
      <c r="C47" s="27" t="n">
        <f aca="false">SUM(C44:C46)</f>
        <v>102901.687673796</v>
      </c>
      <c r="D47" s="27" t="n">
        <f aca="false">SUM(D44:D46)</f>
        <v>201512.096408273</v>
      </c>
    </row>
    <row r="48" customFormat="false" ht="15" hidden="false" customHeight="false" outlineLevel="0" collapsed="false">
      <c r="B48" s="3" t="s">
        <v>219</v>
      </c>
      <c r="C48" s="11" t="n">
        <f aca="false">C47/Inputs!$C$14</f>
        <v>0.335621942836909</v>
      </c>
      <c r="D48" s="11" t="n">
        <f aca="false">D47/Inputs!$C$14</f>
        <v>0.657247542101349</v>
      </c>
    </row>
    <row r="49" customFormat="false" ht="15" hidden="false" customHeight="false" outlineLevel="0" collapsed="false">
      <c r="B49" s="4" t="s">
        <v>221</v>
      </c>
      <c r="C49" s="13" t="n">
        <f aca="false">Inputs!$C$14-C47</f>
        <v>203698.312326204</v>
      </c>
      <c r="D49" s="13" t="n">
        <f aca="false">Inputs!$C$14-D47</f>
        <v>105087.903591727</v>
      </c>
    </row>
    <row r="50" customFormat="false" ht="15" hidden="false" customHeight="false" outlineLevel="0" collapsed="false">
      <c r="B50" s="3" t="s">
        <v>222</v>
      </c>
      <c r="C50" s="19" t="n">
        <f aca="false">C49/Inputs!$C$7</f>
        <v>0.0484995981729056</v>
      </c>
      <c r="D50" s="19" t="n">
        <f aca="false">D49/Inputs!$C$7</f>
        <v>0.0250209294266016</v>
      </c>
    </row>
    <row r="51" customFormat="false" ht="15" hidden="false" customHeight="false" outlineLevel="0" collapsed="false">
      <c r="B51" s="3" t="s">
        <v>223</v>
      </c>
      <c r="C51" s="19" t="n">
        <f aca="false">C47/Inputs!$C$7*(Inputs!$C$24/C12)</f>
        <v>0.0787512915870891</v>
      </c>
      <c r="D51" s="19" t="n">
        <f aca="false">D47/Inputs!$C$7*(Inputs!$C$24/D12)</f>
        <v>0.0855072544872448</v>
      </c>
    </row>
    <row r="52" customFormat="false" ht="15" hidden="false" customHeight="false" outlineLevel="0" collapsed="false">
      <c r="B52" s="3" t="s">
        <v>225</v>
      </c>
      <c r="C52" s="23" t="n">
        <f aca="false">Inputs!$C$14-C47-C49</f>
        <v>0</v>
      </c>
      <c r="D52" s="23" t="n">
        <f aca="false">Inputs!$C$14-D47-D49</f>
        <v>0</v>
      </c>
      <c r="E52" s="8" t="s">
        <v>268</v>
      </c>
    </row>
    <row r="54" customFormat="false" ht="15" hidden="false" customHeight="false" outlineLevel="0" collapsed="false">
      <c r="B54" s="5" t="s">
        <v>269</v>
      </c>
      <c r="C54" s="6"/>
      <c r="D54" s="6"/>
    </row>
    <row r="55" customFormat="false" ht="15" hidden="false" customHeight="false" outlineLevel="0" collapsed="false">
      <c r="B55" s="8" t="s">
        <v>270</v>
      </c>
    </row>
    <row r="56" customFormat="false" ht="15" hidden="false" customHeight="false" outlineLevel="0" collapsed="false">
      <c r="B56" s="8" t="s">
        <v>271</v>
      </c>
    </row>
    <row r="57" customFormat="false" ht="15" hidden="false" customHeight="false" outlineLevel="0" collapsed="false">
      <c r="B57" s="8" t="s">
        <v>272</v>
      </c>
    </row>
    <row r="58" customFormat="false" ht="15" hidden="false" customHeight="false" outlineLevel="0" collapsed="false">
      <c r="B58" s="8" t="s">
        <v>273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6"/>
    <col collapsed="false" customWidth="true" hidden="false" outlineLevel="0" max="3" min="3" style="0" width="18"/>
    <col collapsed="false" customWidth="true" hidden="false" outlineLevel="0" max="4" min="4" style="0" width="74"/>
  </cols>
  <sheetData>
    <row r="2" customFormat="false" ht="17.35" hidden="false" customHeight="false" outlineLevel="0" collapsed="false">
      <c r="B2" s="1" t="s">
        <v>274</v>
      </c>
    </row>
    <row r="3" customFormat="false" ht="15" hidden="false" customHeight="false" outlineLevel="0" collapsed="false">
      <c r="B3" s="3" t="s">
        <v>275</v>
      </c>
    </row>
    <row r="5" customFormat="false" ht="15" hidden="false" customHeight="false" outlineLevel="0" collapsed="false">
      <c r="B5" s="5" t="s">
        <v>276</v>
      </c>
      <c r="C5" s="6"/>
    </row>
    <row r="6" customFormat="false" ht="15" hidden="false" customHeight="false" outlineLevel="0" collapsed="false">
      <c r="B6" s="3" t="s">
        <v>277</v>
      </c>
      <c r="C6" s="10" t="n">
        <f aca="false">Inputs!$C$7</f>
        <v>4200000</v>
      </c>
    </row>
    <row r="7" customFormat="false" ht="15" hidden="false" customHeight="false" outlineLevel="0" collapsed="false">
      <c r="B7" s="3" t="s">
        <v>278</v>
      </c>
      <c r="C7" s="18" t="n">
        <f aca="false">Inputs!$C$23</f>
        <v>90</v>
      </c>
      <c r="D7" s="8" t="s">
        <v>279</v>
      </c>
    </row>
    <row r="8" customFormat="false" ht="15" hidden="false" customHeight="false" outlineLevel="0" collapsed="false">
      <c r="B8" s="4" t="s">
        <v>190</v>
      </c>
      <c r="C8" s="21" t="n">
        <f aca="false">Inputs!$C$18+Inputs!$C$19+Inputs!$C$20+Inputs!$C$22</f>
        <v>109</v>
      </c>
      <c r="D8" s="8" t="s">
        <v>280</v>
      </c>
    </row>
    <row r="9" customFormat="false" ht="15" hidden="false" customHeight="false" outlineLevel="0" collapsed="false">
      <c r="B9" s="3" t="s">
        <v>194</v>
      </c>
      <c r="C9" s="18" t="n">
        <f aca="false">Inputs!$C$23</f>
        <v>90</v>
      </c>
      <c r="D9" s="8" t="s">
        <v>281</v>
      </c>
    </row>
    <row r="11" customFormat="false" ht="15" hidden="false" customHeight="false" outlineLevel="0" collapsed="false">
      <c r="B11" s="5" t="s">
        <v>196</v>
      </c>
      <c r="C11" s="6"/>
    </row>
    <row r="12" customFormat="false" ht="15" hidden="false" customHeight="false" outlineLevel="0" collapsed="false">
      <c r="B12" s="3" t="s">
        <v>197</v>
      </c>
      <c r="C12" s="10" t="n">
        <f aca="false">Inputs!$C$9</f>
        <v>3423000</v>
      </c>
      <c r="D12" s="8" t="s">
        <v>282</v>
      </c>
    </row>
    <row r="13" customFormat="false" ht="15" hidden="false" customHeight="false" outlineLevel="0" collapsed="false">
      <c r="B13" s="3" t="s">
        <v>55</v>
      </c>
      <c r="C13" s="19" t="n">
        <f aca="false">Inputs!$C$15</f>
        <v>0.084</v>
      </c>
    </row>
    <row r="14" customFormat="false" ht="15" hidden="false" customHeight="false" outlineLevel="0" collapsed="false">
      <c r="B14" s="4" t="s">
        <v>199</v>
      </c>
      <c r="C14" s="13" t="n">
        <f aca="false">C12*C13*C8/Inputs!$C$24</f>
        <v>87058.3</v>
      </c>
      <c r="D14" s="8" t="s">
        <v>200</v>
      </c>
    </row>
    <row r="16" customFormat="false" ht="15" hidden="false" customHeight="false" outlineLevel="0" collapsed="false">
      <c r="B16" s="5" t="s">
        <v>283</v>
      </c>
      <c r="C16" s="6"/>
    </row>
    <row r="17" customFormat="false" ht="15" hidden="false" customHeight="false" outlineLevel="0" collapsed="false">
      <c r="B17" s="3" t="s">
        <v>284</v>
      </c>
      <c r="C17" s="19" t="n">
        <f aca="false">Inputs!$C$39</f>
        <v>0.076</v>
      </c>
    </row>
    <row r="18" customFormat="false" ht="15" hidden="false" customHeight="false" outlineLevel="0" collapsed="false">
      <c r="B18" s="4" t="s">
        <v>285</v>
      </c>
      <c r="C18" s="13" t="n">
        <f aca="false">C6*C17*C7/Inputs!$C$24</f>
        <v>79800</v>
      </c>
      <c r="D18" s="8" t="s">
        <v>286</v>
      </c>
    </row>
    <row r="19" customFormat="false" ht="15" hidden="false" customHeight="false" outlineLevel="0" collapsed="false">
      <c r="B19" s="3" t="s">
        <v>287</v>
      </c>
      <c r="C19" s="19" t="n">
        <f aca="false">Inputs!$C$40</f>
        <v>0.0055</v>
      </c>
    </row>
    <row r="20" customFormat="false" ht="15" hidden="false" customHeight="false" outlineLevel="0" collapsed="false">
      <c r="B20" s="3" t="s">
        <v>288</v>
      </c>
      <c r="C20" s="10" t="n">
        <f aca="false">C6*C19</f>
        <v>23100</v>
      </c>
      <c r="D20" s="8" t="s">
        <v>289</v>
      </c>
    </row>
    <row r="21" customFormat="false" ht="15" hidden="false" customHeight="false" outlineLevel="0" collapsed="false">
      <c r="B21" s="3" t="s">
        <v>86</v>
      </c>
      <c r="C21" s="10" t="n">
        <f aca="false">Inputs!$C$38</f>
        <v>1180</v>
      </c>
    </row>
    <row r="22" customFormat="false" ht="15" hidden="false" customHeight="false" outlineLevel="0" collapsed="false">
      <c r="B22" s="4" t="s">
        <v>205</v>
      </c>
      <c r="C22" s="13" t="n">
        <f aca="false">C18+C20+C21</f>
        <v>104080</v>
      </c>
      <c r="D22" s="8" t="s">
        <v>290</v>
      </c>
    </row>
    <row r="24" customFormat="false" ht="15" hidden="false" customHeight="false" outlineLevel="0" collapsed="false">
      <c r="B24" s="5" t="s">
        <v>291</v>
      </c>
      <c r="C24" s="6"/>
    </row>
    <row r="25" customFormat="false" ht="15" hidden="false" customHeight="false" outlineLevel="0" collapsed="false">
      <c r="B25" s="3" t="s">
        <v>100</v>
      </c>
      <c r="C25" s="19" t="n">
        <f aca="false">Inputs!$C$47</f>
        <v>0.0225</v>
      </c>
    </row>
    <row r="26" customFormat="false" ht="15" hidden="false" customHeight="false" outlineLevel="0" collapsed="false">
      <c r="B26" s="3" t="s">
        <v>102</v>
      </c>
      <c r="C26" s="11" t="n">
        <f aca="false">Inputs!$C$48</f>
        <v>0.34</v>
      </c>
    </row>
    <row r="27" customFormat="false" ht="15" hidden="false" customHeight="false" outlineLevel="0" collapsed="false">
      <c r="B27" s="4" t="s">
        <v>292</v>
      </c>
      <c r="C27" s="13" t="n">
        <f aca="false">C6*C25*C26</f>
        <v>32130</v>
      </c>
      <c r="D27" s="8" t="s">
        <v>293</v>
      </c>
    </row>
    <row r="29" customFormat="false" ht="15" hidden="false" customHeight="false" outlineLevel="0" collapsed="false">
      <c r="B29" s="5" t="s">
        <v>216</v>
      </c>
      <c r="C29" s="6"/>
    </row>
    <row r="30" customFormat="false" ht="15" hidden="false" customHeight="false" outlineLevel="0" collapsed="false">
      <c r="B30" s="3" t="s">
        <v>217</v>
      </c>
      <c r="C30" s="10" t="n">
        <f aca="false">C14</f>
        <v>87058.3</v>
      </c>
    </row>
    <row r="31" customFormat="false" ht="15" hidden="false" customHeight="false" outlineLevel="0" collapsed="false">
      <c r="B31" s="3" t="s">
        <v>201</v>
      </c>
      <c r="C31" s="10" t="n">
        <f aca="false">C22</f>
        <v>104080</v>
      </c>
    </row>
    <row r="32" customFormat="false" ht="15" hidden="false" customHeight="false" outlineLevel="0" collapsed="false">
      <c r="B32" s="3" t="s">
        <v>294</v>
      </c>
      <c r="C32" s="10" t="n">
        <f aca="false">C27</f>
        <v>32130</v>
      </c>
    </row>
    <row r="33" customFormat="false" ht="15" hidden="false" customHeight="false" outlineLevel="0" collapsed="false">
      <c r="B33" s="26" t="s">
        <v>218</v>
      </c>
      <c r="C33" s="27" t="n">
        <f aca="false">SUM(C30:C32)</f>
        <v>223268.3</v>
      </c>
    </row>
    <row r="34" customFormat="false" ht="15" hidden="false" customHeight="false" outlineLevel="0" collapsed="false">
      <c r="B34" s="3" t="s">
        <v>219</v>
      </c>
      <c r="C34" s="11" t="n">
        <f aca="false">C33/Inputs!$C$14</f>
        <v>0.728207110241357</v>
      </c>
      <c r="D34" s="8" t="s">
        <v>295</v>
      </c>
    </row>
    <row r="35" customFormat="false" ht="15" hidden="false" customHeight="false" outlineLevel="0" collapsed="false">
      <c r="B35" s="4" t="s">
        <v>221</v>
      </c>
      <c r="C35" s="13" t="n">
        <f aca="false">Inputs!$C$14-C33</f>
        <v>83331.7</v>
      </c>
    </row>
    <row r="36" customFormat="false" ht="15" hidden="false" customHeight="false" outlineLevel="0" collapsed="false">
      <c r="B36" s="3" t="s">
        <v>222</v>
      </c>
      <c r="C36" s="19" t="n">
        <f aca="false">C35/Inputs!$C$7</f>
        <v>0.019840880952381</v>
      </c>
    </row>
    <row r="37" customFormat="false" ht="15" hidden="false" customHeight="false" outlineLevel="0" collapsed="false">
      <c r="B37" s="3" t="s">
        <v>223</v>
      </c>
      <c r="C37" s="19" t="n">
        <f aca="false">C33/Inputs!$C$7*(Inputs!$C$24/C8)</f>
        <v>0.175571402359109</v>
      </c>
      <c r="D37" s="8" t="s">
        <v>296</v>
      </c>
    </row>
    <row r="38" customFormat="false" ht="15" hidden="false" customHeight="false" outlineLevel="0" collapsed="false">
      <c r="B38" s="3" t="s">
        <v>225</v>
      </c>
      <c r="C38" s="23" t="n">
        <f aca="false">Inputs!$C$14-C33-C35</f>
        <v>0</v>
      </c>
      <c r="D38" s="8" t="s">
        <v>268</v>
      </c>
    </row>
    <row r="40" customFormat="false" ht="15" hidden="false" customHeight="false" outlineLevel="0" collapsed="false">
      <c r="B40" s="5" t="s">
        <v>297</v>
      </c>
      <c r="C40" s="6"/>
    </row>
    <row r="41" customFormat="false" ht="15" hidden="false" customHeight="false" outlineLevel="0" collapsed="false">
      <c r="B41" s="3" t="s">
        <v>298</v>
      </c>
      <c r="C41" s="10" t="n">
        <f aca="false">C6</f>
        <v>4200000</v>
      </c>
    </row>
    <row r="42" customFormat="false" ht="15" hidden="false" customHeight="false" outlineLevel="0" collapsed="false">
      <c r="B42" s="3" t="s">
        <v>299</v>
      </c>
      <c r="C42" s="10" t="n">
        <f aca="false">-C18</f>
        <v>-79800</v>
      </c>
    </row>
    <row r="43" customFormat="false" ht="15" hidden="false" customHeight="false" outlineLevel="0" collapsed="false">
      <c r="B43" s="4" t="s">
        <v>300</v>
      </c>
      <c r="C43" s="13" t="n">
        <f aca="false">C41+C42</f>
        <v>4120200</v>
      </c>
    </row>
    <row r="44" customFormat="false" ht="15" hidden="false" customHeight="false" outlineLevel="0" collapsed="false">
      <c r="B44" s="4" t="s">
        <v>301</v>
      </c>
      <c r="C44" s="20" t="n">
        <f aca="false">C18/C43*(Inputs!$C$24/C7)</f>
        <v>0.0774719673802243</v>
      </c>
      <c r="D44" s="8" t="s">
        <v>302</v>
      </c>
    </row>
    <row r="45" customFormat="false" ht="15" hidden="false" customHeight="false" outlineLevel="0" collapsed="false">
      <c r="B45" s="3" t="s">
        <v>303</v>
      </c>
      <c r="C45" s="22" t="n">
        <f aca="false">C17</f>
        <v>0.076</v>
      </c>
    </row>
    <row r="46" customFormat="false" ht="15" hidden="false" customHeight="false" outlineLevel="0" collapsed="false">
      <c r="B46" s="3" t="s">
        <v>123</v>
      </c>
      <c r="C46" s="18" t="n">
        <f aca="false">(C44-C45)*10000</f>
        <v>14.7196738022426</v>
      </c>
    </row>
    <row r="48" customFormat="false" ht="15" hidden="false" customHeight="false" outlineLevel="0" collapsed="false">
      <c r="B48" s="5" t="s">
        <v>304</v>
      </c>
      <c r="C48" s="6"/>
    </row>
    <row r="49" customFormat="false" ht="15" hidden="false" customHeight="false" outlineLevel="0" collapsed="false">
      <c r="B49" s="3" t="s">
        <v>300</v>
      </c>
      <c r="C49" s="10" t="n">
        <f aca="false">C43</f>
        <v>4120200</v>
      </c>
    </row>
    <row r="50" customFormat="false" ht="15" hidden="false" customHeight="false" outlineLevel="0" collapsed="false">
      <c r="B50" s="3" t="s">
        <v>305</v>
      </c>
      <c r="C50" s="10" t="n">
        <f aca="false">-C20</f>
        <v>-23100</v>
      </c>
    </row>
    <row r="51" customFormat="false" ht="15" hidden="false" customHeight="false" outlineLevel="0" collapsed="false">
      <c r="B51" s="4" t="s">
        <v>306</v>
      </c>
      <c r="C51" s="13" t="n">
        <f aca="false">C49+C50</f>
        <v>4097100</v>
      </c>
      <c r="D51" s="8" t="s">
        <v>307</v>
      </c>
    </row>
    <row r="52" customFormat="false" ht="15" hidden="false" customHeight="false" outlineLevel="0" collapsed="false">
      <c r="B52" s="4" t="s">
        <v>308</v>
      </c>
      <c r="C52" s="13" t="n">
        <f aca="false">C18+C20</f>
        <v>102900</v>
      </c>
      <c r="D52" s="8" t="s">
        <v>309</v>
      </c>
    </row>
    <row r="53" customFormat="false" ht="15" hidden="false" customHeight="false" outlineLevel="0" collapsed="false">
      <c r="B53" s="4" t="s">
        <v>310</v>
      </c>
      <c r="C53" s="20" t="n">
        <f aca="false">C52/C51*(Inputs!$C$24/C7)</f>
        <v>0.100461301896463</v>
      </c>
    </row>
    <row r="54" customFormat="false" ht="15" hidden="false" customHeight="false" outlineLevel="0" collapsed="false">
      <c r="B54" s="3" t="s">
        <v>311</v>
      </c>
      <c r="C54" s="18" t="n">
        <f aca="false">(C53-C45)*10000</f>
        <v>244.613018964634</v>
      </c>
      <c r="D54" s="8" t="s">
        <v>312</v>
      </c>
    </row>
    <row r="56" customFormat="false" ht="15" hidden="false" customHeight="false" outlineLevel="0" collapsed="false">
      <c r="B56" s="8" t="s">
        <v>313</v>
      </c>
    </row>
    <row r="57" customFormat="false" ht="15" hidden="false" customHeight="false" outlineLevel="0" collapsed="false">
      <c r="B57" s="8" t="s">
        <v>314</v>
      </c>
    </row>
    <row r="58" customFormat="false" ht="15" hidden="false" customHeight="false" outlineLevel="0" collapsed="false">
      <c r="B58" s="8" t="s">
        <v>315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0"/>
  </cols>
  <sheetData>
    <row r="2" customFormat="false" ht="17.35" hidden="false" customHeight="false" outlineLevel="0" collapsed="false">
      <c r="B2" s="1" t="s">
        <v>316</v>
      </c>
    </row>
    <row r="3" customFormat="false" ht="15" hidden="false" customHeight="false" outlineLevel="0" collapsed="false">
      <c r="B3" s="3" t="s">
        <v>317</v>
      </c>
    </row>
    <row r="4" customFormat="false" ht="15" hidden="false" customHeight="false" outlineLevel="0" collapsed="false">
      <c r="B4" s="3" t="s">
        <v>318</v>
      </c>
    </row>
    <row r="5" customFormat="false" ht="15" hidden="false" customHeight="false" outlineLevel="0" collapsed="false">
      <c r="B5" s="3" t="s">
        <v>319</v>
      </c>
    </row>
    <row r="7" customFormat="false" ht="15" hidden="false" customHeight="false" outlineLevel="0" collapsed="false">
      <c r="B7" s="25" t="s">
        <v>320</v>
      </c>
      <c r="C7" s="25" t="s">
        <v>321</v>
      </c>
      <c r="D7" s="25" t="s">
        <v>322</v>
      </c>
      <c r="E7" s="25" t="s">
        <v>323</v>
      </c>
      <c r="F7" s="25" t="s">
        <v>324</v>
      </c>
    </row>
    <row r="8" customFormat="false" ht="15" hidden="false" customHeight="false" outlineLevel="0" collapsed="false">
      <c r="B8" s="5" t="s">
        <v>42</v>
      </c>
      <c r="C8" s="6"/>
      <c r="D8" s="6"/>
      <c r="E8" s="6"/>
      <c r="F8" s="6"/>
    </row>
    <row r="9" customFormat="false" ht="15" hidden="false" customHeight="false" outlineLevel="0" collapsed="false">
      <c r="B9" s="3" t="s">
        <v>47</v>
      </c>
      <c r="C9" s="10" t="n">
        <v>3423000</v>
      </c>
      <c r="D9" s="28" t="n">
        <f aca="false">ROUND(Inputs!$C$9,0)</f>
        <v>3423000</v>
      </c>
      <c r="E9" s="29" t="n">
        <f aca="false">D9-C9</f>
        <v>0</v>
      </c>
      <c r="F9" s="4" t="str">
        <f aca="false">IF(ABS(E9)&lt;0.00000001,"PASS","FAIL")</f>
        <v>PASS</v>
      </c>
    </row>
    <row r="10" customFormat="false" ht="15" hidden="false" customHeight="false" outlineLevel="0" collapsed="false">
      <c r="B10" s="3" t="s">
        <v>49</v>
      </c>
      <c r="C10" s="10" t="n">
        <v>777000</v>
      </c>
      <c r="D10" s="28" t="n">
        <f aca="false">ROUND(Inputs!$C$10,0)</f>
        <v>777000</v>
      </c>
      <c r="E10" s="29" t="n">
        <f aca="false">D10-C10</f>
        <v>0</v>
      </c>
      <c r="F10" s="4" t="str">
        <f aca="false">IF(ABS(E10)&lt;0.00000001,"PASS","FAIL")</f>
        <v>PASS</v>
      </c>
    </row>
    <row r="11" customFormat="false" ht="15" hidden="false" customHeight="false" outlineLevel="0" collapsed="false">
      <c r="B11" s="3" t="s">
        <v>50</v>
      </c>
      <c r="C11" s="22" t="n">
        <v>0.185</v>
      </c>
      <c r="D11" s="30" t="n">
        <f aca="false">ROUND(Inputs!$C$11,3)</f>
        <v>0.185</v>
      </c>
      <c r="E11" s="29" t="n">
        <f aca="false">D11-C11</f>
        <v>0</v>
      </c>
      <c r="F11" s="4" t="str">
        <f aca="false">IF(ABS(E11)&lt;0.00000001,"PASS","FAIL")</f>
        <v>PASS</v>
      </c>
    </row>
    <row r="12" customFormat="false" ht="15" hidden="false" customHeight="false" outlineLevel="0" collapsed="false">
      <c r="B12" s="3" t="s">
        <v>52</v>
      </c>
      <c r="C12" s="10" t="n">
        <v>470400</v>
      </c>
      <c r="D12" s="28" t="n">
        <f aca="false">ROUND(Inputs!$C$13,0)</f>
        <v>470400</v>
      </c>
      <c r="E12" s="29" t="n">
        <f aca="false">D12-C12</f>
        <v>0</v>
      </c>
      <c r="F12" s="4" t="str">
        <f aca="false">IF(ABS(E12)&lt;0.00000001,"PASS","FAIL")</f>
        <v>PASS</v>
      </c>
    </row>
    <row r="13" customFormat="false" ht="15" hidden="false" customHeight="false" outlineLevel="0" collapsed="false">
      <c r="B13" s="3" t="s">
        <v>325</v>
      </c>
      <c r="C13" s="10" t="n">
        <v>306600</v>
      </c>
      <c r="D13" s="28" t="n">
        <f aca="false">ROUND(Inputs!$C$14,0)</f>
        <v>306600</v>
      </c>
      <c r="E13" s="29" t="n">
        <f aca="false">D13-C13</f>
        <v>0</v>
      </c>
      <c r="F13" s="4" t="str">
        <f aca="false">IF(ABS(E13)&lt;0.00000001,"PASS","FAIL")</f>
        <v>PASS</v>
      </c>
    </row>
    <row r="14" customFormat="false" ht="15" hidden="false" customHeight="false" outlineLevel="0" collapsed="false">
      <c r="B14" s="5" t="s">
        <v>326</v>
      </c>
      <c r="C14" s="6"/>
      <c r="D14" s="6"/>
      <c r="E14" s="6"/>
      <c r="F14" s="6"/>
    </row>
    <row r="15" customFormat="false" ht="15" hidden="false" customHeight="false" outlineLevel="0" collapsed="false">
      <c r="B15" s="3" t="s">
        <v>327</v>
      </c>
      <c r="C15" s="10" t="n">
        <v>4200000</v>
      </c>
      <c r="D15" s="28" t="n">
        <f aca="false">ROUND('Discount Is Not a Yield'!C8,0)</f>
        <v>4200000</v>
      </c>
      <c r="E15" s="29" t="n">
        <f aca="false">D15-C15</f>
        <v>0</v>
      </c>
      <c r="F15" s="4" t="str">
        <f aca="false">IF(ABS(E15)&lt;0.00000001,"PASS","FAIL")</f>
        <v>PASS</v>
      </c>
    </row>
    <row r="16" customFormat="false" ht="15" hidden="false" customHeight="false" outlineLevel="0" collapsed="false">
      <c r="B16" s="3" t="s">
        <v>139</v>
      </c>
      <c r="C16" s="10" t="n">
        <v>72450</v>
      </c>
      <c r="D16" s="28" t="n">
        <f aca="false">ROUND('Discount Is Not a Yield'!C10,0)</f>
        <v>72450</v>
      </c>
      <c r="E16" s="29" t="n">
        <f aca="false">D16-C16</f>
        <v>0</v>
      </c>
      <c r="F16" s="4" t="str">
        <f aca="false">IF(ABS(E16)&lt;0.00000001,"PASS","FAIL")</f>
        <v>PASS</v>
      </c>
    </row>
    <row r="17" customFormat="false" ht="15" hidden="false" customHeight="false" outlineLevel="0" collapsed="false">
      <c r="B17" s="3" t="s">
        <v>140</v>
      </c>
      <c r="C17" s="10" t="n">
        <v>4127550</v>
      </c>
      <c r="D17" s="28" t="n">
        <f aca="false">ROUND('Discount Is Not a Yield'!C11,0)</f>
        <v>4127550</v>
      </c>
      <c r="E17" s="29" t="n">
        <f aca="false">D17-C17</f>
        <v>0</v>
      </c>
      <c r="F17" s="4" t="str">
        <f aca="false">IF(ABS(E17)&lt;0.00000001,"PASS","FAIL")</f>
        <v>PASS</v>
      </c>
    </row>
    <row r="18" customFormat="false" ht="15" hidden="false" customHeight="false" outlineLevel="0" collapsed="false">
      <c r="B18" s="3" t="s">
        <v>141</v>
      </c>
      <c r="C18" s="22" t="n">
        <v>0.070211</v>
      </c>
      <c r="D18" s="30" t="n">
        <f aca="false">ROUND('Discount Is Not a Yield'!C12,6)</f>
        <v>0.070211</v>
      </c>
      <c r="E18" s="29" t="n">
        <f aca="false">D18-C18</f>
        <v>0</v>
      </c>
      <c r="F18" s="4" t="str">
        <f aca="false">IF(ABS(E18)&lt;0.00000001,"PASS","FAIL")</f>
        <v>PASS</v>
      </c>
    </row>
    <row r="19" customFormat="false" ht="15" hidden="false" customHeight="false" outlineLevel="0" collapsed="false">
      <c r="B19" s="3" t="s">
        <v>142</v>
      </c>
      <c r="C19" s="18" t="n">
        <v>12.1</v>
      </c>
      <c r="D19" s="31" t="n">
        <f aca="false">ROUND('Discount Is Not a Yield'!C13,1)</f>
        <v>12.1</v>
      </c>
      <c r="E19" s="29" t="n">
        <f aca="false">D19-C19</f>
        <v>0</v>
      </c>
      <c r="F19" s="4" t="str">
        <f aca="false">IF(ABS(E19)&lt;0.00000001,"PASS","FAIL")</f>
        <v>PASS</v>
      </c>
    </row>
    <row r="20" customFormat="false" ht="15" hidden="false" customHeight="false" outlineLevel="0" collapsed="false">
      <c r="B20" s="3" t="s">
        <v>328</v>
      </c>
      <c r="C20" s="29" t="n">
        <v>0</v>
      </c>
      <c r="D20" s="23" t="n">
        <f aca="false">ROUND('Discount Is Not a Yield'!C20,6)</f>
        <v>0</v>
      </c>
      <c r="E20" s="29" t="n">
        <f aca="false">D20-C20</f>
        <v>0</v>
      </c>
      <c r="F20" s="4" t="str">
        <f aca="false">IF(ABS(E20)&lt;0.00000001,"PASS","FAIL")</f>
        <v>PASS</v>
      </c>
    </row>
    <row r="21" customFormat="false" ht="15" hidden="false" customHeight="false" outlineLevel="0" collapsed="false">
      <c r="B21" s="5" t="s">
        <v>329</v>
      </c>
      <c r="C21" s="6"/>
      <c r="D21" s="6"/>
      <c r="E21" s="6"/>
      <c r="F21" s="6"/>
    </row>
    <row r="22" customFormat="false" ht="15" hidden="false" customHeight="false" outlineLevel="0" collapsed="false">
      <c r="B22" s="3" t="s">
        <v>139</v>
      </c>
      <c r="C22" s="10" t="n">
        <v>96600</v>
      </c>
      <c r="D22" s="28" t="n">
        <f aca="false">ROUND('Discount Is Not a Yield'!D10,0)</f>
        <v>96600</v>
      </c>
      <c r="E22" s="29" t="n">
        <f aca="false">D22-C22</f>
        <v>0</v>
      </c>
      <c r="F22" s="4" t="str">
        <f aca="false">IF(ABS(E22)&lt;0.00000001,"PASS","FAIL")</f>
        <v>PASS</v>
      </c>
    </row>
    <row r="23" customFormat="false" ht="15" hidden="false" customHeight="false" outlineLevel="0" collapsed="false">
      <c r="B23" s="3" t="s">
        <v>140</v>
      </c>
      <c r="C23" s="10" t="n">
        <v>4103400</v>
      </c>
      <c r="D23" s="28" t="n">
        <f aca="false">ROUND('Discount Is Not a Yield'!D11,0)</f>
        <v>4103400</v>
      </c>
      <c r="E23" s="29" t="n">
        <f aca="false">D23-C23</f>
        <v>0</v>
      </c>
      <c r="F23" s="4" t="str">
        <f aca="false">IF(ABS(E23)&lt;0.00000001,"PASS","FAIL")</f>
        <v>PASS</v>
      </c>
    </row>
    <row r="24" customFormat="false" ht="15" hidden="false" customHeight="false" outlineLevel="0" collapsed="false">
      <c r="B24" s="3" t="s">
        <v>141</v>
      </c>
      <c r="C24" s="22" t="n">
        <v>0.070624</v>
      </c>
      <c r="D24" s="30" t="n">
        <f aca="false">ROUND('Discount Is Not a Yield'!D12,6)</f>
        <v>0.070624</v>
      </c>
      <c r="E24" s="29" t="n">
        <f aca="false">D24-C24</f>
        <v>0</v>
      </c>
      <c r="F24" s="4" t="str">
        <f aca="false">IF(ABS(E24)&lt;0.00000001,"PASS","FAIL")</f>
        <v>PASS</v>
      </c>
    </row>
    <row r="25" customFormat="false" ht="15" hidden="false" customHeight="false" outlineLevel="0" collapsed="false">
      <c r="B25" s="3" t="s">
        <v>142</v>
      </c>
      <c r="C25" s="18" t="n">
        <v>16.2</v>
      </c>
      <c r="D25" s="31" t="n">
        <f aca="false">ROUND('Discount Is Not a Yield'!D13,1)</f>
        <v>16.2</v>
      </c>
      <c r="E25" s="29" t="n">
        <f aca="false">D25-C25</f>
        <v>0</v>
      </c>
      <c r="F25" s="4" t="str">
        <f aca="false">IF(ABS(E25)&lt;0.00000001,"PASS","FAIL")</f>
        <v>PASS</v>
      </c>
    </row>
    <row r="26" customFormat="false" ht="15" hidden="false" customHeight="false" outlineLevel="0" collapsed="false">
      <c r="B26" s="3" t="s">
        <v>328</v>
      </c>
      <c r="C26" s="29" t="n">
        <v>0</v>
      </c>
      <c r="D26" s="23" t="n">
        <f aca="false">ROUND('Discount Is Not a Yield'!D20,6)</f>
        <v>0</v>
      </c>
      <c r="E26" s="29" t="n">
        <f aca="false">D26-C26</f>
        <v>0</v>
      </c>
      <c r="F26" s="4" t="str">
        <f aca="false">IF(ABS(E26)&lt;0.00000001,"PASS","FAIL")</f>
        <v>PASS</v>
      </c>
    </row>
    <row r="27" customFormat="false" ht="15" hidden="false" customHeight="false" outlineLevel="0" collapsed="false">
      <c r="B27" s="5" t="s">
        <v>330</v>
      </c>
      <c r="C27" s="6"/>
      <c r="D27" s="6"/>
      <c r="E27" s="6"/>
      <c r="F27" s="6"/>
    </row>
    <row r="28" customFormat="false" ht="15" hidden="false" customHeight="false" outlineLevel="0" collapsed="false">
      <c r="B28" s="3" t="s">
        <v>139</v>
      </c>
      <c r="C28" s="10" t="n">
        <v>144900</v>
      </c>
      <c r="D28" s="28" t="n">
        <f aca="false">ROUND('Discount Is Not a Yield'!E10,0)</f>
        <v>144900</v>
      </c>
      <c r="E28" s="29" t="n">
        <f aca="false">D28-C28</f>
        <v>0</v>
      </c>
      <c r="F28" s="4" t="str">
        <f aca="false">IF(ABS(E28)&lt;0.00000001,"PASS","FAIL")</f>
        <v>PASS</v>
      </c>
    </row>
    <row r="29" customFormat="false" ht="15" hidden="false" customHeight="false" outlineLevel="0" collapsed="false">
      <c r="B29" s="3" t="s">
        <v>140</v>
      </c>
      <c r="C29" s="10" t="n">
        <v>4055100</v>
      </c>
      <c r="D29" s="28" t="n">
        <f aca="false">ROUND('Discount Is Not a Yield'!E11,0)</f>
        <v>4055100</v>
      </c>
      <c r="E29" s="29" t="n">
        <f aca="false">D29-C29</f>
        <v>0</v>
      </c>
      <c r="F29" s="4" t="str">
        <f aca="false">IF(ABS(E29)&lt;0.00000001,"PASS","FAIL")</f>
        <v>PASS</v>
      </c>
    </row>
    <row r="30" customFormat="false" ht="15" hidden="false" customHeight="false" outlineLevel="0" collapsed="false">
      <c r="B30" s="3" t="s">
        <v>141</v>
      </c>
      <c r="C30" s="22" t="n">
        <v>0.071466</v>
      </c>
      <c r="D30" s="30" t="n">
        <f aca="false">ROUND('Discount Is Not a Yield'!E12,6)</f>
        <v>0.071466</v>
      </c>
      <c r="E30" s="29" t="n">
        <f aca="false">D30-C30</f>
        <v>0</v>
      </c>
      <c r="F30" s="4" t="str">
        <f aca="false">IF(ABS(E30)&lt;0.00000001,"PASS","FAIL")</f>
        <v>PASS</v>
      </c>
    </row>
    <row r="31" customFormat="false" ht="15" hidden="false" customHeight="false" outlineLevel="0" collapsed="false">
      <c r="B31" s="3" t="s">
        <v>142</v>
      </c>
      <c r="C31" s="18" t="n">
        <v>24.7</v>
      </c>
      <c r="D31" s="31" t="n">
        <f aca="false">ROUND('Discount Is Not a Yield'!E13,1)</f>
        <v>24.7</v>
      </c>
      <c r="E31" s="29" t="n">
        <f aca="false">D31-C31</f>
        <v>0</v>
      </c>
      <c r="F31" s="4" t="str">
        <f aca="false">IF(ABS(E31)&lt;0.00000001,"PASS","FAIL")</f>
        <v>PASS</v>
      </c>
    </row>
    <row r="32" customFormat="false" ht="15" hidden="false" customHeight="false" outlineLevel="0" collapsed="false">
      <c r="B32" s="3" t="s">
        <v>328</v>
      </c>
      <c r="C32" s="29" t="n">
        <v>0</v>
      </c>
      <c r="D32" s="23" t="n">
        <f aca="false">ROUND('Discount Is Not a Yield'!E20,6)</f>
        <v>0</v>
      </c>
      <c r="E32" s="29" t="n">
        <f aca="false">D32-C32</f>
        <v>0</v>
      </c>
      <c r="F32" s="4" t="str">
        <f aca="false">IF(ABS(E32)&lt;0.00000001,"PASS","FAIL")</f>
        <v>PASS</v>
      </c>
    </row>
    <row r="33" customFormat="false" ht="15" hidden="false" customHeight="false" outlineLevel="0" collapsed="false">
      <c r="B33" s="5" t="s">
        <v>331</v>
      </c>
      <c r="C33" s="6"/>
      <c r="D33" s="6"/>
      <c r="E33" s="6"/>
      <c r="F33" s="6"/>
    </row>
    <row r="34" customFormat="false" ht="15" hidden="false" customHeight="false" outlineLevel="0" collapsed="false">
      <c r="B34" s="3" t="s">
        <v>332</v>
      </c>
      <c r="C34" s="10" t="n">
        <v>71883</v>
      </c>
      <c r="D34" s="28" t="n">
        <f aca="false">ROUND('Discount Against Own Funding'!C10,0)</f>
        <v>71883</v>
      </c>
      <c r="E34" s="29" t="n">
        <f aca="false">D34-C34</f>
        <v>0</v>
      </c>
      <c r="F34" s="4" t="str">
        <f aca="false">IF(ABS(E34)&lt;0.00000001,"PASS","FAIL")</f>
        <v>PASS</v>
      </c>
    </row>
    <row r="35" customFormat="false" ht="15" hidden="false" customHeight="false" outlineLevel="0" collapsed="false">
      <c r="B35" s="3" t="s">
        <v>333</v>
      </c>
      <c r="C35" s="10" t="n">
        <v>72450</v>
      </c>
      <c r="D35" s="28" t="n">
        <f aca="false">ROUND('Discount Against Own Funding'!C13,0)</f>
        <v>72450</v>
      </c>
      <c r="E35" s="29" t="n">
        <f aca="false">D35-C35</f>
        <v>0</v>
      </c>
      <c r="F35" s="4" t="str">
        <f aca="false">IF(ABS(E35)&lt;0.00000001,"PASS","FAIL")</f>
        <v>PASS</v>
      </c>
    </row>
    <row r="36" customFormat="false" ht="15" hidden="false" customHeight="false" outlineLevel="0" collapsed="false">
      <c r="B36" s="3" t="s">
        <v>334</v>
      </c>
      <c r="C36" s="10" t="n">
        <v>567</v>
      </c>
      <c r="D36" s="28" t="n">
        <f aca="false">ROUND('Discount Against Own Funding'!C14,0)</f>
        <v>567</v>
      </c>
      <c r="E36" s="29" t="n">
        <f aca="false">D36-C36</f>
        <v>0</v>
      </c>
      <c r="F36" s="4" t="str">
        <f aca="false">IF(ABS(E36)&lt;0.00000001,"PASS","FAIL")</f>
        <v>PASS</v>
      </c>
    </row>
    <row r="37" customFormat="false" ht="15" hidden="false" customHeight="false" outlineLevel="0" collapsed="false">
      <c r="B37" s="3" t="s">
        <v>335</v>
      </c>
      <c r="C37" s="22" t="n">
        <v>0.815</v>
      </c>
      <c r="D37" s="30" t="n">
        <f aca="false">ROUND('Discount Against Own Funding'!C19,3)</f>
        <v>0.815</v>
      </c>
      <c r="E37" s="29" t="n">
        <f aca="false">D37-C37</f>
        <v>0</v>
      </c>
      <c r="F37" s="4" t="str">
        <f aca="false">IF(ABS(E37)&lt;0.00000001,"PASS","FAIL")</f>
        <v>PASS</v>
      </c>
    </row>
    <row r="38" customFormat="false" ht="15" hidden="false" customHeight="false" outlineLevel="0" collapsed="false">
      <c r="B38" s="3" t="s">
        <v>165</v>
      </c>
      <c r="C38" s="22" t="n">
        <v>0.06846</v>
      </c>
      <c r="D38" s="30" t="n">
        <f aca="false">ROUND('Discount Against Own Funding'!C20,6)</f>
        <v>0.06846</v>
      </c>
      <c r="E38" s="29" t="n">
        <f aca="false">D38-C38</f>
        <v>0</v>
      </c>
      <c r="F38" s="4" t="str">
        <f aca="false">IF(ABS(E38)&lt;0.00000001,"PASS","FAIL")</f>
        <v>PASS</v>
      </c>
    </row>
    <row r="39" customFormat="false" ht="15" hidden="false" customHeight="false" outlineLevel="0" collapsed="false">
      <c r="B39" s="3" t="s">
        <v>336</v>
      </c>
      <c r="C39" s="29" t="n">
        <v>0</v>
      </c>
      <c r="D39" s="23" t="n">
        <f aca="false">ROUND('Discount Against Own Funding'!C22,6)</f>
        <v>0</v>
      </c>
      <c r="E39" s="29" t="n">
        <f aca="false">D39-C39</f>
        <v>0</v>
      </c>
      <c r="F39" s="4" t="str">
        <f aca="false">IF(ABS(E39)&lt;0.00000001,"PASS","FAIL")</f>
        <v>PASS</v>
      </c>
    </row>
    <row r="40" customFormat="false" ht="15" hidden="false" customHeight="false" outlineLevel="0" collapsed="false">
      <c r="B40" s="5" t="s">
        <v>337</v>
      </c>
      <c r="C40" s="6"/>
      <c r="D40" s="6"/>
      <c r="E40" s="6"/>
      <c r="F40" s="6"/>
    </row>
    <row r="41" customFormat="false" ht="15" hidden="false" customHeight="false" outlineLevel="0" collapsed="false">
      <c r="B41" s="3" t="s">
        <v>332</v>
      </c>
      <c r="C41" s="10" t="n">
        <v>143766</v>
      </c>
      <c r="D41" s="28" t="n">
        <f aca="false">ROUND('Discount Against Own Funding'!D10,0)</f>
        <v>143766</v>
      </c>
      <c r="E41" s="29" t="n">
        <f aca="false">D41-C41</f>
        <v>0</v>
      </c>
      <c r="F41" s="4" t="str">
        <f aca="false">IF(ABS(E41)&lt;0.00000001,"PASS","FAIL")</f>
        <v>PASS</v>
      </c>
    </row>
    <row r="42" customFormat="false" ht="15" hidden="false" customHeight="false" outlineLevel="0" collapsed="false">
      <c r="B42" s="3" t="s">
        <v>333</v>
      </c>
      <c r="C42" s="10" t="n">
        <v>144900</v>
      </c>
      <c r="D42" s="28" t="n">
        <f aca="false">ROUND('Discount Against Own Funding'!D13,0)</f>
        <v>144900</v>
      </c>
      <c r="E42" s="29" t="n">
        <f aca="false">D42-C42</f>
        <v>0</v>
      </c>
      <c r="F42" s="4" t="str">
        <f aca="false">IF(ABS(E42)&lt;0.00000001,"PASS","FAIL")</f>
        <v>PASS</v>
      </c>
    </row>
    <row r="43" customFormat="false" ht="15" hidden="false" customHeight="false" outlineLevel="0" collapsed="false">
      <c r="B43" s="3" t="s">
        <v>334</v>
      </c>
      <c r="C43" s="10" t="n">
        <v>1134</v>
      </c>
      <c r="D43" s="28" t="n">
        <f aca="false">ROUND('Discount Against Own Funding'!D14,0)</f>
        <v>1134</v>
      </c>
      <c r="E43" s="29" t="n">
        <f aca="false">D43-C43</f>
        <v>0</v>
      </c>
      <c r="F43" s="4" t="str">
        <f aca="false">IF(ABS(E43)&lt;0.00000001,"PASS","FAIL")</f>
        <v>PASS</v>
      </c>
    </row>
    <row r="44" customFormat="false" ht="15" hidden="false" customHeight="false" outlineLevel="0" collapsed="false">
      <c r="B44" s="3" t="s">
        <v>165</v>
      </c>
      <c r="C44" s="22" t="n">
        <v>0.06846</v>
      </c>
      <c r="D44" s="30" t="n">
        <f aca="false">ROUND('Discount Against Own Funding'!D20,6)</f>
        <v>0.06846</v>
      </c>
      <c r="E44" s="29" t="n">
        <f aca="false">D44-C44</f>
        <v>0</v>
      </c>
      <c r="F44" s="4" t="str">
        <f aca="false">IF(ABS(E44)&lt;0.00000001,"PASS","FAIL")</f>
        <v>PASS</v>
      </c>
    </row>
    <row r="45" customFormat="false" ht="15" hidden="false" customHeight="false" outlineLevel="0" collapsed="false">
      <c r="B45" s="3" t="s">
        <v>336</v>
      </c>
      <c r="C45" s="29" t="n">
        <v>0</v>
      </c>
      <c r="D45" s="23" t="n">
        <f aca="false">ROUND('Discount Against Own Funding'!D22,6)</f>
        <v>0</v>
      </c>
      <c r="E45" s="29" t="n">
        <f aca="false">D45-C45</f>
        <v>0</v>
      </c>
      <c r="F45" s="4" t="str">
        <f aca="false">IF(ABS(E45)&lt;0.00000001,"PASS","FAIL")</f>
        <v>PASS</v>
      </c>
    </row>
    <row r="46" customFormat="false" ht="15" hidden="false" customHeight="false" outlineLevel="0" collapsed="false">
      <c r="B46" s="5" t="s">
        <v>338</v>
      </c>
      <c r="C46" s="6"/>
      <c r="D46" s="6"/>
      <c r="E46" s="6"/>
      <c r="F46" s="6"/>
    </row>
    <row r="47" customFormat="false" ht="15" hidden="false" customHeight="false" outlineLevel="0" collapsed="false">
      <c r="B47" s="3" t="s">
        <v>190</v>
      </c>
      <c r="C47" s="18" t="n">
        <v>186</v>
      </c>
      <c r="D47" s="31" t="n">
        <f aca="false">ROUND('Open Account and Insurance'!C10,1)</f>
        <v>186</v>
      </c>
      <c r="E47" s="29" t="n">
        <f aca="false">D47-C47</f>
        <v>0</v>
      </c>
      <c r="F47" s="4" t="str">
        <f aca="false">IF(ABS(E47)&lt;0.00000001,"PASS","FAIL")</f>
        <v>PASS</v>
      </c>
    </row>
    <row r="48" customFormat="false" ht="15" hidden="false" customHeight="false" outlineLevel="0" collapsed="false">
      <c r="B48" s="3" t="s">
        <v>339</v>
      </c>
      <c r="C48" s="18" t="n">
        <v>90</v>
      </c>
      <c r="D48" s="31" t="n">
        <f aca="false">ROUND('Open Account and Insurance'!C12,1)</f>
        <v>90</v>
      </c>
      <c r="E48" s="29" t="n">
        <f aca="false">D48-C48</f>
        <v>0</v>
      </c>
      <c r="F48" s="4" t="str">
        <f aca="false">IF(ABS(E48)&lt;0.00000001,"PASS","FAIL")</f>
        <v>PASS</v>
      </c>
    </row>
    <row r="49" customFormat="false" ht="15" hidden="false" customHeight="false" outlineLevel="0" collapsed="false">
      <c r="B49" s="3" t="s">
        <v>217</v>
      </c>
      <c r="C49" s="10" t="n">
        <v>148558</v>
      </c>
      <c r="D49" s="28" t="n">
        <f aca="false">ROUND('Open Account and Insurance'!C17,0)</f>
        <v>148558</v>
      </c>
      <c r="E49" s="29" t="n">
        <f aca="false">D49-C49</f>
        <v>0</v>
      </c>
      <c r="F49" s="4" t="str">
        <f aca="false">IF(ABS(E49)&lt;0.00000001,"PASS","FAIL")</f>
        <v>PASS</v>
      </c>
    </row>
    <row r="50" customFormat="false" ht="15" hidden="false" customHeight="false" outlineLevel="0" collapsed="false">
      <c r="B50" s="3" t="s">
        <v>201</v>
      </c>
      <c r="C50" s="10" t="n">
        <v>0</v>
      </c>
      <c r="D50" s="28" t="n">
        <f aca="false">ROUND('Open Account and Insurance'!C22,0)</f>
        <v>0</v>
      </c>
      <c r="E50" s="29" t="n">
        <f aca="false">D50-C50</f>
        <v>0</v>
      </c>
      <c r="F50" s="4" t="str">
        <f aca="false">IF(ABS(E50)&lt;0.00000001,"PASS","FAIL")</f>
        <v>PASS</v>
      </c>
    </row>
    <row r="51" customFormat="false" ht="15" hidden="false" customHeight="false" outlineLevel="0" collapsed="false">
      <c r="B51" s="3" t="s">
        <v>207</v>
      </c>
      <c r="C51" s="10" t="n">
        <v>34416</v>
      </c>
      <c r="D51" s="28" t="n">
        <f aca="false">ROUND('Open Account and Insurance'!C30,0)</f>
        <v>34416</v>
      </c>
      <c r="E51" s="29" t="n">
        <f aca="false">D51-C51</f>
        <v>0</v>
      </c>
      <c r="F51" s="4" t="str">
        <f aca="false">IF(ABS(E51)&lt;0.00000001,"PASS","FAIL")</f>
        <v>PASS</v>
      </c>
    </row>
    <row r="52" customFormat="false" ht="15" hidden="false" customHeight="false" outlineLevel="0" collapsed="false">
      <c r="B52" s="3" t="s">
        <v>340</v>
      </c>
      <c r="C52" s="10" t="n">
        <v>182974</v>
      </c>
      <c r="D52" s="28" t="n">
        <f aca="false">ROUND('Open Account and Insurance'!C37,0)</f>
        <v>182974</v>
      </c>
      <c r="E52" s="29" t="n">
        <f aca="false">D52-C52</f>
        <v>0</v>
      </c>
      <c r="F52" s="4" t="str">
        <f aca="false">IF(ABS(E52)&lt;0.00000001,"PASS","FAIL")</f>
        <v>PASS</v>
      </c>
    </row>
    <row r="53" customFormat="false" ht="15" hidden="false" customHeight="false" outlineLevel="0" collapsed="false">
      <c r="B53" s="3" t="s">
        <v>219</v>
      </c>
      <c r="C53" s="22" t="n">
        <v>0.597</v>
      </c>
      <c r="D53" s="30" t="n">
        <f aca="false">ROUND('Open Account and Insurance'!C38,3)</f>
        <v>0.597</v>
      </c>
      <c r="E53" s="29" t="n">
        <f aca="false">D53-C53</f>
        <v>0</v>
      </c>
      <c r="F53" s="4" t="str">
        <f aca="false">IF(ABS(E53)&lt;0.00000001,"PASS","FAIL")</f>
        <v>PASS</v>
      </c>
    </row>
    <row r="54" customFormat="false" ht="15" hidden="false" customHeight="false" outlineLevel="0" collapsed="false">
      <c r="B54" s="3" t="s">
        <v>221</v>
      </c>
      <c r="C54" s="10" t="n">
        <v>123626</v>
      </c>
      <c r="D54" s="28" t="n">
        <f aca="false">ROUND('Open Account and Insurance'!C39,0)</f>
        <v>123626</v>
      </c>
      <c r="E54" s="29" t="n">
        <f aca="false">D54-C54</f>
        <v>0</v>
      </c>
      <c r="F54" s="4" t="str">
        <f aca="false">IF(ABS(E54)&lt;0.00000001,"PASS","FAIL")</f>
        <v>PASS</v>
      </c>
    </row>
    <row r="55" customFormat="false" ht="15" hidden="false" customHeight="false" outlineLevel="0" collapsed="false">
      <c r="B55" s="3" t="s">
        <v>222</v>
      </c>
      <c r="C55" s="22" t="n">
        <v>0.0294</v>
      </c>
      <c r="D55" s="30" t="n">
        <f aca="false">ROUND('Open Account and Insurance'!C40,4)</f>
        <v>0.0294</v>
      </c>
      <c r="E55" s="29" t="n">
        <f aca="false">D55-C55</f>
        <v>0</v>
      </c>
      <c r="F55" s="4" t="str">
        <f aca="false">IF(ABS(E55)&lt;0.00000001,"PASS","FAIL")</f>
        <v>PASS</v>
      </c>
    </row>
    <row r="56" customFormat="false" ht="15" hidden="false" customHeight="false" outlineLevel="0" collapsed="false">
      <c r="B56" s="3" t="s">
        <v>341</v>
      </c>
      <c r="C56" s="22" t="n">
        <v>0.0843</v>
      </c>
      <c r="D56" s="30" t="n">
        <f aca="false">ROUND('Open Account and Insurance'!C41,4)</f>
        <v>0.0843</v>
      </c>
      <c r="E56" s="29" t="n">
        <f aca="false">D56-C56</f>
        <v>0</v>
      </c>
      <c r="F56" s="4" t="str">
        <f aca="false">IF(ABS(E56)&lt;0.00000001,"PASS","FAIL")</f>
        <v>PASS</v>
      </c>
    </row>
    <row r="57" customFormat="false" ht="15" hidden="false" customHeight="false" outlineLevel="0" collapsed="false">
      <c r="B57" s="3" t="s">
        <v>342</v>
      </c>
      <c r="C57" s="29" t="n">
        <v>0</v>
      </c>
      <c r="D57" s="23" t="n">
        <f aca="false">ROUND('Open Account and Insurance'!C42,6)</f>
        <v>0</v>
      </c>
      <c r="E57" s="29" t="n">
        <f aca="false">D57-C57</f>
        <v>0</v>
      </c>
      <c r="F57" s="4" t="str">
        <f aca="false">IF(ABS(E57)&lt;0.00000001,"PASS","FAIL")</f>
        <v>PASS</v>
      </c>
    </row>
    <row r="58" customFormat="false" ht="15" hidden="false" customHeight="false" outlineLevel="0" collapsed="false">
      <c r="B58" s="5" t="s">
        <v>343</v>
      </c>
      <c r="C58" s="6"/>
      <c r="D58" s="6"/>
      <c r="E58" s="6"/>
      <c r="F58" s="6"/>
    </row>
    <row r="59" customFormat="false" ht="15" hidden="false" customHeight="false" outlineLevel="0" collapsed="false">
      <c r="B59" s="3" t="s">
        <v>190</v>
      </c>
      <c r="C59" s="18" t="n">
        <v>186</v>
      </c>
      <c r="D59" s="31" t="n">
        <f aca="false">ROUND('Open Account and Insurance'!D10,1)</f>
        <v>186</v>
      </c>
      <c r="E59" s="29" t="n">
        <f aca="false">D59-C59</f>
        <v>0</v>
      </c>
      <c r="F59" s="4" t="str">
        <f aca="false">IF(ABS(E59)&lt;0.00000001,"PASS","FAIL")</f>
        <v>PASS</v>
      </c>
    </row>
    <row r="60" customFormat="false" ht="15" hidden="false" customHeight="false" outlineLevel="0" collapsed="false">
      <c r="B60" s="3" t="s">
        <v>339</v>
      </c>
      <c r="C60" s="18" t="n">
        <v>90</v>
      </c>
      <c r="D60" s="31" t="n">
        <f aca="false">ROUND('Open Account and Insurance'!D12,1)</f>
        <v>90</v>
      </c>
      <c r="E60" s="29" t="n">
        <f aca="false">D60-C60</f>
        <v>0</v>
      </c>
      <c r="F60" s="4" t="str">
        <f aca="false">IF(ABS(E60)&lt;0.00000001,"PASS","FAIL")</f>
        <v>PASS</v>
      </c>
    </row>
    <row r="61" customFormat="false" ht="15" hidden="false" customHeight="false" outlineLevel="0" collapsed="false">
      <c r="B61" s="3" t="s">
        <v>217</v>
      </c>
      <c r="C61" s="10" t="n">
        <v>148558</v>
      </c>
      <c r="D61" s="28" t="n">
        <f aca="false">ROUND('Open Account and Insurance'!D17,0)</f>
        <v>148558</v>
      </c>
      <c r="E61" s="29" t="n">
        <f aca="false">D61-C61</f>
        <v>0</v>
      </c>
      <c r="F61" s="4" t="str">
        <f aca="false">IF(ABS(E61)&lt;0.00000001,"PASS","FAIL")</f>
        <v>PASS</v>
      </c>
    </row>
    <row r="62" customFormat="false" ht="15" hidden="false" customHeight="false" outlineLevel="0" collapsed="false">
      <c r="B62" s="3" t="s">
        <v>344</v>
      </c>
      <c r="C62" s="10" t="n">
        <v>26040</v>
      </c>
      <c r="D62" s="28" t="n">
        <f aca="false">ROUND('Open Account and Insurance'!D22,0)</f>
        <v>26040</v>
      </c>
      <c r="E62" s="29" t="n">
        <f aca="false">D62-C62</f>
        <v>0</v>
      </c>
      <c r="F62" s="4" t="str">
        <f aca="false">IF(ABS(E62)&lt;0.00000001,"PASS","FAIL")</f>
        <v>PASS</v>
      </c>
    </row>
    <row r="63" customFormat="false" ht="15" hidden="false" customHeight="false" outlineLevel="0" collapsed="false">
      <c r="B63" s="3" t="s">
        <v>345</v>
      </c>
      <c r="C63" s="10" t="n">
        <v>3442</v>
      </c>
      <c r="D63" s="28" t="n">
        <f aca="false">ROUND('Open Account and Insurance'!D30,0)</f>
        <v>3442</v>
      </c>
      <c r="E63" s="29" t="n">
        <f aca="false">D63-C63</f>
        <v>0</v>
      </c>
      <c r="F63" s="4" t="str">
        <f aca="false">IF(ABS(E63)&lt;0.00000001,"PASS","FAIL")</f>
        <v>PASS</v>
      </c>
    </row>
    <row r="64" customFormat="false" ht="15" hidden="false" customHeight="false" outlineLevel="0" collapsed="false">
      <c r="B64" s="3" t="s">
        <v>340</v>
      </c>
      <c r="C64" s="10" t="n">
        <v>178040</v>
      </c>
      <c r="D64" s="28" t="n">
        <f aca="false">ROUND('Open Account and Insurance'!D37,0)</f>
        <v>178040</v>
      </c>
      <c r="E64" s="29" t="n">
        <f aca="false">D64-C64</f>
        <v>0</v>
      </c>
      <c r="F64" s="4" t="str">
        <f aca="false">IF(ABS(E64)&lt;0.00000001,"PASS","FAIL")</f>
        <v>PASS</v>
      </c>
    </row>
    <row r="65" customFormat="false" ht="15" hidden="false" customHeight="false" outlineLevel="0" collapsed="false">
      <c r="B65" s="3" t="s">
        <v>219</v>
      </c>
      <c r="C65" s="22" t="n">
        <v>0.581</v>
      </c>
      <c r="D65" s="30" t="n">
        <f aca="false">ROUND('Open Account and Insurance'!D38,3)</f>
        <v>0.581</v>
      </c>
      <c r="E65" s="29" t="n">
        <f aca="false">D65-C65</f>
        <v>0</v>
      </c>
      <c r="F65" s="4" t="str">
        <f aca="false">IF(ABS(E65)&lt;0.00000001,"PASS","FAIL")</f>
        <v>PASS</v>
      </c>
    </row>
    <row r="66" customFormat="false" ht="15" hidden="false" customHeight="false" outlineLevel="0" collapsed="false">
      <c r="B66" s="3" t="s">
        <v>221</v>
      </c>
      <c r="C66" s="10" t="n">
        <v>128560</v>
      </c>
      <c r="D66" s="28" t="n">
        <f aca="false">ROUND('Open Account and Insurance'!D39,0)</f>
        <v>128560</v>
      </c>
      <c r="E66" s="29" t="n">
        <f aca="false">D66-C66</f>
        <v>0</v>
      </c>
      <c r="F66" s="4" t="str">
        <f aca="false">IF(ABS(E66)&lt;0.00000001,"PASS","FAIL")</f>
        <v>PASS</v>
      </c>
    </row>
    <row r="67" customFormat="false" ht="15" hidden="false" customHeight="false" outlineLevel="0" collapsed="false">
      <c r="B67" s="3" t="s">
        <v>222</v>
      </c>
      <c r="C67" s="22" t="n">
        <v>0.0306</v>
      </c>
      <c r="D67" s="30" t="n">
        <f aca="false">ROUND('Open Account and Insurance'!D40,4)</f>
        <v>0.0306</v>
      </c>
      <c r="E67" s="29" t="n">
        <f aca="false">D67-C67</f>
        <v>0</v>
      </c>
      <c r="F67" s="4" t="str">
        <f aca="false">IF(ABS(E67)&lt;0.00000001,"PASS","FAIL")</f>
        <v>PASS</v>
      </c>
    </row>
    <row r="68" customFormat="false" ht="15" hidden="false" customHeight="false" outlineLevel="0" collapsed="false">
      <c r="B68" s="3" t="s">
        <v>341</v>
      </c>
      <c r="C68" s="22" t="n">
        <v>0.082</v>
      </c>
      <c r="D68" s="30" t="n">
        <f aca="false">ROUND('Open Account and Insurance'!D41,4)</f>
        <v>0.082</v>
      </c>
      <c r="E68" s="29" t="n">
        <f aca="false">D68-C68</f>
        <v>0</v>
      </c>
      <c r="F68" s="4" t="str">
        <f aca="false">IF(ABS(E68)&lt;0.00000001,"PASS","FAIL")</f>
        <v>PASS</v>
      </c>
    </row>
    <row r="69" customFormat="false" ht="15" hidden="false" customHeight="false" outlineLevel="0" collapsed="false">
      <c r="B69" s="3" t="s">
        <v>342</v>
      </c>
      <c r="C69" s="29" t="n">
        <v>0</v>
      </c>
      <c r="D69" s="23" t="n">
        <f aca="false">ROUND('Open Account and Insurance'!D42,6)</f>
        <v>0</v>
      </c>
      <c r="E69" s="29" t="n">
        <f aca="false">D69-C69</f>
        <v>0</v>
      </c>
      <c r="F69" s="4" t="str">
        <f aca="false">IF(ABS(E69)&lt;0.00000001,"PASS","FAIL")</f>
        <v>PASS</v>
      </c>
    </row>
    <row r="70" customFormat="false" ht="15" hidden="false" customHeight="false" outlineLevel="0" collapsed="false">
      <c r="B70" s="5" t="s">
        <v>346</v>
      </c>
      <c r="C70" s="6"/>
      <c r="D70" s="6"/>
      <c r="E70" s="6"/>
      <c r="F70" s="6"/>
    </row>
    <row r="71" customFormat="false" ht="15" hidden="false" customHeight="false" outlineLevel="0" collapsed="false">
      <c r="B71" s="3" t="s">
        <v>190</v>
      </c>
      <c r="C71" s="18" t="n">
        <v>112</v>
      </c>
      <c r="D71" s="31" t="n">
        <f aca="false">ROUND(Collections!C12,1)</f>
        <v>112</v>
      </c>
      <c r="E71" s="29" t="n">
        <f aca="false">D71-C71</f>
        <v>0</v>
      </c>
      <c r="F71" s="4" t="str">
        <f aca="false">IF(ABS(E71)&lt;0.00000001,"PASS","FAIL")</f>
        <v>PASS</v>
      </c>
    </row>
    <row r="72" customFormat="false" ht="15" hidden="false" customHeight="false" outlineLevel="0" collapsed="false">
      <c r="B72" s="3" t="s">
        <v>217</v>
      </c>
      <c r="C72" s="10" t="n">
        <v>89454</v>
      </c>
      <c r="D72" s="28" t="n">
        <f aca="false">ROUND(Collections!C25,0)</f>
        <v>89454</v>
      </c>
      <c r="E72" s="29" t="n">
        <f aca="false">D72-C72</f>
        <v>0</v>
      </c>
      <c r="F72" s="4" t="str">
        <f aca="false">IF(ABS(E72)&lt;0.00000001,"PASS","FAIL")</f>
        <v>PASS</v>
      </c>
    </row>
    <row r="73" customFormat="false" ht="15" hidden="false" customHeight="false" outlineLevel="0" collapsed="false">
      <c r="B73" s="3" t="s">
        <v>201</v>
      </c>
      <c r="C73" s="10" t="n">
        <v>4960</v>
      </c>
      <c r="D73" s="28" t="n">
        <f aca="false">ROUND(Collections!C32,0)</f>
        <v>4960</v>
      </c>
      <c r="E73" s="29" t="n">
        <f aca="false">D73-C73</f>
        <v>0</v>
      </c>
      <c r="F73" s="4" t="str">
        <f aca="false">IF(ABS(E73)&lt;0.00000001,"PASS","FAIL")</f>
        <v>PASS</v>
      </c>
    </row>
    <row r="74" customFormat="false" ht="15" hidden="false" customHeight="false" outlineLevel="0" collapsed="false">
      <c r="B74" s="3" t="s">
        <v>207</v>
      </c>
      <c r="C74" s="10" t="n">
        <v>8487</v>
      </c>
      <c r="D74" s="28" t="n">
        <f aca="false">ROUND(Collections!C41,0)</f>
        <v>8487</v>
      </c>
      <c r="E74" s="29" t="n">
        <f aca="false">D74-C74</f>
        <v>0</v>
      </c>
      <c r="F74" s="4" t="str">
        <f aca="false">IF(ABS(E74)&lt;0.00000001,"PASS","FAIL")</f>
        <v>PASS</v>
      </c>
    </row>
    <row r="75" customFormat="false" ht="15" hidden="false" customHeight="false" outlineLevel="0" collapsed="false">
      <c r="B75" s="3" t="s">
        <v>340</v>
      </c>
      <c r="C75" s="10" t="n">
        <v>102902</v>
      </c>
      <c r="D75" s="28" t="n">
        <f aca="false">ROUND(Collections!C47,0)</f>
        <v>102902</v>
      </c>
      <c r="E75" s="29" t="n">
        <f aca="false">D75-C75</f>
        <v>0</v>
      </c>
      <c r="F75" s="4" t="str">
        <f aca="false">IF(ABS(E75)&lt;0.00000001,"PASS","FAIL")</f>
        <v>PASS</v>
      </c>
    </row>
    <row r="76" customFormat="false" ht="15" hidden="false" customHeight="false" outlineLevel="0" collapsed="false">
      <c r="B76" s="3" t="s">
        <v>219</v>
      </c>
      <c r="C76" s="22" t="n">
        <v>0.336</v>
      </c>
      <c r="D76" s="30" t="n">
        <f aca="false">ROUND(Collections!C48,3)</f>
        <v>0.336</v>
      </c>
      <c r="E76" s="29" t="n">
        <f aca="false">D76-C76</f>
        <v>0</v>
      </c>
      <c r="F76" s="4" t="str">
        <f aca="false">IF(ABS(E76)&lt;0.00000001,"PASS","FAIL")</f>
        <v>PASS</v>
      </c>
    </row>
    <row r="77" customFormat="false" ht="15" hidden="false" customHeight="false" outlineLevel="0" collapsed="false">
      <c r="B77" s="3" t="s">
        <v>221</v>
      </c>
      <c r="C77" s="10" t="n">
        <v>203698</v>
      </c>
      <c r="D77" s="28" t="n">
        <f aca="false">ROUND(Collections!C49,0)</f>
        <v>203698</v>
      </c>
      <c r="E77" s="29" t="n">
        <f aca="false">D77-C77</f>
        <v>0</v>
      </c>
      <c r="F77" s="4" t="str">
        <f aca="false">IF(ABS(E77)&lt;0.00000001,"PASS","FAIL")</f>
        <v>PASS</v>
      </c>
    </row>
    <row r="78" customFormat="false" ht="15" hidden="false" customHeight="false" outlineLevel="0" collapsed="false">
      <c r="B78" s="3" t="s">
        <v>222</v>
      </c>
      <c r="C78" s="22" t="n">
        <v>0.0485</v>
      </c>
      <c r="D78" s="30" t="n">
        <f aca="false">ROUND(Collections!C50,4)</f>
        <v>0.0485</v>
      </c>
      <c r="E78" s="29" t="n">
        <f aca="false">D78-C78</f>
        <v>0</v>
      </c>
      <c r="F78" s="4" t="str">
        <f aca="false">IF(ABS(E78)&lt;0.00000001,"PASS","FAIL")</f>
        <v>PASS</v>
      </c>
    </row>
    <row r="79" customFormat="false" ht="15" hidden="false" customHeight="false" outlineLevel="0" collapsed="false">
      <c r="B79" s="3" t="s">
        <v>341</v>
      </c>
      <c r="C79" s="22" t="n">
        <v>0.0788</v>
      </c>
      <c r="D79" s="30" t="n">
        <f aca="false">ROUND(Collections!C51,4)</f>
        <v>0.0788</v>
      </c>
      <c r="E79" s="29" t="n">
        <f aca="false">D79-C79</f>
        <v>0</v>
      </c>
      <c r="F79" s="4" t="str">
        <f aca="false">IF(ABS(E79)&lt;0.00000001,"PASS","FAIL")</f>
        <v>PASS</v>
      </c>
    </row>
    <row r="80" customFormat="false" ht="15" hidden="false" customHeight="false" outlineLevel="0" collapsed="false">
      <c r="B80" s="3" t="s">
        <v>342</v>
      </c>
      <c r="C80" s="29" t="n">
        <v>0</v>
      </c>
      <c r="D80" s="23" t="n">
        <f aca="false">ROUND(Collections!C52,6)</f>
        <v>0</v>
      </c>
      <c r="E80" s="29" t="n">
        <f aca="false">D80-C80</f>
        <v>0</v>
      </c>
      <c r="F80" s="4" t="str">
        <f aca="false">IF(ABS(E80)&lt;0.00000001,"PASS","FAIL")</f>
        <v>PASS</v>
      </c>
    </row>
    <row r="81" customFormat="false" ht="15" hidden="false" customHeight="false" outlineLevel="0" collapsed="false">
      <c r="B81" s="5" t="s">
        <v>347</v>
      </c>
      <c r="C81" s="6"/>
      <c r="D81" s="6"/>
      <c r="E81" s="6"/>
      <c r="F81" s="6"/>
    </row>
    <row r="82" customFormat="false" ht="15" hidden="false" customHeight="false" outlineLevel="0" collapsed="false">
      <c r="B82" s="3" t="s">
        <v>190</v>
      </c>
      <c r="C82" s="18" t="n">
        <v>202</v>
      </c>
      <c r="D82" s="31" t="n">
        <f aca="false">ROUND(Collections!D12,1)</f>
        <v>202</v>
      </c>
      <c r="E82" s="29" t="n">
        <f aca="false">D82-C82</f>
        <v>0</v>
      </c>
      <c r="F82" s="4" t="str">
        <f aca="false">IF(ABS(E82)&lt;0.00000001,"PASS","FAIL")</f>
        <v>PASS</v>
      </c>
    </row>
    <row r="83" customFormat="false" ht="15" hidden="false" customHeight="false" outlineLevel="0" collapsed="false">
      <c r="B83" s="3" t="s">
        <v>339</v>
      </c>
      <c r="C83" s="18" t="n">
        <v>106</v>
      </c>
      <c r="D83" s="31" t="n">
        <f aca="false">ROUND(Collections!D16,1)</f>
        <v>106</v>
      </c>
      <c r="E83" s="29" t="n">
        <f aca="false">D83-C83</f>
        <v>0</v>
      </c>
      <c r="F83" s="4" t="str">
        <f aca="false">IF(ABS(E83)&lt;0.00000001,"PASS","FAIL")</f>
        <v>PASS</v>
      </c>
    </row>
    <row r="84" customFormat="false" ht="15" hidden="false" customHeight="false" outlineLevel="0" collapsed="false">
      <c r="B84" s="3" t="s">
        <v>251</v>
      </c>
      <c r="C84" s="18" t="n">
        <v>90</v>
      </c>
      <c r="D84" s="31" t="n">
        <f aca="false">ROUND(Collections!D17,1)</f>
        <v>90</v>
      </c>
      <c r="E84" s="29" t="n">
        <f aca="false">D84-C84</f>
        <v>0</v>
      </c>
      <c r="F84" s="4" t="str">
        <f aca="false">IF(ABS(E84)&lt;0.00000001,"PASS","FAIL")</f>
        <v>PASS</v>
      </c>
    </row>
    <row r="85" customFormat="false" ht="15" hidden="false" customHeight="false" outlineLevel="0" collapsed="false">
      <c r="B85" s="3" t="s">
        <v>348</v>
      </c>
      <c r="C85" s="18" t="n">
        <v>16</v>
      </c>
      <c r="D85" s="31" t="n">
        <f aca="false">ROUND(Collections!D18,1)</f>
        <v>16</v>
      </c>
      <c r="E85" s="29" t="n">
        <f aca="false">D85-C85</f>
        <v>0</v>
      </c>
      <c r="F85" s="4" t="str">
        <f aca="false">IF(ABS(E85)&lt;0.00000001,"PASS","FAIL")</f>
        <v>PASS</v>
      </c>
    </row>
    <row r="86" customFormat="false" ht="15" hidden="false" customHeight="false" outlineLevel="0" collapsed="false">
      <c r="B86" s="3" t="s">
        <v>217</v>
      </c>
      <c r="C86" s="10" t="n">
        <v>161337</v>
      </c>
      <c r="D86" s="28" t="n">
        <f aca="false">ROUND(Collections!D25,0)</f>
        <v>161337</v>
      </c>
      <c r="E86" s="29" t="n">
        <f aca="false">D86-C86</f>
        <v>0</v>
      </c>
      <c r="F86" s="4" t="str">
        <f aca="false">IF(ABS(E86)&lt;0.00000001,"PASS","FAIL")</f>
        <v>PASS</v>
      </c>
    </row>
    <row r="87" customFormat="false" ht="15" hidden="false" customHeight="false" outlineLevel="0" collapsed="false">
      <c r="B87" s="3" t="s">
        <v>201</v>
      </c>
      <c r="C87" s="10" t="n">
        <v>4960</v>
      </c>
      <c r="D87" s="28" t="n">
        <f aca="false">ROUND(Collections!D32,0)</f>
        <v>4960</v>
      </c>
      <c r="E87" s="29" t="n">
        <f aca="false">D87-C87</f>
        <v>0</v>
      </c>
      <c r="F87" s="4" t="str">
        <f aca="false">IF(ABS(E87)&lt;0.00000001,"PASS","FAIL")</f>
        <v>PASS</v>
      </c>
    </row>
    <row r="88" customFormat="false" ht="15" hidden="false" customHeight="false" outlineLevel="0" collapsed="false">
      <c r="B88" s="3" t="s">
        <v>207</v>
      </c>
      <c r="C88" s="10" t="n">
        <v>35215</v>
      </c>
      <c r="D88" s="28" t="n">
        <f aca="false">ROUND(Collections!D41,0)</f>
        <v>35215</v>
      </c>
      <c r="E88" s="29" t="n">
        <f aca="false">D88-C88</f>
        <v>0</v>
      </c>
      <c r="F88" s="4" t="str">
        <f aca="false">IF(ABS(E88)&lt;0.00000001,"PASS","FAIL")</f>
        <v>PASS</v>
      </c>
    </row>
    <row r="89" customFormat="false" ht="15" hidden="false" customHeight="false" outlineLevel="0" collapsed="false">
      <c r="B89" s="3" t="s">
        <v>340</v>
      </c>
      <c r="C89" s="10" t="n">
        <v>201512</v>
      </c>
      <c r="D89" s="28" t="n">
        <f aca="false">ROUND(Collections!D47,0)</f>
        <v>201512</v>
      </c>
      <c r="E89" s="29" t="n">
        <f aca="false">D89-C89</f>
        <v>0</v>
      </c>
      <c r="F89" s="4" t="str">
        <f aca="false">IF(ABS(E89)&lt;0.00000001,"PASS","FAIL")</f>
        <v>PASS</v>
      </c>
    </row>
    <row r="90" customFormat="false" ht="15" hidden="false" customHeight="false" outlineLevel="0" collapsed="false">
      <c r="B90" s="3" t="s">
        <v>219</v>
      </c>
      <c r="C90" s="22" t="n">
        <v>0.657</v>
      </c>
      <c r="D90" s="30" t="n">
        <f aca="false">ROUND(Collections!D48,3)</f>
        <v>0.657</v>
      </c>
      <c r="E90" s="29" t="n">
        <f aca="false">D90-C90</f>
        <v>0</v>
      </c>
      <c r="F90" s="4" t="str">
        <f aca="false">IF(ABS(E90)&lt;0.00000001,"PASS","FAIL")</f>
        <v>PASS</v>
      </c>
    </row>
    <row r="91" customFormat="false" ht="15" hidden="false" customHeight="false" outlineLevel="0" collapsed="false">
      <c r="B91" s="3" t="s">
        <v>221</v>
      </c>
      <c r="C91" s="10" t="n">
        <v>105088</v>
      </c>
      <c r="D91" s="28" t="n">
        <f aca="false">ROUND(Collections!D49,0)</f>
        <v>105088</v>
      </c>
      <c r="E91" s="29" t="n">
        <f aca="false">D91-C91</f>
        <v>0</v>
      </c>
      <c r="F91" s="4" t="str">
        <f aca="false">IF(ABS(E91)&lt;0.00000001,"PASS","FAIL")</f>
        <v>PASS</v>
      </c>
    </row>
    <row r="92" customFormat="false" ht="15" hidden="false" customHeight="false" outlineLevel="0" collapsed="false">
      <c r="B92" s="3" t="s">
        <v>222</v>
      </c>
      <c r="C92" s="22" t="n">
        <v>0.025</v>
      </c>
      <c r="D92" s="30" t="n">
        <f aca="false">ROUND(Collections!D50,4)</f>
        <v>0.025</v>
      </c>
      <c r="E92" s="29" t="n">
        <f aca="false">D92-C92</f>
        <v>0</v>
      </c>
      <c r="F92" s="4" t="str">
        <f aca="false">IF(ABS(E92)&lt;0.00000001,"PASS","FAIL")</f>
        <v>PASS</v>
      </c>
    </row>
    <row r="93" customFormat="false" ht="15" hidden="false" customHeight="false" outlineLevel="0" collapsed="false">
      <c r="B93" s="3" t="s">
        <v>341</v>
      </c>
      <c r="C93" s="22" t="n">
        <v>0.0855</v>
      </c>
      <c r="D93" s="30" t="n">
        <f aca="false">ROUND(Collections!D51,4)</f>
        <v>0.0855</v>
      </c>
      <c r="E93" s="29" t="n">
        <f aca="false">D93-C93</f>
        <v>0</v>
      </c>
      <c r="F93" s="4" t="str">
        <f aca="false">IF(ABS(E93)&lt;0.00000001,"PASS","FAIL")</f>
        <v>PASS</v>
      </c>
    </row>
    <row r="94" customFormat="false" ht="15" hidden="false" customHeight="false" outlineLevel="0" collapsed="false">
      <c r="B94" s="3" t="s">
        <v>342</v>
      </c>
      <c r="C94" s="29" t="n">
        <v>0</v>
      </c>
      <c r="D94" s="23" t="n">
        <f aca="false">ROUND(Collections!D52,6)</f>
        <v>0</v>
      </c>
      <c r="E94" s="29" t="n">
        <f aca="false">D94-C94</f>
        <v>0</v>
      </c>
      <c r="F94" s="4" t="str">
        <f aca="false">IF(ABS(E94)&lt;0.00000001,"PASS","FAIL")</f>
        <v>PASS</v>
      </c>
    </row>
    <row r="95" customFormat="false" ht="15" hidden="false" customHeight="false" outlineLevel="0" collapsed="false">
      <c r="B95" s="5" t="s">
        <v>349</v>
      </c>
      <c r="C95" s="6"/>
      <c r="D95" s="6"/>
      <c r="E95" s="6"/>
      <c r="F95" s="6"/>
    </row>
    <row r="96" customFormat="false" ht="15" hidden="false" customHeight="false" outlineLevel="0" collapsed="false">
      <c r="B96" s="3" t="s">
        <v>190</v>
      </c>
      <c r="C96" s="18" t="n">
        <v>109</v>
      </c>
      <c r="D96" s="31" t="n">
        <f aca="false">ROUND('Receivables Purchase'!C8,1)</f>
        <v>109</v>
      </c>
      <c r="E96" s="29" t="n">
        <f aca="false">D96-C96</f>
        <v>0</v>
      </c>
      <c r="F96" s="4" t="str">
        <f aca="false">IF(ABS(E96)&lt;0.00000001,"PASS","FAIL")</f>
        <v>PASS</v>
      </c>
    </row>
    <row r="97" customFormat="false" ht="15" hidden="false" customHeight="false" outlineLevel="0" collapsed="false">
      <c r="B97" s="3" t="s">
        <v>339</v>
      </c>
      <c r="C97" s="18" t="n">
        <v>90</v>
      </c>
      <c r="D97" s="31" t="n">
        <f aca="false">ROUND('Receivables Purchase'!C9,1)</f>
        <v>90</v>
      </c>
      <c r="E97" s="29" t="n">
        <f aca="false">D97-C97</f>
        <v>0</v>
      </c>
      <c r="F97" s="4" t="str">
        <f aca="false">IF(ABS(E97)&lt;0.00000001,"PASS","FAIL")</f>
        <v>PASS</v>
      </c>
    </row>
    <row r="98" customFormat="false" ht="15" hidden="false" customHeight="false" outlineLevel="0" collapsed="false">
      <c r="B98" s="3" t="s">
        <v>217</v>
      </c>
      <c r="C98" s="10" t="n">
        <v>87058</v>
      </c>
      <c r="D98" s="28" t="n">
        <f aca="false">ROUND('Receivables Purchase'!C14,0)</f>
        <v>87058</v>
      </c>
      <c r="E98" s="29" t="n">
        <f aca="false">D98-C98</f>
        <v>0</v>
      </c>
      <c r="F98" s="4" t="str">
        <f aca="false">IF(ABS(E98)&lt;0.00000001,"PASS","FAIL")</f>
        <v>PASS</v>
      </c>
    </row>
    <row r="99" customFormat="false" ht="15" hidden="false" customHeight="false" outlineLevel="0" collapsed="false">
      <c r="B99" s="3" t="s">
        <v>350</v>
      </c>
      <c r="C99" s="10" t="n">
        <v>79800</v>
      </c>
      <c r="D99" s="28" t="n">
        <f aca="false">ROUND('Receivables Purchase'!C18,0)</f>
        <v>79800</v>
      </c>
      <c r="E99" s="29" t="n">
        <f aca="false">D99-C99</f>
        <v>0</v>
      </c>
      <c r="F99" s="4" t="str">
        <f aca="false">IF(ABS(E99)&lt;0.00000001,"PASS","FAIL")</f>
        <v>PASS</v>
      </c>
    </row>
    <row r="100" customFormat="false" ht="15" hidden="false" customHeight="false" outlineLevel="0" collapsed="false">
      <c r="B100" s="3" t="s">
        <v>288</v>
      </c>
      <c r="C100" s="10" t="n">
        <v>23100</v>
      </c>
      <c r="D100" s="28" t="n">
        <f aca="false">ROUND('Receivables Purchase'!C20,0)</f>
        <v>23100</v>
      </c>
      <c r="E100" s="29" t="n">
        <f aca="false">D100-C100</f>
        <v>0</v>
      </c>
      <c r="F100" s="4" t="str">
        <f aca="false">IF(ABS(E100)&lt;0.00000001,"PASS","FAIL")</f>
        <v>PASS</v>
      </c>
    </row>
    <row r="101" customFormat="false" ht="15" hidden="false" customHeight="false" outlineLevel="0" collapsed="false">
      <c r="B101" s="3" t="s">
        <v>205</v>
      </c>
      <c r="C101" s="10" t="n">
        <v>104080</v>
      </c>
      <c r="D101" s="28" t="n">
        <f aca="false">ROUND('Receivables Purchase'!C22,0)</f>
        <v>104080</v>
      </c>
      <c r="E101" s="29" t="n">
        <f aca="false">D101-C101</f>
        <v>0</v>
      </c>
      <c r="F101" s="4" t="str">
        <f aca="false">IF(ABS(E101)&lt;0.00000001,"PASS","FAIL")</f>
        <v>PASS</v>
      </c>
    </row>
    <row r="102" customFormat="false" ht="15" hidden="false" customHeight="false" outlineLevel="0" collapsed="false">
      <c r="B102" s="3" t="s">
        <v>351</v>
      </c>
      <c r="C102" s="10" t="n">
        <v>32130</v>
      </c>
      <c r="D102" s="28" t="n">
        <f aca="false">ROUND('Receivables Purchase'!C27,0)</f>
        <v>32130</v>
      </c>
      <c r="E102" s="29" t="n">
        <f aca="false">D102-C102</f>
        <v>0</v>
      </c>
      <c r="F102" s="4" t="str">
        <f aca="false">IF(ABS(E102)&lt;0.00000001,"PASS","FAIL")</f>
        <v>PASS</v>
      </c>
    </row>
    <row r="103" customFormat="false" ht="15" hidden="false" customHeight="false" outlineLevel="0" collapsed="false">
      <c r="B103" s="3" t="s">
        <v>340</v>
      </c>
      <c r="C103" s="10" t="n">
        <v>223268</v>
      </c>
      <c r="D103" s="28" t="n">
        <f aca="false">ROUND('Receivables Purchase'!C33,0)</f>
        <v>223268</v>
      </c>
      <c r="E103" s="29" t="n">
        <f aca="false">D103-C103</f>
        <v>0</v>
      </c>
      <c r="F103" s="4" t="str">
        <f aca="false">IF(ABS(E103)&lt;0.00000001,"PASS","FAIL")</f>
        <v>PASS</v>
      </c>
    </row>
    <row r="104" customFormat="false" ht="15" hidden="false" customHeight="false" outlineLevel="0" collapsed="false">
      <c r="B104" s="3" t="s">
        <v>219</v>
      </c>
      <c r="C104" s="22" t="n">
        <v>0.728</v>
      </c>
      <c r="D104" s="30" t="n">
        <f aca="false">ROUND('Receivables Purchase'!C34,3)</f>
        <v>0.728</v>
      </c>
      <c r="E104" s="29" t="n">
        <f aca="false">D104-C104</f>
        <v>0</v>
      </c>
      <c r="F104" s="4" t="str">
        <f aca="false">IF(ABS(E104)&lt;0.00000001,"PASS","FAIL")</f>
        <v>PASS</v>
      </c>
    </row>
    <row r="105" customFormat="false" ht="15" hidden="false" customHeight="false" outlineLevel="0" collapsed="false">
      <c r="B105" s="3" t="s">
        <v>221</v>
      </c>
      <c r="C105" s="10" t="n">
        <v>83332</v>
      </c>
      <c r="D105" s="28" t="n">
        <f aca="false">ROUND('Receivables Purchase'!C35,0)</f>
        <v>83332</v>
      </c>
      <c r="E105" s="29" t="n">
        <f aca="false">D105-C105</f>
        <v>0</v>
      </c>
      <c r="F105" s="4" t="str">
        <f aca="false">IF(ABS(E105)&lt;0.00000001,"PASS","FAIL")</f>
        <v>PASS</v>
      </c>
    </row>
    <row r="106" customFormat="false" ht="15" hidden="false" customHeight="false" outlineLevel="0" collapsed="false">
      <c r="B106" s="3" t="s">
        <v>222</v>
      </c>
      <c r="C106" s="22" t="n">
        <v>0.0198</v>
      </c>
      <c r="D106" s="30" t="n">
        <f aca="false">ROUND('Receivables Purchase'!C36,4)</f>
        <v>0.0198</v>
      </c>
      <c r="E106" s="29" t="n">
        <f aca="false">D106-C106</f>
        <v>0</v>
      </c>
      <c r="F106" s="4" t="str">
        <f aca="false">IF(ABS(E106)&lt;0.00000001,"PASS","FAIL")</f>
        <v>PASS</v>
      </c>
    </row>
    <row r="107" customFormat="false" ht="15" hidden="false" customHeight="false" outlineLevel="0" collapsed="false">
      <c r="B107" s="3" t="s">
        <v>341</v>
      </c>
      <c r="C107" s="22" t="n">
        <v>0.1756</v>
      </c>
      <c r="D107" s="30" t="n">
        <f aca="false">ROUND('Receivables Purchase'!C37,4)</f>
        <v>0.1756</v>
      </c>
      <c r="E107" s="29" t="n">
        <f aca="false">D107-C107</f>
        <v>0</v>
      </c>
      <c r="F107" s="4" t="str">
        <f aca="false">IF(ABS(E107)&lt;0.00000001,"PASS","FAIL")</f>
        <v>PASS</v>
      </c>
    </row>
    <row r="108" customFormat="false" ht="15" hidden="false" customHeight="false" outlineLevel="0" collapsed="false">
      <c r="B108" s="3" t="s">
        <v>342</v>
      </c>
      <c r="C108" s="29" t="n">
        <v>0</v>
      </c>
      <c r="D108" s="23" t="n">
        <f aca="false">ROUND('Receivables Purchase'!C38,6)</f>
        <v>0</v>
      </c>
      <c r="E108" s="29" t="n">
        <f aca="false">D108-C108</f>
        <v>0</v>
      </c>
      <c r="F108" s="4" t="str">
        <f aca="false">IF(ABS(E108)&lt;0.00000001,"PASS","FAIL")</f>
        <v>PASS</v>
      </c>
    </row>
    <row r="109" customFormat="false" ht="15" hidden="false" customHeight="false" outlineLevel="0" collapsed="false">
      <c r="B109" s="3" t="s">
        <v>300</v>
      </c>
      <c r="C109" s="10" t="n">
        <v>4120200</v>
      </c>
      <c r="D109" s="28" t="n">
        <f aca="false">ROUND('Receivables Purchase'!C43,0)</f>
        <v>4120200</v>
      </c>
      <c r="E109" s="29" t="n">
        <f aca="false">D109-C109</f>
        <v>0</v>
      </c>
      <c r="F109" s="4" t="str">
        <f aca="false">IF(ABS(E109)&lt;0.00000001,"PASS","FAIL")</f>
        <v>PASS</v>
      </c>
    </row>
    <row r="110" customFormat="false" ht="15" hidden="false" customHeight="false" outlineLevel="0" collapsed="false">
      <c r="B110" s="3" t="s">
        <v>301</v>
      </c>
      <c r="C110" s="22" t="n">
        <v>0.077472</v>
      </c>
      <c r="D110" s="30" t="n">
        <f aca="false">ROUND('Receivables Purchase'!C44,6)</f>
        <v>0.077472</v>
      </c>
      <c r="E110" s="29" t="n">
        <f aca="false">D110-C110</f>
        <v>0</v>
      </c>
      <c r="F110" s="4" t="str">
        <f aca="false">IF(ABS(E110)&lt;0.00000001,"PASS","FAIL")</f>
        <v>PASS</v>
      </c>
    </row>
    <row r="111" customFormat="false" ht="15" hidden="false" customHeight="false" outlineLevel="0" collapsed="false">
      <c r="B111" s="3" t="s">
        <v>352</v>
      </c>
      <c r="C111" s="10" t="n">
        <v>4097100</v>
      </c>
      <c r="D111" s="28" t="n">
        <f aca="false">ROUND('Receivables Purchase'!C51,0)</f>
        <v>4097100</v>
      </c>
      <c r="E111" s="29" t="n">
        <f aca="false">D111-C111</f>
        <v>0</v>
      </c>
      <c r="F111" s="4" t="str">
        <f aca="false">IF(ABS(E111)&lt;0.00000001,"PASS","FAIL")</f>
        <v>PASS</v>
      </c>
    </row>
    <row r="112" customFormat="false" ht="15" hidden="false" customHeight="false" outlineLevel="0" collapsed="false">
      <c r="B112" s="3" t="s">
        <v>353</v>
      </c>
      <c r="C112" s="10" t="n">
        <v>102900</v>
      </c>
      <c r="D112" s="28" t="n">
        <f aca="false">ROUND('Receivables Purchase'!C52,0)</f>
        <v>102900</v>
      </c>
      <c r="E112" s="29" t="n">
        <f aca="false">D112-C112</f>
        <v>0</v>
      </c>
      <c r="F112" s="4" t="str">
        <f aca="false">IF(ABS(E112)&lt;0.00000001,"PASS","FAIL")</f>
        <v>PASS</v>
      </c>
    </row>
    <row r="113" customFormat="false" ht="15" hidden="false" customHeight="false" outlineLevel="0" collapsed="false">
      <c r="B113" s="3" t="s">
        <v>310</v>
      </c>
      <c r="C113" s="22" t="n">
        <v>0.100461</v>
      </c>
      <c r="D113" s="30" t="n">
        <f aca="false">ROUND('Receivables Purchase'!C53,6)</f>
        <v>0.100461</v>
      </c>
      <c r="E113" s="29" t="n">
        <f aca="false">D113-C113</f>
        <v>0</v>
      </c>
      <c r="F113" s="4" t="str">
        <f aca="false">IF(ABS(E113)&lt;0.00000001,"PASS","FAIL")</f>
        <v>PASS</v>
      </c>
    </row>
    <row r="115" customFormat="false" ht="15" hidden="false" customHeight="false" outlineLevel="0" collapsed="false">
      <c r="B115" s="26" t="s">
        <v>354</v>
      </c>
      <c r="C115" s="26" t="n">
        <f aca="false">COUNTIF(F8:F113,"PASS")+COUNTIF(F8:F113,"FAIL")</f>
        <v>95</v>
      </c>
    </row>
    <row r="116" customFormat="false" ht="15" hidden="false" customHeight="false" outlineLevel="0" collapsed="false">
      <c r="B116" s="4" t="s">
        <v>355</v>
      </c>
      <c r="C116" s="4" t="n">
        <f aca="false">COUNTIF(F8:F113,"PASS")</f>
        <v>95</v>
      </c>
    </row>
    <row r="117" customFormat="false" ht="15" hidden="false" customHeight="false" outlineLevel="0" collapsed="false">
      <c r="B117" s="4" t="s">
        <v>356</v>
      </c>
      <c r="C117" s="4" t="n">
        <f aca="false">COUNTIF(F8:F113,"FAIL")</f>
        <v>0</v>
      </c>
    </row>
    <row r="119" customFormat="false" ht="15" hidden="false" customHeight="false" outlineLevel="0" collapsed="false">
      <c r="B119" s="8" t="s">
        <v>357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2026-09-11T08:16:05Z</dcterms:created>
  <dc:creator>openpyxl</dc:creator>
  <dc:description/>
  <dc:language>en-US</dc:language>
  <cp:lastModifiedBy/>
  <dcterms:modified xsi:type="dcterms:W3CDTF">2026-09-11T08:16:05Z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