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Fee Schedule" sheetId="3" state="visible" r:id="rId5"/>
    <sheet name="Three Credits" sheetId="4" state="visible" r:id="rId6"/>
    <sheet name="Document Risk" sheetId="5" state="visible" r:id="rId7"/>
    <sheet name="Confirmation" sheetId="6" state="visible" r:id="rId8"/>
    <sheet name="Confirmation Sensitivity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<sst xmlns="http://schemas.openxmlformats.org/spreadsheetml/2006/main" count="449" uniqueCount="364">
  <si>
    <t xml:space="preserve">Trade Finance -- Workbook 2 of 4</t>
  </si>
  <si>
    <t xml:space="preserve">The Credit and the Documents: what a documentary credit costs, and what it does not cure</t>
  </si>
  <si>
    <t xml:space="preserve">Julian R. Sterling. Companion files: julianrsterling.com/tradefinance</t>
  </si>
  <si>
    <t xml:space="preserve">What this workbook does</t>
  </si>
  <si>
    <t xml:space="preserve">Prices the documentary credit in all three of the forms Harrowgate Instruments could have used</t>
  </si>
  <si>
    <t xml:space="preserve">on the 4,200,000 order to Meridian Process Holdings: a sight credit advised but not confirmed, a</t>
  </si>
  <si>
    <t xml:space="preserve">usance credit advised but not confirmed and held to maturity, and a confirmed usance credit</t>
  </si>
  <si>
    <t xml:space="preserve">discounted without recourse on presentation. It then quantifies the risk a credit removes against</t>
  </si>
  <si>
    <t xml:space="preserve">the risk a credit introduces, and asks what confirmation is worth at the model's own probabilities.</t>
  </si>
  <si>
    <t xml:space="preserve">Chapters 6, 7 and 8 of the book are reproduced here in full.</t>
  </si>
  <si>
    <t xml:space="preserve">The three things this workbook is careful about</t>
  </si>
  <si>
    <t xml:space="preserve">Financing is charged on the COST of 3,423,000 and not on the price. Money goes out to make the</t>
  </si>
  <si>
    <t xml:space="preserve">goods; it is the cost that is funded, and charging the price overstates every route by the margin.</t>
  </si>
  <si>
    <t xml:space="preserve">A bank discount is computed on the FACE and earned on the PROCEEDS, actual/360. The Fee Schedule</t>
  </si>
  <si>
    <t xml:space="preserve">prints both the quoted rate and the equivalent yield, and the gap between them in basis points.</t>
  </si>
  <si>
    <t xml:space="preserve">The discount is charged ONCE, in the fees-and-discount line. It is not also inside the fee subtotal.</t>
  </si>
  <si>
    <t xml:space="preserve">Conventions</t>
  </si>
  <si>
    <t xml:space="preserve">Blue text is an input. Change it and everything recomputes.</t>
  </si>
  <si>
    <t xml:space="preserve">A yellow fill marks an assumption that decides the answer rather than merely feeding it.</t>
  </si>
  <si>
    <t xml:space="preserve">Black text is a formula. Do not overtype it.</t>
  </si>
  <si>
    <t xml:space="preserve">Green text on the Checks sheet is a link to a computed cell.</t>
  </si>
  <si>
    <t xml:space="preserve">Money runs on a 360-day year. Probability is annualised on 365, as one less (one less pd) to the</t>
  </si>
  <si>
    <t xml:space="preserve">power of days over 365. The two day counts are separate inputs and are never mixed.</t>
  </si>
  <si>
    <t xml:space="preserve">The Checks sheet</t>
  </si>
  <si>
    <t xml:space="preserve">Every figure the book prints within this workbook's scope appears there beside the figure this</t>
  </si>
  <si>
    <t xml:space="preserve">workbook computes, with the difference and PASS or FAIL. If a check ever reads FAIL, the workbook</t>
  </si>
  <si>
    <t xml:space="preserve">is wrong, not the book. Computed values are rounded to the precision the book prints.</t>
  </si>
  <si>
    <t xml:space="preserve">The identity check on every priced row is that the margin after finance equals 306,600 less the</t>
  </si>
  <si>
    <t xml:space="preserve">total cost. It is built from the whole profit and loss on one side and from the identity on the</t>
  </si>
  <si>
    <t xml:space="preserve">other, so it fails if any line of the pricing is double counted or dropped.</t>
  </si>
  <si>
    <t xml:space="preserve">There are no macros, no external links, no protection and no circular references.</t>
  </si>
  <si>
    <t xml:space="preserve">The file behaves identically in Excel, LibreOffice and Google Sheets.</t>
  </si>
  <si>
    <t xml:space="preserve">Inputs</t>
  </si>
  <si>
    <t xml:space="preserve">Blue is an input. A yellow fill marks an assumption that decides the answer.</t>
  </si>
  <si>
    <t xml:space="preserve">Value</t>
  </si>
  <si>
    <t xml:space="preserve">Note</t>
  </si>
  <si>
    <t xml:space="preserve">The order</t>
  </si>
  <si>
    <t xml:space="preserve">Contract value</t>
  </si>
  <si>
    <t xml:space="preserve">Harrowgate Instruments to Meridian Process Holdings</t>
  </si>
  <si>
    <t xml:space="preserve">Cost of goods sold, per cent of the price</t>
  </si>
  <si>
    <t xml:space="preserve">The exporter's facility funds THIS, not the price</t>
  </si>
  <si>
    <t xml:space="preserve">Selling, general and administrative, per cent</t>
  </si>
  <si>
    <t xml:space="preserve">Exporter's own cost of funds a year</t>
  </si>
  <si>
    <t xml:space="preserve">Actual/360, as a trade facility is actually charged</t>
  </si>
  <si>
    <t xml:space="preserve">The calendar, in days</t>
  </si>
  <si>
    <t xml:space="preserve">Production, order to ship-ready</t>
  </si>
  <si>
    <t xml:space="preserve">Working capital is out from the first day of this</t>
  </si>
  <si>
    <t xml:space="preserve">Transit, port to port and inland</t>
  </si>
  <si>
    <t xml:space="preserve">Shipment to presentation of documents</t>
  </si>
  <si>
    <t xml:space="preserve">Handling under a credit, examination to settlement</t>
  </si>
  <si>
    <t xml:space="preserve">The bank's own machinery, not a term conceded to the buyer</t>
  </si>
  <si>
    <t xml:space="preserve">Buyer credit period, days</t>
  </si>
  <si>
    <t xml:space="preserve">The usance term priced on the Three Credits sheet</t>
  </si>
  <si>
    <t xml:space="preserve">Buyer credit period for the sensitivity table, days</t>
  </si>
  <si>
    <t xml:space="preserve">The term every sensitivity in the book is run at</t>
  </si>
  <si>
    <t xml:space="preserve">What the credit is priced at</t>
  </si>
  <si>
    <t xml:space="preserve">Advising fee, flat</t>
  </si>
  <si>
    <t xml:space="preserve">Document examination, per cent of the drawing</t>
  </si>
  <si>
    <t xml:space="preserve">Document examination, minimum</t>
  </si>
  <si>
    <t xml:space="preserve">Does not bite on this order: 0.1250 per cent of 4,200,000 is 5,250</t>
  </si>
  <si>
    <t xml:space="preserve">Confirmation, per cent a year</t>
  </si>
  <si>
    <t xml:space="preserve">Charged on the face over the confirmed period</t>
  </si>
  <si>
    <t xml:space="preserve">Confirmation, minimum</t>
  </si>
  <si>
    <t xml:space="preserve">Bites on the top row of the sensitivity table and nowhere else</t>
  </si>
  <si>
    <t xml:space="preserve">Discount, per cent a year</t>
  </si>
  <si>
    <t xml:space="preserve">A BANK DISCOUNT on the face, not a yield on the proceeds</t>
  </si>
  <si>
    <t xml:space="preserve">Couriers, legalisation and certificates</t>
  </si>
  <si>
    <t xml:space="preserve">Amendment fee, and there is always one</t>
  </si>
  <si>
    <t xml:space="preserve">The counterparty, the bank and the country</t>
  </si>
  <si>
    <t xml:space="preserve">Buyer one-year probability of default</t>
  </si>
  <si>
    <t xml:space="preserve">Loss given default on an unsecured trade claim</t>
  </si>
  <si>
    <t xml:space="preserve">Issuing bank one-year probability of default</t>
  </si>
  <si>
    <t xml:space="preserve">The whole confirmation question turns on this one figure</t>
  </si>
  <si>
    <t xml:space="preserve">Country transfer and convertibility event, one year</t>
  </si>
  <si>
    <t xml:space="preserve">The document mechanics of a credit</t>
  </si>
  <si>
    <t xml:space="preserve">First presentations refused on a discrepancy</t>
  </si>
  <si>
    <t xml:space="preserve">The industry's own figure, and it decides the delay and the document loss</t>
  </si>
  <si>
    <t xml:space="preserve">Of those refused, the share the applicant waives</t>
  </si>
  <si>
    <t xml:space="preserve">A refusal almost always ends in payment. This is why the document loss is small</t>
  </si>
  <si>
    <t xml:space="preserve">Days lost per correction cycle</t>
  </si>
  <si>
    <t xml:space="preserve">Correction cycles expected on a refusal</t>
  </si>
  <si>
    <t xml:space="preserve">Extra days of buyer exposure on an unwaived refusal</t>
  </si>
  <si>
    <t xml:space="preserve">Enters the DOCUMENT expected loss only. It never touches the bank and country figure</t>
  </si>
  <si>
    <t xml:space="preserve">Confirmation rates for the sensitivity table</t>
  </si>
  <si>
    <t xml:space="preserve">Sensitivity rate, row 1</t>
  </si>
  <si>
    <t xml:space="preserve">Nothing -- but the 1,500 minimum still applies, and the credit is still confirmed</t>
  </si>
  <si>
    <t xml:space="preserve">Sensitivity rate, row 2</t>
  </si>
  <si>
    <t xml:space="preserve">Sensitivity rate, row 4</t>
  </si>
  <si>
    <t xml:space="preserve">Row 3 is the base case and reads the confirmation rate in row 23</t>
  </si>
  <si>
    <t xml:space="preserve">Sensitivity rate, row 5</t>
  </si>
  <si>
    <t xml:space="preserve">Day count for money, actual/360</t>
  </si>
  <si>
    <t xml:space="preserve">The money-market convention of the trade</t>
  </si>
  <si>
    <t xml:space="preserve">Day count for probability annualisation</t>
  </si>
  <si>
    <t xml:space="preserve">Probabilities annualise on 365, never on 360</t>
  </si>
  <si>
    <t xml:space="preserve">The fee schedule</t>
  </si>
  <si>
    <t xml:space="preserve">Every charge on a documentary credit, itemised. The fees are the small part of what the instrument costs.</t>
  </si>
  <si>
    <t xml:space="preserve">Charges on any documentary credit</t>
  </si>
  <si>
    <t xml:space="preserve">Document examination at the rate, on the drawing</t>
  </si>
  <si>
    <t xml:space="preserve">Document examination, the minimum</t>
  </si>
  <si>
    <t xml:space="preserve">Document examination charged, the greater of the two</t>
  </si>
  <si>
    <t xml:space="preserve">The percentage wins on this order. On a small drawing the minimum would bite instead</t>
  </si>
  <si>
    <t xml:space="preserve">Amendment fee, one amendment</t>
  </si>
  <si>
    <t xml:space="preserve">There is always one</t>
  </si>
  <si>
    <t xml:space="preserve">FEES ON AN UNCONFIRMED CREDIT</t>
  </si>
  <si>
    <t xml:space="preserve">If the credit is confirmed</t>
  </si>
  <si>
    <t xml:space="preserve">Confirmed period, days: the term plus transit plus the document days</t>
  </si>
  <si>
    <t xml:space="preserve">The confirming bank is on risk from shipment to maturity</t>
  </si>
  <si>
    <t xml:space="preserve">Confirmation at the rate, actual/360, on the face</t>
  </si>
  <si>
    <t xml:space="preserve">Confirmation, the minimum</t>
  </si>
  <si>
    <t xml:space="preserve">Confirmation charged, the greater of the two</t>
  </si>
  <si>
    <t xml:space="preserve">FEES ON A CONFIRMED CREDIT</t>
  </si>
  <si>
    <t xml:space="preserve">If the drawing is discounted</t>
  </si>
  <si>
    <t xml:space="preserve">Usance days discounted</t>
  </si>
  <si>
    <t xml:space="preserve">Bank discount, taken on the FACE, actual/360</t>
  </si>
  <si>
    <t xml:space="preserve">Computed on the face. It is NOT also charged inside the fee subtotal above</t>
  </si>
  <si>
    <t xml:space="preserve">Proceeds paid to the exporter</t>
  </si>
  <si>
    <t xml:space="preserve">Equivalent yield, earned on the PROCEEDS</t>
  </si>
  <si>
    <t xml:space="preserve">What the money actually costs. The quoted rate understates it, always</t>
  </si>
  <si>
    <t xml:space="preserve">Gap to the quoted discount rate, basis points</t>
  </si>
  <si>
    <t xml:space="preserve">And the gap widens with the tenor</t>
  </si>
  <si>
    <t xml:space="preserve">FEES AND DISCOUNT ON A CONFIRMED DISCOUNTED CREDIT</t>
  </si>
  <si>
    <t xml:space="preserve">How small the fees are beside the cost of the instrument</t>
  </si>
  <si>
    <t xml:space="preserve">Fees on an unconfirmed credit, as a share of the contract value</t>
  </si>
  <si>
    <t xml:space="preserve">Fees, as a share of the total cost of the sight credit</t>
  </si>
  <si>
    <t xml:space="preserve">Financing, as a share of the total cost of the sight credit</t>
  </si>
  <si>
    <t xml:space="preserve">This is where the money goes, and nobody negotiates it</t>
  </si>
  <si>
    <t xml:space="preserve">Expected loss, as a share of the total cost of the sight credit</t>
  </si>
  <si>
    <t xml:space="preserve">The three shares, added</t>
  </si>
  <si>
    <t xml:space="preserve">Fees and confirmation, as a share of the total cost of the confirmed credit</t>
  </si>
  <si>
    <t xml:space="preserve">The discount alone, as a share of the total cost of the confirmed credit</t>
  </si>
  <si>
    <t xml:space="preserve">Buying the buyer's ninety days is most of what a confirmed discounted credit costs</t>
  </si>
  <si>
    <t xml:space="preserve">The credit priced three ways</t>
  </si>
  <si>
    <t xml:space="preserve">Same order, same goods, same buyer. Only the instrument moves, and with it the day the cash arrives and the risk left behind.</t>
  </si>
  <si>
    <t xml:space="preserve">The order, and it is the same in every column</t>
  </si>
  <si>
    <t xml:space="preserve">Cost of goods sold</t>
  </si>
  <si>
    <t xml:space="preserve">The amount the exporter's facility actually funds</t>
  </si>
  <si>
    <t xml:space="preserve">GROSS MARGIN</t>
  </si>
  <si>
    <t xml:space="preserve">Selling, general and administrative on this order</t>
  </si>
  <si>
    <t xml:space="preserve">OPERATING MARGIN BEFORE ANY FINANCE COST</t>
  </si>
  <si>
    <t xml:space="preserve">Every total cost below is spent out of this</t>
  </si>
  <si>
    <t xml:space="preserve">Priced in full, every line a formula</t>
  </si>
  <si>
    <t xml:space="preserve">Sight credit, / unconfirmed</t>
  </si>
  <si>
    <t xml:space="preserve">Usance credit, unconfirmed, / held to maturity</t>
  </si>
  <si>
    <t xml:space="preserve">Confirmed usance credit, / discounted on presentation</t>
  </si>
  <si>
    <t xml:space="preserve">Days to cash</t>
  </si>
  <si>
    <t xml:space="preserve">Handling under the credit, examination to settlement</t>
  </si>
  <si>
    <t xml:space="preserve">Expected days lost to discrepancies</t>
  </si>
  <si>
    <t xml:space="preserve">62.0 per cent of one cycle of 11 days</t>
  </si>
  <si>
    <t xml:space="preserve">Buyer credit period the exporter finances</t>
  </si>
  <si>
    <t xml:space="preserve">The discounted column is paid on presentation, so it finances none of it</t>
  </si>
  <si>
    <t xml:space="preserve">DAYS TO CASH</t>
  </si>
  <si>
    <t xml:space="preserve">The period the risk runs over</t>
  </si>
  <si>
    <t xml:space="preserve">Exposure period, days</t>
  </si>
  <si>
    <t xml:space="preserve">For the confirmed column this is the confirmed period, shipment to maturity</t>
  </si>
  <si>
    <t xml:space="preserve">Financing, charged on the cost and not on the price</t>
  </si>
  <si>
    <t xml:space="preserve">Amount financed</t>
  </si>
  <si>
    <t xml:space="preserve">Financing</t>
  </si>
  <si>
    <t xml:space="preserve">Fees and discount</t>
  </si>
  <si>
    <t xml:space="preserve">Fees on the credit</t>
  </si>
  <si>
    <t xml:space="preserve">The confirmed column carries the confirmation fee</t>
  </si>
  <si>
    <t xml:space="preserve">Discount taken on the face</t>
  </si>
  <si>
    <t xml:space="preserve">Charged once, here, and nowhere else in this workbook</t>
  </si>
  <si>
    <t xml:space="preserve">FEES AND DISCOUNT</t>
  </si>
  <si>
    <t xml:space="preserve">Expected loss</t>
  </si>
  <si>
    <t xml:space="preserve">Probability the issuing bank or the country fails over the period</t>
  </si>
  <si>
    <t xml:space="preserve">Confirmation replaces both with the confirming bank, taken as riskless</t>
  </si>
  <si>
    <t xml:space="preserve">Probability the presentation is refused AND the applicant does not waive</t>
  </si>
  <si>
    <t xml:space="preserve">No confirmation cures this. It is the risk the credit introduces</t>
  </si>
  <si>
    <t xml:space="preserve">Probability the buyer defaults over the period plus the 60-day tail</t>
  </si>
  <si>
    <t xml:space="preserve">An unwaived refusal leaves an open-account claim on an unhelpful buyer</t>
  </si>
  <si>
    <t xml:space="preserve">Expected loss, bank and country</t>
  </si>
  <si>
    <t xml:space="preserve">Expected loss, documents</t>
  </si>
  <si>
    <t xml:space="preserve">EXPECTED LOSS</t>
  </si>
  <si>
    <t xml:space="preserve">What it costs</t>
  </si>
  <si>
    <t xml:space="preserve">TOTAL COST</t>
  </si>
  <si>
    <t xml:space="preserve">Cost as a share of the operating margin</t>
  </si>
  <si>
    <t xml:space="preserve">MARGIN AFTER FINANCE</t>
  </si>
  <si>
    <t xml:space="preserve">Built from the whole profit and loss, so the Checks sheet can test the identity</t>
  </si>
  <si>
    <t xml:space="preserve">Margin per cent</t>
  </si>
  <si>
    <t xml:space="preserve">Effective cost a year</t>
  </si>
  <si>
    <t xml:space="preserve">Total cost over the money received, annualised on the days it was out</t>
  </si>
  <si>
    <t xml:space="preserve">The discount, on the one column that takes one</t>
  </si>
  <si>
    <t xml:space="preserve">Face</t>
  </si>
  <si>
    <t xml:space="preserve">Proceeds received</t>
  </si>
  <si>
    <t xml:space="preserve">Equivalent yield, earned on the proceeds</t>
  </si>
  <si>
    <t xml:space="preserve">The quoted 6.90 per cent is not what the money costs</t>
  </si>
  <si>
    <t xml:space="preserve">The risk the credit removes, against the risk it introduces</t>
  </si>
  <si>
    <t xml:space="preserve">Measured on an unconfirmed usance credit at 90-day terms, which is the credit that carries both risks at once.</t>
  </si>
  <si>
    <t xml:space="preserve">The exposure period</t>
  </si>
  <si>
    <t xml:space="preserve">Buyer credit period</t>
  </si>
  <si>
    <t xml:space="preserve">EXPOSURE PERIOD, DAYS</t>
  </si>
  <si>
    <t xml:space="preserve">Production is not here: the exporter is not yet exposed to the bank</t>
  </si>
  <si>
    <t xml:space="preserve">The risk the credit was bought to remove</t>
  </si>
  <si>
    <t xml:space="preserve">Bank leg over the exposure period</t>
  </si>
  <si>
    <t xml:space="preserve">Country leg over the exposure period</t>
  </si>
  <si>
    <t xml:space="preserve">PROBABILITY THE ISSUING BANK OR THE COUNTRY FAILS</t>
  </si>
  <si>
    <t xml:space="preserve">Treated as independent</t>
  </si>
  <si>
    <t xml:space="preserve">The risk the credit introduces</t>
  </si>
  <si>
    <t xml:space="preserve">PROBABILITY THE PRESENTATION IS REFUSED AND THE APPLICANT DOES NOT WAIVE</t>
  </si>
  <si>
    <t xml:space="preserve">The ratio the book prints</t>
  </si>
  <si>
    <t xml:space="preserve">THE DOCUMENT RISK, AS A MULTIPLE OF THE BANK AND COUNTRY RISK</t>
  </si>
  <si>
    <t xml:space="preserve">Read the caution below before quoting this figure anywhere</t>
  </si>
  <si>
    <t xml:space="preserve">What the document risk costs in TIME</t>
  </si>
  <si>
    <t xml:space="preserve">Expected delay from discrepancies, days</t>
  </si>
  <si>
    <t xml:space="preserve">Amount financed, being the cost and not the price</t>
  </si>
  <si>
    <t xml:space="preserve">COST OF THAT DELAY</t>
  </si>
  <si>
    <t xml:space="preserve">Charged at the exporter's own cost of funds, actual/360</t>
  </si>
  <si>
    <t xml:space="preserve">What each risk costs in MONEY</t>
  </si>
  <si>
    <t xml:space="preserve">EXPECTED LOSS ATTRIBUTED TO BANK AND COUNTRY</t>
  </si>
  <si>
    <t xml:space="preserve">No tail is added here. The bank is gone on the day it is gone</t>
  </si>
  <si>
    <t xml:space="preserve">Buyer default probability over the exposure period plus the 60-day tail</t>
  </si>
  <si>
    <t xml:space="preserve">The 60-day tail enters HERE and only here</t>
  </si>
  <si>
    <t xml:space="preserve">EXPECTED LOSS ATTRIBUTED TO DOCUMENTS</t>
  </si>
  <si>
    <t xml:space="preserve">The bank and country loss, as a multiple of the document loss</t>
  </si>
  <si>
    <t xml:space="preserve">CAUTION, and the book carries this wherever the ratio is printed</t>
  </si>
  <si>
    <t xml:space="preserve">The document risk is roughly THREE TIMES MORE LIKELY and an ORDER OF MAGNITUDE LESS COSTLY.</t>
  </si>
  <si>
    <t xml:space="preserve">A refused presentation almost always ends in payment, because the applicant waives, and on these</t>
  </si>
  <si>
    <t xml:space="preserve">inputs it waives in 94 of every 100 refusals. What a refusal reliably destroys is the bank's</t>
  </si>
  <si>
    <t xml:space="preserve">undertaking and the exporter's schedule, not the money. Anyone quoting the ratio of 3.1 without</t>
  </si>
  <si>
    <t xml:space="preserve">the two expected-loss figures beside it -- 30,813 against 2,162 -- is overstating the case, and</t>
  </si>
  <si>
    <t xml:space="preserve">the overstatement is by a factor of roughly fourteen in the direction that sells consultancy.</t>
  </si>
  <si>
    <t xml:space="preserve">The 60-day tail on an unwaived refusal enters the DOCUMENT expected loss ONLY. It is the time an</t>
  </si>
  <si>
    <t xml:space="preserve">unwaived refusal takes to argue out, during which the exporter still carries the buyer. It does</t>
  </si>
  <si>
    <t xml:space="preserve">not touch the bank and country figure, because an issuing bank that has failed has failed on the</t>
  </si>
  <si>
    <t xml:space="preserve">day it failed and no amount of arguing lengthens that exposure.</t>
  </si>
  <si>
    <t xml:space="preserve">The honest sentence is: the credit trades a small chance of a large loss for a large chance of a</t>
  </si>
  <si>
    <t xml:space="preserve">small delay. That is usually a good trade. It is not the trade the ratio alone describes.</t>
  </si>
  <si>
    <t xml:space="preserve">What confirmation is worth</t>
  </si>
  <si>
    <t xml:space="preserve">The fee against the expected loss it removes, both measured over the same 125 days, and the issuing-bank probability at which they are equal.</t>
  </si>
  <si>
    <t xml:space="preserve">The confirmed period</t>
  </si>
  <si>
    <t xml:space="preserve">CONFIRMED PERIOD, DAYS</t>
  </si>
  <si>
    <t xml:space="preserve">Shipment to maturity. A bank that charges from advice charges for longer</t>
  </si>
  <si>
    <t xml:space="preserve">The fee</t>
  </si>
  <si>
    <t xml:space="preserve">Confirmation rate a year</t>
  </si>
  <si>
    <t xml:space="preserve">Fee at the rate, actual/360, on the face</t>
  </si>
  <si>
    <t xml:space="preserve">CONFIRMATION FEE CHARGED</t>
  </si>
  <si>
    <t xml:space="preserve">The expected loss it removes, over the SAME 125 days</t>
  </si>
  <si>
    <t xml:space="preserve">Bank leg over the confirmed period</t>
  </si>
  <si>
    <t xml:space="preserve">Country leg over the confirmed period</t>
  </si>
  <si>
    <t xml:space="preserve">Probability the issuing bank or the country fails</t>
  </si>
  <si>
    <t xml:space="preserve">EXPECTED LOSS REMOVED</t>
  </si>
  <si>
    <t xml:space="preserve">Fee less the loss removed</t>
  </si>
  <si>
    <t xml:space="preserve">Read as</t>
  </si>
  <si>
    <t xml:space="preserve">The break-even issuing-bank probability, solved in closed form: no goal seek, no iteration and no circular reference, because the expression inverts</t>
  </si>
  <si>
    <t xml:space="preserve">The fee the solve works against</t>
  </si>
  <si>
    <t xml:space="preserve">The fee at the rate, before the minimum. The minimum is not a price of risk</t>
  </si>
  <si>
    <t xml:space="preserve">Probability the fee would buy, if it bought only loss</t>
  </si>
  <si>
    <t xml:space="preserve">Country leg over the confirmed period, unchanged by the solve</t>
  </si>
  <si>
    <t xml:space="preserve">Bank leg over the confirmed period that this implies</t>
  </si>
  <si>
    <t xml:space="preserve">The confirmed period in years, on the 365 basis</t>
  </si>
  <si>
    <t xml:space="preserve">BREAK-EVEN ISSUING-BANK ONE-YEAR PROBABILITY OF DEFAULT</t>
  </si>
  <si>
    <t xml:space="preserve">The model's assumed issuing-bank probability</t>
  </si>
  <si>
    <t xml:space="preserve">Proof: rebuild the expected loss at the break-even probability</t>
  </si>
  <si>
    <t xml:space="preserve">Bank leg at the break-even probability</t>
  </si>
  <si>
    <t xml:space="preserve">Probability the issuing bank or the country fails, at the break-even</t>
  </si>
  <si>
    <t xml:space="preserve">Expected loss removed at the break-even</t>
  </si>
  <si>
    <t xml:space="preserve">Difference from the fee</t>
  </si>
  <si>
    <t xml:space="preserve">Must be zero. If it is not, the inversion is wrong</t>
  </si>
  <si>
    <t xml:space="preserve">A WARNING ABOUT PERIODS, and it is the trap in this chapter</t>
  </si>
  <si>
    <t xml:space="preserve">The 28,166 above is the loss removed over the 125 days the confirmation runs on 90-day terms.</t>
  </si>
  <si>
    <t xml:space="preserve">The 30,813 on the Document Risk sheet is measured over the 136.8-day exposure of an UNCONFIRMED</t>
  </si>
  <si>
    <t xml:space="preserve">credit, which is a longer period because it carries the bank's five handling days and the 6.82</t>
  </si>
  <si>
    <t xml:space="preserve">days lost to discrepancies as well. The two figures are NOT each other's complement, and the</t>
  </si>
  <si>
    <t xml:space="preserve">arithmetic below shows how far apart they are. Print the period beside either figure, or do not</t>
  </si>
  <si>
    <t xml:space="preserve">print it at all.</t>
  </si>
  <si>
    <t xml:space="preserve">Bank and country expected loss on the unconfirmed usance credit, over 136.8 days</t>
  </si>
  <si>
    <t xml:space="preserve">The bank and country leg only. This is the 30,813 of Chapter 7</t>
  </si>
  <si>
    <t xml:space="preserve">Expected loss on the confirmed discounted credit, documents only</t>
  </si>
  <si>
    <t xml:space="preserve">The difference between them</t>
  </si>
  <si>
    <t xml:space="preserve">A third number. It belongs to neither of the two above</t>
  </si>
  <si>
    <t xml:space="preserve">The loss removed over the 125 confirmed days</t>
  </si>
  <si>
    <t xml:space="preserve">The gap between that difference and the loss removed</t>
  </si>
  <si>
    <t xml:space="preserve">Not zero, and it never was. Different periods, different numbers</t>
  </si>
  <si>
    <t xml:space="preserve">Confirmation rate a year: the sensitivity</t>
  </si>
  <si>
    <t xml:space="preserve">One input moves. The order, the instrument and the 120-day terms stay exactly where they are. The credit is CONFIRMED in every row, including the first.</t>
  </si>
  <si>
    <t xml:space="preserve">Row</t>
  </si>
  <si>
    <t xml:space="preserve">Rate a year</t>
  </si>
  <si>
    <t xml:space="preserve">Fee at the rate</t>
  </si>
  <si>
    <t xml:space="preserve">Confirmation charged</t>
  </si>
  <si>
    <t xml:space="preserve">Discount on the face</t>
  </si>
  <si>
    <t xml:space="preserve">Margin after finance</t>
  </si>
  <si>
    <t xml:space="preserve">0.00 per cent a year -- STILL CONFIRMED, at the 1,500 minimum</t>
  </si>
  <si>
    <t xml:space="preserve">1.00 per cent a year -- still confirmed</t>
  </si>
  <si>
    <t xml:space="preserve">1.85 per cent a year -- the base case, and the rate quoted</t>
  </si>
  <si>
    <t xml:space="preserve">3.00 per cent a year -- still confirmed</t>
  </si>
  <si>
    <t xml:space="preserve">4.50 per cent a year -- still confirmed</t>
  </si>
  <si>
    <t xml:space="preserve">SPAN OF THIS TABLE</t>
  </si>
  <si>
    <t xml:space="preserve">Confirmation as a share of the base-case total cost</t>
  </si>
  <si>
    <t xml:space="preserve">HOW TO READ THE TOP ROW, and it is misread more often than any other row in the book</t>
  </si>
  <si>
    <t xml:space="preserve">At a rate of nothing the MINIMUM of 1,500 still applies, and the expected loss on that row stays</t>
  </si>
  <si>
    <t xml:space="preserve">at the documents-only level of 1,979. The credit is STILL CONFIRMED in the top row: what has gone</t>
  </si>
  <si>
    <t xml:space="preserve">is the fee above the floor, not the protection. Column I proves it -- the expected loss is</t>
  </si>
  <si>
    <t xml:space="preserve">identical in all five rows, because every row is a confirmed credit and the only risk left in any</t>
  </si>
  <si>
    <t xml:space="preserve">of them is the document risk, which no confirmation cures.</t>
  </si>
  <si>
    <t xml:space="preserve">The row does NOT price an unconfirmed credit and must never be described as removing the</t>
  </si>
  <si>
    <t xml:space="preserve">confirmation. An unconfirmed credit is priced on the Three Credits sheet, where the expected loss</t>
  </si>
  <si>
    <t xml:space="preserve">is 32,976 and not 1,979, because the issuing bank and the country come back onto the exporter's</t>
  </si>
  <si>
    <t xml:space="preserve">book the moment the confirmation goes.</t>
  </si>
  <si>
    <t xml:space="preserve">Checks</t>
  </si>
  <si>
    <t xml:space="preserve">Every figure the book prints within this workbook's scope, beside the figure this workbook computes.</t>
  </si>
  <si>
    <t xml:space="preserve">A FAIL means the workbook is wrong, not the book. Computed values are rounded to the precision the book prints.</t>
  </si>
  <si>
    <t xml:space="preserve">Figure</t>
  </si>
  <si>
    <t xml:space="preserve">As printed</t>
  </si>
  <si>
    <t xml:space="preserve">Computed</t>
  </si>
  <si>
    <t xml:space="preserve">Difference</t>
  </si>
  <si>
    <t xml:space="preserve">Verdict</t>
  </si>
  <si>
    <t xml:space="preserve">Gross margin</t>
  </si>
  <si>
    <t xml:space="preserve">Selling, general and administrative</t>
  </si>
  <si>
    <t xml:space="preserve">Operating margin before any finance cost</t>
  </si>
  <si>
    <t xml:space="preserve">Document examination at 0.1250 per cent</t>
  </si>
  <si>
    <t xml:space="preserve">Document examination charged</t>
  </si>
  <si>
    <t xml:space="preserve">Amendment fee</t>
  </si>
  <si>
    <t xml:space="preserve">Confirmed period, days</t>
  </si>
  <si>
    <t xml:space="preserve">Confirmation fee charged, 125 days at 1.85 per cent</t>
  </si>
  <si>
    <t xml:space="preserve">Bank discount on the face, 90 days at 6.90 per cent</t>
  </si>
  <si>
    <t xml:space="preserve">The three shares of total cost add to one</t>
  </si>
  <si>
    <t xml:space="preserve">Sight credit, unconfirmed</t>
  </si>
  <si>
    <t xml:space="preserve">IDENTITY: margin after finance equals 306,600 less total cost</t>
  </si>
  <si>
    <t xml:space="preserve">Usance credit, unconfirmed, held to maturity</t>
  </si>
  <si>
    <t xml:space="preserve">Confirmed usance credit, 90 days, discounted</t>
  </si>
  <si>
    <t xml:space="preserve">Equivalent yield on the proceeds</t>
  </si>
  <si>
    <t xml:space="preserve">Document risk against credit risk</t>
  </si>
  <si>
    <t xml:space="preserve">Exposure period measured</t>
  </si>
  <si>
    <t xml:space="preserve">Probability refused AND the applicant does not waive</t>
  </si>
  <si>
    <t xml:space="preserve">The document risk as a multiple of the bank and country risk</t>
  </si>
  <si>
    <t xml:space="preserve">Cost of that delay</t>
  </si>
  <si>
    <t xml:space="preserve">Expected loss attributed to bank and country</t>
  </si>
  <si>
    <t xml:space="preserve">Expected loss attributed to documents</t>
  </si>
  <si>
    <t xml:space="preserve">The bank and country loss as a multiple of the document loss</t>
  </si>
  <si>
    <t xml:space="preserve">Confirmed period on 90-day terms, days</t>
  </si>
  <si>
    <t xml:space="preserve">Confirmation fee at 1.85 per cent a year</t>
  </si>
  <si>
    <t xml:space="preserve">Expected loss removed over those same 125 days</t>
  </si>
  <si>
    <t xml:space="preserve">BREAK-EVEN issuing-bank one-year probability of default</t>
  </si>
  <si>
    <t xml:space="preserve">Proof: expected loss at the break-even equals the fee</t>
  </si>
  <si>
    <t xml:space="preserve">30,813 less 1,652, which belongs to neither figure</t>
  </si>
  <si>
    <t xml:space="preserve">The gap between that difference and the 28,166</t>
  </si>
  <si>
    <t xml:space="preserve">Confirmation rate sensitivity, at 120-day terms</t>
  </si>
  <si>
    <t xml:space="preserve">0.00 per cent: confirmation charged, the minimum biting</t>
  </si>
  <si>
    <t xml:space="preserve">0.00 per cent: expected loss, unchanged and documents-only</t>
  </si>
  <si>
    <t xml:space="preserve">0.00 per cent: total cost</t>
  </si>
  <si>
    <t xml:space="preserve">0.00 per cent: margin after finance</t>
  </si>
  <si>
    <t xml:space="preserve">0.00 per cent: effective cost a year</t>
  </si>
  <si>
    <t xml:space="preserve">1.00 per cent: total cost</t>
  </si>
  <si>
    <t xml:space="preserve">1.00 per cent: margin after finance</t>
  </si>
  <si>
    <t xml:space="preserve">1.00 per cent: effective cost a year</t>
  </si>
  <si>
    <t xml:space="preserve">1.85 per cent: total cost</t>
  </si>
  <si>
    <t xml:space="preserve">1.85 per cent: margin after finance</t>
  </si>
  <si>
    <t xml:space="preserve">1.85 per cent: margin per cent</t>
  </si>
  <si>
    <t xml:space="preserve">1.85 per cent: days to cash</t>
  </si>
  <si>
    <t xml:space="preserve">1.85 per cent: effective cost a year</t>
  </si>
  <si>
    <t xml:space="preserve">3.00 per cent: total cost</t>
  </si>
  <si>
    <t xml:space="preserve">3.00 per cent: margin after finance</t>
  </si>
  <si>
    <t xml:space="preserve">3.00 per cent: effective cost a year</t>
  </si>
  <si>
    <t xml:space="preserve">4.50 per cent: total cost</t>
  </si>
  <si>
    <t xml:space="preserve">4.50 per cent: margin after finance</t>
  </si>
  <si>
    <t xml:space="preserve">4.50 per cent: effective cost a year</t>
  </si>
  <si>
    <t xml:space="preserve">Span of the table</t>
  </si>
  <si>
    <t xml:space="preserve">IDENTITY at 0.00 per cent: margin equals 306,600 less total cost</t>
  </si>
  <si>
    <t xml:space="preserve">IDENTITY at 1.85 per cent: margin equals 306,600 less total cost</t>
  </si>
  <si>
    <t xml:space="preserve">IDENTITY at 4.50 per cent: margin equals 306,600 less total cost</t>
  </si>
  <si>
    <t xml:space="preserve">Checks run</t>
  </si>
  <si>
    <t xml:space="preserve">PASS</t>
  </si>
  <si>
    <t xml:space="preserve">FAIL</t>
  </si>
  <si>
    <t xml:space="preserve">The identity rows are the strongest test here: the margin after finance is built on the Three Credits sheet from the whole profit and loss, and tested against 306,600 less the total cost. They disagree the moment a line is double counted or dropped.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</si>
</sst>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%"/>
    <numFmt numFmtId="167" formatCode="0.0000%"/>
    <numFmt numFmtId="168" formatCode="#,##0.0"/>
    <numFmt numFmtId="169" formatCode="#,##0.00"/>
    <numFmt numFmtId="170" formatCode="0.00%"/>
    <numFmt numFmtId="171" formatCode="#,##0.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83A"/>
      <name val="Calibri"/>
      <family val="0"/>
      <charset val="1"/>
    </font>
    <font>
      <b val="true"/>
      <sz val="11"/>
      <color rgb="FF14283A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0000CC"/>
      <name val="Calibri"/>
      <family val="0"/>
      <charset val="1"/>
    </font>
    <font>
      <sz val="9"/>
      <color rgb="FF666666"/>
      <name val="Calibri"/>
      <family val="0"/>
      <charset val="1"/>
    </font>
    <font>
      <b val="true"/>
      <sz val="10"/>
      <color rgb="FF8A3A00"/>
      <name val="Calibri"/>
      <family val="0"/>
      <charset val="1"/>
    </font>
    <font>
      <sz val="10"/>
      <color rgb="FF8A3A00"/>
      <name val="Calibri"/>
      <family val="0"/>
      <charset val="1"/>
    </font>
    <font>
      <sz val="10"/>
      <color rgb="FF0066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BBBBB"/>
      </bottom>
      <diagonal/>
    </border>
    <border diagonalUp="false" diagonalDown="false">
      <left/>
      <right/>
      <top style="thin">
        <color rgb="FF333333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4283A"/>
      <rgbColor rgb="FF339966"/>
      <rgbColor rgb="FF003300"/>
      <rgbColor rgb="FF333300"/>
      <rgbColor rgb="FF8A3A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5"/>
  </cols>
  <sheetData>
    <row r="2" customFormat="false" ht="17.3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2" t="s">
        <v>3</v>
      </c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15" hidden="false" customHeight="fals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/>
    </row>
    <row r="22" customFormat="false" ht="15" hidden="false" customHeight="false" outlineLevel="0" collapsed="false">
      <c r="B22" s="2" t="s">
        <v>16</v>
      </c>
    </row>
    <row r="23" customFormat="false" ht="15" hidden="false" customHeight="false" outlineLevel="0" collapsed="false">
      <c r="B23" s="3" t="s">
        <v>17</v>
      </c>
    </row>
    <row r="24" customFormat="false" ht="15" hidden="false" customHeight="false" outlineLevel="0" collapsed="false">
      <c r="B24" s="3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3" t="s">
        <v>20</v>
      </c>
    </row>
    <row r="27" customFormat="false" ht="15" hidden="false" customHeight="false" outlineLevel="0" collapsed="false">
      <c r="B27" s="3" t="s">
        <v>21</v>
      </c>
    </row>
    <row r="28" customFormat="false" ht="15" hidden="false" customHeight="false" outlineLevel="0" collapsed="false">
      <c r="B28" s="3" t="s">
        <v>22</v>
      </c>
    </row>
    <row r="29" customFormat="false" ht="15" hidden="false" customHeight="false" outlineLevel="0" collapsed="false">
      <c r="B29" s="3"/>
    </row>
    <row r="30" customFormat="false" ht="15" hidden="false" customHeight="false" outlineLevel="0" collapsed="false">
      <c r="B30" s="2" t="s">
        <v>23</v>
      </c>
    </row>
    <row r="31" customFormat="false" ht="15" hidden="false" customHeight="false" outlineLevel="0" collapsed="false">
      <c r="B31" s="3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3" t="s">
        <v>26</v>
      </c>
    </row>
    <row r="34" customFormat="false" ht="15" hidden="false" customHeight="false" outlineLevel="0" collapsed="false">
      <c r="B34" s="3" t="s">
        <v>27</v>
      </c>
    </row>
    <row r="35" customFormat="false" ht="15" hidden="false" customHeight="false" outlineLevel="0" collapsed="false">
      <c r="B35" s="3" t="s">
        <v>28</v>
      </c>
    </row>
    <row r="36" customFormat="false" ht="15" hidden="false" customHeight="false" outlineLevel="0" collapsed="false">
      <c r="B36" s="3" t="s">
        <v>29</v>
      </c>
    </row>
    <row r="37" customFormat="false" ht="15" hidden="false" customHeight="false" outlineLevel="0" collapsed="false">
      <c r="B37" s="3"/>
    </row>
    <row r="38" customFormat="false" ht="15" hidden="false" customHeight="false" outlineLevel="0" collapsed="false">
      <c r="B38" s="3" t="s">
        <v>30</v>
      </c>
    </row>
    <row r="39" customFormat="false" ht="15" hidden="false" customHeight="false" outlineLevel="0" collapsed="false">
      <c r="B39" s="3" t="s">
        <v>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4" min="4" style="0" width="70"/>
  </cols>
  <sheetData>
    <row r="2" customFormat="false" ht="17.35" hidden="false" customHeight="false" outlineLevel="0" collapsed="false">
      <c r="B2" s="1" t="s">
        <v>32</v>
      </c>
    </row>
    <row r="3" customFormat="false" ht="15" hidden="false" customHeight="false" outlineLevel="0" collapsed="false">
      <c r="B3" s="3" t="s">
        <v>33</v>
      </c>
    </row>
    <row r="4" customFormat="false" ht="15" hidden="false" customHeight="false" outlineLevel="0" collapsed="false">
      <c r="C4" s="4" t="s">
        <v>34</v>
      </c>
      <c r="D4" s="4" t="s">
        <v>35</v>
      </c>
    </row>
    <row r="5" customFormat="false" ht="15" hidden="false" customHeight="false" outlineLevel="0" collapsed="false">
      <c r="B5" s="5" t="s">
        <v>36</v>
      </c>
      <c r="C5" s="6"/>
      <c r="D5" s="6"/>
      <c r="E5" s="6"/>
    </row>
    <row r="6" customFormat="false" ht="15" hidden="false" customHeight="false" outlineLevel="0" collapsed="false">
      <c r="B6" s="3" t="s">
        <v>37</v>
      </c>
      <c r="C6" s="7" t="n">
        <v>4200000</v>
      </c>
      <c r="D6" s="8" t="s">
        <v>38</v>
      </c>
    </row>
    <row r="7" customFormat="false" ht="15" hidden="false" customHeight="false" outlineLevel="0" collapsed="false">
      <c r="B7" s="3" t="s">
        <v>39</v>
      </c>
      <c r="C7" s="9" t="n">
        <v>0.815</v>
      </c>
      <c r="D7" s="8" t="s">
        <v>40</v>
      </c>
    </row>
    <row r="8" customFormat="false" ht="15" hidden="false" customHeight="false" outlineLevel="0" collapsed="false">
      <c r="B8" s="3" t="s">
        <v>41</v>
      </c>
      <c r="C8" s="9" t="n">
        <v>0.112</v>
      </c>
    </row>
    <row r="9" customFormat="false" ht="15" hidden="false" customHeight="false" outlineLevel="0" collapsed="false">
      <c r="B9" s="3" t="s">
        <v>42</v>
      </c>
      <c r="C9" s="10" t="n">
        <v>0.084</v>
      </c>
      <c r="D9" s="8" t="s">
        <v>43</v>
      </c>
    </row>
    <row r="11" customFormat="false" ht="15" hidden="false" customHeight="false" outlineLevel="0" collapsed="false">
      <c r="B11" s="5" t="s">
        <v>44</v>
      </c>
      <c r="C11" s="6"/>
      <c r="D11" s="6"/>
      <c r="E11" s="6"/>
    </row>
    <row r="12" customFormat="false" ht="15" hidden="false" customHeight="false" outlineLevel="0" collapsed="false">
      <c r="B12" s="3" t="s">
        <v>45</v>
      </c>
      <c r="C12" s="7" t="n">
        <v>70</v>
      </c>
      <c r="D12" s="8" t="s">
        <v>46</v>
      </c>
    </row>
    <row r="13" customFormat="false" ht="15" hidden="false" customHeight="false" outlineLevel="0" collapsed="false">
      <c r="B13" s="3" t="s">
        <v>47</v>
      </c>
      <c r="C13" s="7" t="n">
        <v>26</v>
      </c>
    </row>
    <row r="14" customFormat="false" ht="15" hidden="false" customHeight="false" outlineLevel="0" collapsed="false">
      <c r="B14" s="3" t="s">
        <v>48</v>
      </c>
      <c r="C14" s="7" t="n">
        <v>9</v>
      </c>
    </row>
    <row r="15" customFormat="false" ht="15" hidden="false" customHeight="false" outlineLevel="0" collapsed="false">
      <c r="B15" s="3" t="s">
        <v>49</v>
      </c>
      <c r="C15" s="7" t="n">
        <v>5</v>
      </c>
      <c r="D15" s="8" t="s">
        <v>50</v>
      </c>
    </row>
    <row r="16" customFormat="false" ht="15" hidden="false" customHeight="false" outlineLevel="0" collapsed="false">
      <c r="B16" s="3" t="s">
        <v>51</v>
      </c>
      <c r="C16" s="7" t="n">
        <v>90</v>
      </c>
      <c r="D16" s="8" t="s">
        <v>52</v>
      </c>
    </row>
    <row r="17" customFormat="false" ht="15" hidden="false" customHeight="false" outlineLevel="0" collapsed="false">
      <c r="B17" s="3" t="s">
        <v>53</v>
      </c>
      <c r="C17" s="7" t="n">
        <v>120</v>
      </c>
      <c r="D17" s="8" t="s">
        <v>54</v>
      </c>
    </row>
    <row r="19" customFormat="false" ht="15" hidden="false" customHeight="false" outlineLevel="0" collapsed="false">
      <c r="B19" s="5" t="s">
        <v>55</v>
      </c>
      <c r="C19" s="6"/>
      <c r="D19" s="6"/>
      <c r="E19" s="6"/>
    </row>
    <row r="20" customFormat="false" ht="15" hidden="false" customHeight="false" outlineLevel="0" collapsed="false">
      <c r="B20" s="3" t="s">
        <v>56</v>
      </c>
      <c r="C20" s="7" t="n">
        <v>350</v>
      </c>
    </row>
    <row r="21" customFormat="false" ht="15" hidden="false" customHeight="false" outlineLevel="0" collapsed="false">
      <c r="B21" s="3" t="s">
        <v>57</v>
      </c>
      <c r="C21" s="10" t="n">
        <v>0.00125</v>
      </c>
    </row>
    <row r="22" customFormat="false" ht="15" hidden="false" customHeight="false" outlineLevel="0" collapsed="false">
      <c r="B22" s="3" t="s">
        <v>58</v>
      </c>
      <c r="C22" s="7" t="n">
        <v>425</v>
      </c>
      <c r="D22" s="8" t="s">
        <v>59</v>
      </c>
    </row>
    <row r="23" customFormat="false" ht="15" hidden="false" customHeight="false" outlineLevel="0" collapsed="false">
      <c r="B23" s="3" t="s">
        <v>60</v>
      </c>
      <c r="C23" s="10" t="n">
        <v>0.0185</v>
      </c>
      <c r="D23" s="8" t="s">
        <v>61</v>
      </c>
    </row>
    <row r="24" customFormat="false" ht="15" hidden="false" customHeight="false" outlineLevel="0" collapsed="false">
      <c r="B24" s="3" t="s">
        <v>62</v>
      </c>
      <c r="C24" s="7" t="n">
        <v>1500</v>
      </c>
      <c r="D24" s="8" t="s">
        <v>63</v>
      </c>
    </row>
    <row r="25" customFormat="false" ht="15" hidden="false" customHeight="false" outlineLevel="0" collapsed="false">
      <c r="B25" s="3" t="s">
        <v>64</v>
      </c>
      <c r="C25" s="10" t="n">
        <v>0.069</v>
      </c>
      <c r="D25" s="8" t="s">
        <v>65</v>
      </c>
    </row>
    <row r="26" customFormat="false" ht="15" hidden="false" customHeight="false" outlineLevel="0" collapsed="false">
      <c r="B26" s="3" t="s">
        <v>66</v>
      </c>
      <c r="C26" s="7" t="n">
        <v>1180</v>
      </c>
    </row>
    <row r="27" customFormat="false" ht="15" hidden="false" customHeight="false" outlineLevel="0" collapsed="false">
      <c r="B27" s="3" t="s">
        <v>67</v>
      </c>
      <c r="C27" s="7" t="n">
        <v>240</v>
      </c>
    </row>
    <row r="29" customFormat="false" ht="15" hidden="false" customHeight="false" outlineLevel="0" collapsed="false">
      <c r="B29" s="5" t="s">
        <v>68</v>
      </c>
      <c r="C29" s="6"/>
      <c r="D29" s="6"/>
      <c r="E29" s="6"/>
    </row>
    <row r="30" customFormat="false" ht="15" hidden="false" customHeight="false" outlineLevel="0" collapsed="false">
      <c r="B30" s="3" t="s">
        <v>69</v>
      </c>
      <c r="C30" s="10" t="n">
        <v>0.041</v>
      </c>
    </row>
    <row r="31" customFormat="false" ht="15" hidden="false" customHeight="false" outlineLevel="0" collapsed="false">
      <c r="B31" s="3" t="s">
        <v>70</v>
      </c>
      <c r="C31" s="9" t="n">
        <v>0.62</v>
      </c>
    </row>
    <row r="32" customFormat="false" ht="15" hidden="false" customHeight="false" outlineLevel="0" collapsed="false">
      <c r="B32" s="3" t="s">
        <v>71</v>
      </c>
      <c r="C32" s="11" t="n">
        <v>0.0135</v>
      </c>
      <c r="D32" s="8" t="s">
        <v>72</v>
      </c>
    </row>
    <row r="33" customFormat="false" ht="15" hidden="false" customHeight="false" outlineLevel="0" collapsed="false">
      <c r="B33" s="3" t="s">
        <v>73</v>
      </c>
      <c r="C33" s="10" t="n">
        <v>0.018</v>
      </c>
    </row>
    <row r="35" customFormat="false" ht="15" hidden="false" customHeight="false" outlineLevel="0" collapsed="false">
      <c r="B35" s="5" t="s">
        <v>74</v>
      </c>
      <c r="C35" s="6"/>
      <c r="D35" s="6"/>
      <c r="E35" s="6"/>
    </row>
    <row r="36" customFormat="false" ht="15" hidden="false" customHeight="false" outlineLevel="0" collapsed="false">
      <c r="B36" s="3" t="s">
        <v>75</v>
      </c>
      <c r="C36" s="12" t="n">
        <v>0.62</v>
      </c>
      <c r="D36" s="8" t="s">
        <v>76</v>
      </c>
    </row>
    <row r="37" customFormat="false" ht="15" hidden="false" customHeight="false" outlineLevel="0" collapsed="false">
      <c r="B37" s="3" t="s">
        <v>77</v>
      </c>
      <c r="C37" s="12" t="n">
        <v>0.94</v>
      </c>
      <c r="D37" s="8" t="s">
        <v>78</v>
      </c>
    </row>
    <row r="38" customFormat="false" ht="15" hidden="false" customHeight="false" outlineLevel="0" collapsed="false">
      <c r="B38" s="3" t="s">
        <v>79</v>
      </c>
      <c r="C38" s="7" t="n">
        <v>11</v>
      </c>
    </row>
    <row r="39" customFormat="false" ht="15" hidden="false" customHeight="false" outlineLevel="0" collapsed="false">
      <c r="B39" s="3" t="s">
        <v>80</v>
      </c>
      <c r="C39" s="13" t="n">
        <v>1</v>
      </c>
    </row>
    <row r="40" customFormat="false" ht="15" hidden="false" customHeight="false" outlineLevel="0" collapsed="false">
      <c r="B40" s="3" t="s">
        <v>81</v>
      </c>
      <c r="C40" s="7" t="n">
        <v>60</v>
      </c>
      <c r="D40" s="8" t="s">
        <v>82</v>
      </c>
    </row>
    <row r="42" customFormat="false" ht="15" hidden="false" customHeight="false" outlineLevel="0" collapsed="false">
      <c r="B42" s="5" t="s">
        <v>83</v>
      </c>
      <c r="C42" s="6"/>
      <c r="D42" s="6"/>
      <c r="E42" s="6"/>
    </row>
    <row r="43" customFormat="false" ht="15" hidden="false" customHeight="false" outlineLevel="0" collapsed="false">
      <c r="B43" s="3" t="s">
        <v>84</v>
      </c>
      <c r="C43" s="10" t="n">
        <v>0</v>
      </c>
      <c r="D43" s="8" t="s">
        <v>85</v>
      </c>
    </row>
    <row r="44" customFormat="false" ht="15" hidden="false" customHeight="false" outlineLevel="0" collapsed="false">
      <c r="B44" s="3" t="s">
        <v>86</v>
      </c>
      <c r="C44" s="10" t="n">
        <v>0.01</v>
      </c>
    </row>
    <row r="45" customFormat="false" ht="15" hidden="false" customHeight="false" outlineLevel="0" collapsed="false">
      <c r="B45" s="3" t="s">
        <v>87</v>
      </c>
      <c r="C45" s="10" t="n">
        <v>0.03</v>
      </c>
      <c r="D45" s="8" t="s">
        <v>88</v>
      </c>
    </row>
    <row r="46" customFormat="false" ht="15" hidden="false" customHeight="false" outlineLevel="0" collapsed="false">
      <c r="B46" s="3" t="s">
        <v>89</v>
      </c>
      <c r="C46" s="10" t="n">
        <v>0.045</v>
      </c>
    </row>
    <row r="48" customFormat="false" ht="15" hidden="false" customHeight="false" outlineLevel="0" collapsed="false">
      <c r="B48" s="5" t="s">
        <v>16</v>
      </c>
      <c r="C48" s="6"/>
      <c r="D48" s="6"/>
      <c r="E48" s="6"/>
    </row>
    <row r="49" customFormat="false" ht="15" hidden="false" customHeight="false" outlineLevel="0" collapsed="false">
      <c r="B49" s="3" t="s">
        <v>90</v>
      </c>
      <c r="C49" s="7" t="n">
        <v>360</v>
      </c>
      <c r="D49" s="8" t="s">
        <v>91</v>
      </c>
    </row>
    <row r="50" customFormat="false" ht="15" hidden="false" customHeight="false" outlineLevel="0" collapsed="false">
      <c r="B50" s="3" t="s">
        <v>92</v>
      </c>
      <c r="C50" s="7" t="n">
        <v>365</v>
      </c>
      <c r="D50" s="8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6"/>
    <col collapsed="false" customWidth="true" hidden="false" outlineLevel="0" max="4" min="4" style="0" width="62"/>
  </cols>
  <sheetData>
    <row r="2" customFormat="false" ht="17.35" hidden="false" customHeight="false" outlineLevel="0" collapsed="false">
      <c r="B2" s="1" t="s">
        <v>94</v>
      </c>
    </row>
    <row r="3" customFormat="false" ht="15" hidden="false" customHeight="false" outlineLevel="0" collapsed="false">
      <c r="B3" s="3" t="s">
        <v>95</v>
      </c>
    </row>
    <row r="5" customFormat="false" ht="15" hidden="false" customHeight="false" outlineLevel="0" collapsed="false">
      <c r="B5" s="5" t="s">
        <v>96</v>
      </c>
      <c r="C5" s="6"/>
      <c r="D5" s="6"/>
      <c r="E5" s="6"/>
    </row>
    <row r="6" customFormat="false" ht="15" hidden="false" customHeight="false" outlineLevel="0" collapsed="false">
      <c r="B6" s="3" t="s">
        <v>56</v>
      </c>
      <c r="C6" s="14" t="n">
        <f aca="false">Inputs!$C$20</f>
        <v>350</v>
      </c>
    </row>
    <row r="7" customFormat="false" ht="15" hidden="false" customHeight="false" outlineLevel="0" collapsed="false">
      <c r="B7" s="3" t="s">
        <v>97</v>
      </c>
      <c r="C7" s="14" t="n">
        <f aca="false">Inputs!$C$6*Inputs!$C$21</f>
        <v>5250</v>
      </c>
    </row>
    <row r="8" customFormat="false" ht="15" hidden="false" customHeight="false" outlineLevel="0" collapsed="false">
      <c r="B8" s="3" t="s">
        <v>98</v>
      </c>
      <c r="C8" s="14" t="n">
        <f aca="false">Inputs!$C$22</f>
        <v>425</v>
      </c>
    </row>
    <row r="9" customFormat="false" ht="15" hidden="false" customHeight="false" outlineLevel="0" collapsed="false">
      <c r="B9" s="3" t="s">
        <v>99</v>
      </c>
      <c r="C9" s="14" t="n">
        <f aca="false">MAX(C7,C8)</f>
        <v>5250</v>
      </c>
      <c r="D9" s="8" t="s">
        <v>100</v>
      </c>
    </row>
    <row r="10" customFormat="false" ht="15" hidden="false" customHeight="false" outlineLevel="0" collapsed="false">
      <c r="B10" s="3" t="s">
        <v>66</v>
      </c>
      <c r="C10" s="14" t="n">
        <f aca="false">Inputs!$C$26</f>
        <v>1180</v>
      </c>
    </row>
    <row r="11" customFormat="false" ht="15" hidden="false" customHeight="false" outlineLevel="0" collapsed="false">
      <c r="B11" s="3" t="s">
        <v>101</v>
      </c>
      <c r="C11" s="14" t="n">
        <f aca="false">Inputs!$C$27</f>
        <v>240</v>
      </c>
      <c r="D11" s="8" t="s">
        <v>102</v>
      </c>
    </row>
    <row r="12" customFormat="false" ht="15" hidden="false" customHeight="false" outlineLevel="0" collapsed="false">
      <c r="B12" s="15" t="s">
        <v>103</v>
      </c>
      <c r="C12" s="16" t="n">
        <f aca="false">C6+C9+C10+C11</f>
        <v>7020</v>
      </c>
    </row>
    <row r="14" customFormat="false" ht="15" hidden="false" customHeight="false" outlineLevel="0" collapsed="false">
      <c r="B14" s="5" t="s">
        <v>104</v>
      </c>
      <c r="C14" s="6"/>
      <c r="D14" s="6"/>
      <c r="E14" s="6"/>
    </row>
    <row r="15" customFormat="false" ht="15" hidden="false" customHeight="false" outlineLevel="0" collapsed="false">
      <c r="B15" s="3" t="s">
        <v>105</v>
      </c>
      <c r="C15" s="14" t="n">
        <f aca="false">Inputs!$C$16+Inputs!$C$13+Inputs!$C$14</f>
        <v>125</v>
      </c>
      <c r="D15" s="8" t="s">
        <v>106</v>
      </c>
    </row>
    <row r="16" customFormat="false" ht="15" hidden="false" customHeight="false" outlineLevel="0" collapsed="false">
      <c r="B16" s="3" t="s">
        <v>107</v>
      </c>
      <c r="C16" s="14" t="n">
        <f aca="false">Inputs!$C$6*Inputs!$C$23*C15/Inputs!$C$49</f>
        <v>26979.1666666667</v>
      </c>
    </row>
    <row r="17" customFormat="false" ht="15" hidden="false" customHeight="false" outlineLevel="0" collapsed="false">
      <c r="B17" s="3" t="s">
        <v>108</v>
      </c>
      <c r="C17" s="14" t="n">
        <f aca="false">Inputs!$C$24</f>
        <v>1500</v>
      </c>
    </row>
    <row r="18" customFormat="false" ht="15" hidden="false" customHeight="false" outlineLevel="0" collapsed="false">
      <c r="B18" s="3" t="s">
        <v>109</v>
      </c>
      <c r="C18" s="14" t="n">
        <f aca="false">MAX(C16,C17)</f>
        <v>26979.1666666667</v>
      </c>
    </row>
    <row r="19" customFormat="false" ht="15" hidden="false" customHeight="false" outlineLevel="0" collapsed="false">
      <c r="B19" s="15" t="s">
        <v>110</v>
      </c>
      <c r="C19" s="16" t="n">
        <f aca="false">C12+C18</f>
        <v>33999.1666666667</v>
      </c>
    </row>
    <row r="21" customFormat="false" ht="15" hidden="false" customHeight="false" outlineLevel="0" collapsed="false">
      <c r="B21" s="5" t="s">
        <v>111</v>
      </c>
      <c r="C21" s="6"/>
      <c r="D21" s="6"/>
      <c r="E21" s="6"/>
    </row>
    <row r="22" customFormat="false" ht="15" hidden="false" customHeight="false" outlineLevel="0" collapsed="false">
      <c r="B22" s="3" t="s">
        <v>112</v>
      </c>
      <c r="C22" s="14" t="n">
        <f aca="false">Inputs!$C$16</f>
        <v>90</v>
      </c>
    </row>
    <row r="23" customFormat="false" ht="15" hidden="false" customHeight="false" outlineLevel="0" collapsed="false">
      <c r="B23" s="3" t="s">
        <v>113</v>
      </c>
      <c r="C23" s="14" t="n">
        <f aca="false">Inputs!$C$6*Inputs!$C$25*C22/Inputs!$C$49</f>
        <v>72450</v>
      </c>
      <c r="D23" s="8" t="s">
        <v>114</v>
      </c>
    </row>
    <row r="24" customFormat="false" ht="15" hidden="false" customHeight="false" outlineLevel="0" collapsed="false">
      <c r="B24" s="3" t="s">
        <v>115</v>
      </c>
      <c r="C24" s="14" t="n">
        <f aca="false">Inputs!$C$6-C23</f>
        <v>4127550</v>
      </c>
    </row>
    <row r="25" customFormat="false" ht="15" hidden="false" customHeight="false" outlineLevel="0" collapsed="false">
      <c r="B25" s="3" t="s">
        <v>116</v>
      </c>
      <c r="C25" s="17" t="n">
        <f aca="false">(C23/C24)*(Inputs!$C$49/C22)</f>
        <v>0.0702111422030018</v>
      </c>
      <c r="D25" s="8" t="s">
        <v>117</v>
      </c>
    </row>
    <row r="26" customFormat="false" ht="15" hidden="false" customHeight="false" outlineLevel="0" collapsed="false">
      <c r="B26" s="3" t="s">
        <v>118</v>
      </c>
      <c r="C26" s="18" t="n">
        <f aca="false">(C25-Inputs!$C$25)*10000</f>
        <v>12.1114220300178</v>
      </c>
      <c r="D26" s="8" t="s">
        <v>119</v>
      </c>
    </row>
    <row r="27" customFormat="false" ht="15" hidden="false" customHeight="false" outlineLevel="0" collapsed="false">
      <c r="B27" s="15" t="s">
        <v>120</v>
      </c>
      <c r="C27" s="16" t="n">
        <f aca="false">C19+C23</f>
        <v>106449.166666667</v>
      </c>
    </row>
    <row r="29" customFormat="false" ht="15" hidden="false" customHeight="false" outlineLevel="0" collapsed="false">
      <c r="B29" s="5" t="s">
        <v>121</v>
      </c>
      <c r="C29" s="6"/>
      <c r="D29" s="6"/>
      <c r="E29" s="6"/>
    </row>
    <row r="30" customFormat="false" ht="15" hidden="false" customHeight="false" outlineLevel="0" collapsed="false">
      <c r="B30" s="3" t="s">
        <v>37</v>
      </c>
      <c r="C30" s="14" t="n">
        <f aca="false">Inputs!$C$6</f>
        <v>4200000</v>
      </c>
    </row>
    <row r="31" customFormat="false" ht="15" hidden="false" customHeight="false" outlineLevel="0" collapsed="false">
      <c r="B31" s="3" t="s">
        <v>122</v>
      </c>
      <c r="C31" s="17" t="n">
        <f aca="false">C12/C30</f>
        <v>0.00167142857142857</v>
      </c>
    </row>
    <row r="32" customFormat="false" ht="15" hidden="false" customHeight="false" outlineLevel="0" collapsed="false">
      <c r="B32" s="3" t="s">
        <v>123</v>
      </c>
      <c r="C32" s="19" t="n">
        <f aca="false">C12/'Three Credits'!C43</f>
        <v>0.0626285643222103</v>
      </c>
    </row>
    <row r="33" customFormat="false" ht="15" hidden="false" customHeight="false" outlineLevel="0" collapsed="false">
      <c r="B33" s="3" t="s">
        <v>124</v>
      </c>
      <c r="C33" s="19" t="n">
        <f aca="false">'Three Credits'!C27/'Three Credits'!C43</f>
        <v>0.832407971189049</v>
      </c>
      <c r="D33" s="8" t="s">
        <v>125</v>
      </c>
    </row>
    <row r="34" customFormat="false" ht="15" hidden="false" customHeight="false" outlineLevel="0" collapsed="false">
      <c r="B34" s="3" t="s">
        <v>126</v>
      </c>
      <c r="C34" s="19" t="n">
        <f aca="false">'Three Credits'!C40/'Three Credits'!C43</f>
        <v>0.104963464488741</v>
      </c>
    </row>
    <row r="35" customFormat="false" ht="15" hidden="false" customHeight="false" outlineLevel="0" collapsed="false">
      <c r="B35" s="15" t="s">
        <v>127</v>
      </c>
      <c r="C35" s="20" t="n">
        <f aca="false">C32+C33+C34</f>
        <v>1</v>
      </c>
    </row>
    <row r="37" customFormat="false" ht="15" hidden="false" customHeight="false" outlineLevel="0" collapsed="false">
      <c r="B37" s="3" t="s">
        <v>128</v>
      </c>
      <c r="C37" s="19" t="n">
        <f aca="false">'The Fee Schedule'!C19/'Three Credits'!E43</f>
        <v>0.168809421836723</v>
      </c>
    </row>
    <row r="38" customFormat="false" ht="15" hidden="false" customHeight="false" outlineLevel="0" collapsed="false">
      <c r="B38" s="3" t="s">
        <v>129</v>
      </c>
      <c r="C38" s="19" t="n">
        <f aca="false">C23/'Three Credits'!E43</f>
        <v>0.359721834713711</v>
      </c>
      <c r="D38" s="8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5" min="3" style="0" width="17"/>
    <col collapsed="false" customWidth="true" hidden="false" outlineLevel="0" max="6" min="6" style="0" width="54"/>
  </cols>
  <sheetData>
    <row r="2" customFormat="false" ht="17.35" hidden="false" customHeight="false" outlineLevel="0" collapsed="false">
      <c r="B2" s="1" t="s">
        <v>131</v>
      </c>
    </row>
    <row r="3" customFormat="false" ht="15" hidden="false" customHeight="false" outlineLevel="0" collapsed="false">
      <c r="B3" s="3" t="s">
        <v>132</v>
      </c>
    </row>
    <row r="5" customFormat="false" ht="15" hidden="false" customHeight="false" outlineLevel="0" collapsed="false">
      <c r="B5" s="5" t="s">
        <v>133</v>
      </c>
      <c r="C5" s="6"/>
      <c r="D5" s="6"/>
      <c r="E5" s="6"/>
      <c r="F5" s="6"/>
    </row>
    <row r="6" customFormat="false" ht="15" hidden="false" customHeight="false" outlineLevel="0" collapsed="false">
      <c r="B6" s="3" t="s">
        <v>37</v>
      </c>
      <c r="C6" s="14" t="n">
        <f aca="false">Inputs!$C$6</f>
        <v>4200000</v>
      </c>
    </row>
    <row r="7" customFormat="false" ht="15" hidden="false" customHeight="false" outlineLevel="0" collapsed="false">
      <c r="B7" s="3" t="s">
        <v>134</v>
      </c>
      <c r="C7" s="14" t="n">
        <f aca="false">Inputs!$C$6*Inputs!$C$7</f>
        <v>3423000</v>
      </c>
      <c r="F7" s="8" t="s">
        <v>135</v>
      </c>
    </row>
    <row r="8" customFormat="false" ht="15" hidden="false" customHeight="false" outlineLevel="0" collapsed="false">
      <c r="B8" s="15" t="s">
        <v>136</v>
      </c>
      <c r="C8" s="16" t="n">
        <f aca="false">C6-C7</f>
        <v>777000</v>
      </c>
    </row>
    <row r="9" customFormat="false" ht="15" hidden="false" customHeight="false" outlineLevel="0" collapsed="false">
      <c r="B9" s="3" t="s">
        <v>137</v>
      </c>
      <c r="C9" s="14" t="n">
        <f aca="false">Inputs!$C$6*Inputs!$C$8</f>
        <v>470400</v>
      </c>
    </row>
    <row r="10" customFormat="false" ht="15" hidden="false" customHeight="false" outlineLevel="0" collapsed="false">
      <c r="B10" s="15" t="s">
        <v>138</v>
      </c>
      <c r="C10" s="16" t="n">
        <f aca="false">C8-C9</f>
        <v>306600</v>
      </c>
      <c r="F10" s="8" t="s">
        <v>139</v>
      </c>
    </row>
    <row r="12" customFormat="false" ht="42" hidden="false" customHeight="true" outlineLevel="0" collapsed="false">
      <c r="B12" s="4" t="s">
        <v>140</v>
      </c>
      <c r="C12" s="21" t="s">
        <v>141</v>
      </c>
      <c r="D12" s="21" t="s">
        <v>142</v>
      </c>
      <c r="E12" s="21" t="s">
        <v>143</v>
      </c>
    </row>
    <row r="13" customFormat="false" ht="15" hidden="false" customHeight="false" outlineLevel="0" collapsed="false">
      <c r="B13" s="5" t="s">
        <v>144</v>
      </c>
      <c r="C13" s="6"/>
      <c r="D13" s="6"/>
      <c r="E13" s="6"/>
      <c r="F13" s="6"/>
    </row>
    <row r="14" customFormat="false" ht="15" hidden="false" customHeight="false" outlineLevel="0" collapsed="false">
      <c r="B14" s="3" t="s">
        <v>45</v>
      </c>
      <c r="C14" s="18" t="n">
        <f aca="false">Inputs!$C$12</f>
        <v>70</v>
      </c>
      <c r="D14" s="18" t="n">
        <f aca="false">Inputs!$C$12</f>
        <v>70</v>
      </c>
      <c r="E14" s="18" t="n">
        <f aca="false">Inputs!$C$12</f>
        <v>70</v>
      </c>
    </row>
    <row r="15" customFormat="false" ht="15" hidden="false" customHeight="false" outlineLevel="0" collapsed="false">
      <c r="B15" s="3" t="s">
        <v>47</v>
      </c>
      <c r="C15" s="18" t="n">
        <f aca="false">Inputs!$C$13</f>
        <v>26</v>
      </c>
      <c r="D15" s="18" t="n">
        <f aca="false">Inputs!$C$13</f>
        <v>26</v>
      </c>
      <c r="E15" s="18" t="n">
        <f aca="false">Inputs!$C$13</f>
        <v>26</v>
      </c>
    </row>
    <row r="16" customFormat="false" ht="15" hidden="false" customHeight="false" outlineLevel="0" collapsed="false">
      <c r="B16" s="3" t="s">
        <v>48</v>
      </c>
      <c r="C16" s="18" t="n">
        <f aca="false">Inputs!$C$14</f>
        <v>9</v>
      </c>
      <c r="D16" s="18" t="n">
        <f aca="false">Inputs!$C$14</f>
        <v>9</v>
      </c>
      <c r="E16" s="18" t="n">
        <f aca="false">Inputs!$C$14</f>
        <v>9</v>
      </c>
    </row>
    <row r="17" customFormat="false" ht="15" hidden="false" customHeight="false" outlineLevel="0" collapsed="false">
      <c r="B17" s="3" t="s">
        <v>145</v>
      </c>
      <c r="C17" s="18" t="n">
        <f aca="false">Inputs!$C$15</f>
        <v>5</v>
      </c>
      <c r="D17" s="18" t="n">
        <f aca="false">Inputs!$C$15</f>
        <v>5</v>
      </c>
      <c r="E17" s="18" t="n">
        <f aca="false">Inputs!$C$15</f>
        <v>5</v>
      </c>
    </row>
    <row r="18" customFormat="false" ht="15" hidden="false" customHeight="false" outlineLevel="0" collapsed="false">
      <c r="B18" s="3" t="s">
        <v>146</v>
      </c>
      <c r="C18" s="22" t="n">
        <f aca="false">(Inputs!$C$36*Inputs!$C$39*Inputs!$C$38)</f>
        <v>6.82</v>
      </c>
      <c r="D18" s="22" t="n">
        <f aca="false">(Inputs!$C$36*Inputs!$C$39*Inputs!$C$38)</f>
        <v>6.82</v>
      </c>
      <c r="E18" s="22" t="n">
        <f aca="false">(Inputs!$C$36*Inputs!$C$39*Inputs!$C$38)</f>
        <v>6.82</v>
      </c>
      <c r="F18" s="8" t="s">
        <v>147</v>
      </c>
    </row>
    <row r="19" customFormat="false" ht="15" hidden="false" customHeight="false" outlineLevel="0" collapsed="false">
      <c r="B19" s="3" t="s">
        <v>148</v>
      </c>
      <c r="C19" s="18" t="n">
        <f aca="false">0</f>
        <v>0</v>
      </c>
      <c r="D19" s="18" t="n">
        <f aca="false">Inputs!$C$16</f>
        <v>90</v>
      </c>
      <c r="E19" s="18" t="n">
        <f aca="false">0</f>
        <v>0</v>
      </c>
      <c r="F19" s="8" t="s">
        <v>149</v>
      </c>
    </row>
    <row r="20" customFormat="false" ht="15" hidden="false" customHeight="false" outlineLevel="0" collapsed="false">
      <c r="B20" s="15" t="s">
        <v>150</v>
      </c>
      <c r="C20" s="23" t="n">
        <f aca="false">SUM(C14:C19)</f>
        <v>116.82</v>
      </c>
      <c r="D20" s="23" t="n">
        <f aca="false">SUM(D14:D19)</f>
        <v>206.82</v>
      </c>
      <c r="E20" s="23" t="n">
        <f aca="false">SUM(E14:E19)</f>
        <v>116.82</v>
      </c>
    </row>
    <row r="22" customFormat="false" ht="15" hidden="false" customHeight="false" outlineLevel="0" collapsed="false">
      <c r="B22" s="5" t="s">
        <v>151</v>
      </c>
      <c r="C22" s="6"/>
      <c r="D22" s="6"/>
      <c r="E22" s="6"/>
      <c r="F22" s="6"/>
    </row>
    <row r="23" customFormat="false" ht="15" hidden="false" customHeight="false" outlineLevel="0" collapsed="false">
      <c r="B23" s="3" t="s">
        <v>152</v>
      </c>
      <c r="C23" s="18" t="n">
        <f aca="false">C15+C16+C17+C18</f>
        <v>46.82</v>
      </c>
      <c r="D23" s="18" t="n">
        <f aca="false">D15+D16+D17+D18+D19</f>
        <v>136.82</v>
      </c>
      <c r="E23" s="18" t="n">
        <f aca="false">Inputs!$C$16+Inputs!$C$13+Inputs!$C$14</f>
        <v>125</v>
      </c>
      <c r="F23" s="8" t="s">
        <v>153</v>
      </c>
    </row>
    <row r="25" customFormat="false" ht="15" hidden="false" customHeight="false" outlineLevel="0" collapsed="false">
      <c r="B25" s="5" t="s">
        <v>154</v>
      </c>
      <c r="C25" s="6"/>
      <c r="D25" s="6"/>
      <c r="E25" s="6"/>
      <c r="F25" s="6"/>
    </row>
    <row r="26" customFormat="false" ht="15" hidden="false" customHeight="false" outlineLevel="0" collapsed="false">
      <c r="B26" s="3" t="s">
        <v>155</v>
      </c>
      <c r="C26" s="14" t="n">
        <f aca="false">Inputs!$C$6*Inputs!$C$7</f>
        <v>3423000</v>
      </c>
      <c r="D26" s="14" t="n">
        <f aca="false">Inputs!$C$6*Inputs!$C$7</f>
        <v>3423000</v>
      </c>
      <c r="E26" s="14" t="n">
        <f aca="false">Inputs!$C$6*Inputs!$C$7</f>
        <v>3423000</v>
      </c>
    </row>
    <row r="27" customFormat="false" ht="15" hidden="false" customHeight="false" outlineLevel="0" collapsed="false">
      <c r="B27" s="3" t="s">
        <v>156</v>
      </c>
      <c r="C27" s="14" t="n">
        <f aca="false">C26*Inputs!$C$9*C20/Inputs!$C$49</f>
        <v>93304.134</v>
      </c>
      <c r="D27" s="14" t="n">
        <f aca="false">D26*Inputs!$C$9*D20/Inputs!$C$49</f>
        <v>165187.134</v>
      </c>
      <c r="E27" s="14" t="n">
        <f aca="false">E26*Inputs!$C$9*E20/Inputs!$C$49</f>
        <v>93304.134</v>
      </c>
    </row>
    <row r="29" customFormat="false" ht="15" hidden="false" customHeight="false" outlineLevel="0" collapsed="false">
      <c r="B29" s="5" t="s">
        <v>157</v>
      </c>
      <c r="C29" s="6"/>
      <c r="D29" s="6"/>
      <c r="E29" s="6"/>
      <c r="F29" s="6"/>
    </row>
    <row r="30" customFormat="false" ht="15" hidden="false" customHeight="false" outlineLevel="0" collapsed="false">
      <c r="B30" s="3" t="s">
        <v>158</v>
      </c>
      <c r="C30" s="14" t="n">
        <f aca="false">'The Fee Schedule'!C12</f>
        <v>7020</v>
      </c>
      <c r="D30" s="14" t="n">
        <f aca="false">'The Fee Schedule'!C12</f>
        <v>7020</v>
      </c>
      <c r="E30" s="14" t="n">
        <f aca="false">'The Fee Schedule'!C19</f>
        <v>33999.1666666667</v>
      </c>
      <c r="F30" s="8" t="s">
        <v>159</v>
      </c>
    </row>
    <row r="31" customFormat="false" ht="15" hidden="false" customHeight="false" outlineLevel="0" collapsed="false">
      <c r="B31" s="3" t="s">
        <v>160</v>
      </c>
      <c r="C31" s="14" t="n">
        <f aca="false">0</f>
        <v>0</v>
      </c>
      <c r="D31" s="14" t="n">
        <f aca="false">0</f>
        <v>0</v>
      </c>
      <c r="E31" s="14" t="n">
        <f aca="false">'The Fee Schedule'!C23</f>
        <v>72450</v>
      </c>
      <c r="F31" s="8" t="s">
        <v>161</v>
      </c>
    </row>
    <row r="32" customFormat="false" ht="15" hidden="false" customHeight="false" outlineLevel="0" collapsed="false">
      <c r="B32" s="15" t="s">
        <v>162</v>
      </c>
      <c r="C32" s="16" t="n">
        <f aca="false">C30+C31</f>
        <v>7020</v>
      </c>
      <c r="D32" s="16" t="n">
        <f aca="false">D30+D31</f>
        <v>7020</v>
      </c>
      <c r="E32" s="16" t="n">
        <f aca="false">E30+E31</f>
        <v>106449.166666667</v>
      </c>
    </row>
    <row r="34" customFormat="false" ht="15" hidden="false" customHeight="false" outlineLevel="0" collapsed="false">
      <c r="B34" s="5" t="s">
        <v>163</v>
      </c>
      <c r="C34" s="6"/>
      <c r="D34" s="6"/>
      <c r="E34" s="6"/>
      <c r="F34" s="6"/>
    </row>
    <row r="35" customFormat="false" ht="15" hidden="false" customHeight="false" outlineLevel="0" collapsed="false">
      <c r="B35" s="3" t="s">
        <v>164</v>
      </c>
      <c r="C35" s="17" t="n">
        <f aca="false">1-((1-Inputs!$C$32)^(C23/Inputs!$C$50))*((1-Inputs!$C$33)^(C23/Inputs!$C$50))</f>
        <v>0.00406517326550049</v>
      </c>
      <c r="D35" s="17" t="n">
        <f aca="false">1-((1-Inputs!$C$32)^(D23/Inputs!$C$50))*((1-Inputs!$C$33)^(D23/Inputs!$C$50))</f>
        <v>0.0118331178271022</v>
      </c>
      <c r="E35" s="17" t="n">
        <f aca="false">0</f>
        <v>0</v>
      </c>
      <c r="F35" s="8" t="s">
        <v>165</v>
      </c>
    </row>
    <row r="36" customFormat="false" ht="15" hidden="false" customHeight="false" outlineLevel="0" collapsed="false">
      <c r="B36" s="3" t="s">
        <v>166</v>
      </c>
      <c r="C36" s="17" t="n">
        <f aca="false">Inputs!$C$36*(1-Inputs!$C$37)</f>
        <v>0.0372</v>
      </c>
      <c r="D36" s="17" t="n">
        <f aca="false">Inputs!$C$36*(1-Inputs!$C$37)</f>
        <v>0.0372</v>
      </c>
      <c r="E36" s="17" t="n">
        <f aca="false">Inputs!$C$36*(1-Inputs!$C$37)</f>
        <v>0.0372</v>
      </c>
      <c r="F36" s="8" t="s">
        <v>167</v>
      </c>
    </row>
    <row r="37" customFormat="false" ht="15" hidden="false" customHeight="false" outlineLevel="0" collapsed="false">
      <c r="B37" s="3" t="s">
        <v>168</v>
      </c>
      <c r="C37" s="17" t="n">
        <f aca="false">1-(1-Inputs!$C$30)^((C23+Inputs!$C$40)/Inputs!$C$50)</f>
        <v>0.0121771261090705</v>
      </c>
      <c r="D37" s="17" t="n">
        <f aca="false">1-(1-Inputs!$C$30)^((D23+Inputs!$C$40)/Inputs!$C$50)</f>
        <v>0.022321656535614</v>
      </c>
      <c r="E37" s="17" t="n">
        <f aca="false">1-(1-Inputs!$C$30)^((Inputs!$C$16+Inputs!$C$40)/Inputs!$C$50)</f>
        <v>0.0170573156855874</v>
      </c>
      <c r="F37" s="8" t="s">
        <v>169</v>
      </c>
    </row>
    <row r="38" customFormat="false" ht="15" hidden="false" customHeight="false" outlineLevel="0" collapsed="false">
      <c r="B38" s="3" t="s">
        <v>170</v>
      </c>
      <c r="C38" s="14" t="n">
        <f aca="false">Inputs!$C$6*C35*Inputs!$C$31</f>
        <v>10585.7111833633</v>
      </c>
      <c r="D38" s="14" t="n">
        <f aca="false">Inputs!$C$6*D35*Inputs!$C$31</f>
        <v>30813.4388217741</v>
      </c>
      <c r="E38" s="14" t="n">
        <f aca="false">Inputs!$C$6*E35*Inputs!$C$31</f>
        <v>0</v>
      </c>
    </row>
    <row r="39" customFormat="false" ht="15" hidden="false" customHeight="false" outlineLevel="0" collapsed="false">
      <c r="B39" s="3" t="s">
        <v>171</v>
      </c>
      <c r="C39" s="14" t="n">
        <f aca="false">Inputs!$C$6*C36*C37*Inputs!$C$31</f>
        <v>1179.58359363433</v>
      </c>
      <c r="D39" s="14" t="n">
        <f aca="false">Inputs!$C$6*D36*D37*Inputs!$C$31</f>
        <v>2162.27208261709</v>
      </c>
      <c r="E39" s="14" t="n">
        <f aca="false">Inputs!$C$6*E36*E37*Inputs!$C$31</f>
        <v>1652.32170168403</v>
      </c>
    </row>
    <row r="40" customFormat="false" ht="15" hidden="false" customHeight="false" outlineLevel="0" collapsed="false">
      <c r="B40" s="15" t="s">
        <v>172</v>
      </c>
      <c r="C40" s="16" t="n">
        <f aca="false">C38+C39</f>
        <v>11765.2947769976</v>
      </c>
      <c r="D40" s="16" t="n">
        <f aca="false">D38+D39</f>
        <v>32975.7109043911</v>
      </c>
      <c r="E40" s="16" t="n">
        <f aca="false">E38+E39</f>
        <v>1652.32170168403</v>
      </c>
    </row>
    <row r="42" customFormat="false" ht="15" hidden="false" customHeight="false" outlineLevel="0" collapsed="false">
      <c r="B42" s="5" t="s">
        <v>173</v>
      </c>
      <c r="C42" s="6"/>
      <c r="D42" s="6"/>
      <c r="E42" s="6"/>
      <c r="F42" s="6"/>
    </row>
    <row r="43" customFormat="false" ht="15" hidden="false" customHeight="false" outlineLevel="0" collapsed="false">
      <c r="B43" s="15" t="s">
        <v>174</v>
      </c>
      <c r="C43" s="16" t="n">
        <f aca="false">C27+C32+C40</f>
        <v>112089.428776998</v>
      </c>
      <c r="D43" s="16" t="n">
        <f aca="false">D27+D32+D40</f>
        <v>205182.844904391</v>
      </c>
      <c r="E43" s="16" t="n">
        <f aca="false">E27+E32+E40</f>
        <v>201405.622368351</v>
      </c>
    </row>
    <row r="44" customFormat="false" ht="15" hidden="false" customHeight="false" outlineLevel="0" collapsed="false">
      <c r="B44" s="3" t="s">
        <v>175</v>
      </c>
      <c r="C44" s="19" t="n">
        <f aca="false">C43/$C$10</f>
        <v>0.365588482638609</v>
      </c>
      <c r="D44" s="19" t="n">
        <f aca="false">D43/$C$10</f>
        <v>0.669219976857114</v>
      </c>
      <c r="E44" s="19" t="n">
        <f aca="false">E43/$C$10</f>
        <v>0.65690026865085</v>
      </c>
    </row>
    <row r="45" customFormat="false" ht="15" hidden="false" customHeight="false" outlineLevel="0" collapsed="false">
      <c r="B45" s="4" t="s">
        <v>176</v>
      </c>
      <c r="C45" s="24" t="n">
        <f aca="false">C6-C32-C40-C7-C9-C27</f>
        <v>194510.571223002</v>
      </c>
      <c r="D45" s="24" t="n">
        <f aca="false">$C$6-D32-D40-$C$7-$C$9-D27</f>
        <v>101417.155095609</v>
      </c>
      <c r="E45" s="24" t="n">
        <f aca="false">$C$6-E32-E40-$C$7-$C$9-E27</f>
        <v>105194.377631649</v>
      </c>
      <c r="F45" s="8" t="s">
        <v>177</v>
      </c>
    </row>
    <row r="46" customFormat="false" ht="15" hidden="false" customHeight="false" outlineLevel="0" collapsed="false">
      <c r="B46" s="3" t="s">
        <v>178</v>
      </c>
      <c r="C46" s="25" t="n">
        <f aca="false">C45/$C$6</f>
        <v>0.0463120407673815</v>
      </c>
      <c r="D46" s="25" t="n">
        <f aca="false">D45/$C$6</f>
        <v>0.0241469416894307</v>
      </c>
      <c r="E46" s="25" t="n">
        <f aca="false">E45/$C$6</f>
        <v>0.025046280388488</v>
      </c>
    </row>
    <row r="47" customFormat="false" ht="15" hidden="false" customHeight="false" outlineLevel="0" collapsed="false">
      <c r="B47" s="3" t="s">
        <v>179</v>
      </c>
      <c r="C47" s="25" t="n">
        <f aca="false">(C43/$C$6)*(Inputs!$C$49/C20)</f>
        <v>0.0822433258324144</v>
      </c>
      <c r="D47" s="25" t="n">
        <f aca="false">(D43/$C$6)*(Inputs!$C$49/D20)</f>
        <v>0.0850357847007299</v>
      </c>
      <c r="E47" s="25" t="n">
        <f aca="false">(E43/$C$6)*(Inputs!$C$49/E20)</f>
        <v>0.147777256121763</v>
      </c>
      <c r="F47" s="8" t="s">
        <v>180</v>
      </c>
    </row>
    <row r="49" customFormat="false" ht="15" hidden="false" customHeight="false" outlineLevel="0" collapsed="false">
      <c r="B49" s="5" t="s">
        <v>181</v>
      </c>
      <c r="C49" s="6"/>
      <c r="D49" s="6"/>
      <c r="E49" s="6"/>
      <c r="F49" s="6"/>
    </row>
    <row r="50" customFormat="false" ht="15" hidden="false" customHeight="false" outlineLevel="0" collapsed="false">
      <c r="B50" s="3" t="s">
        <v>182</v>
      </c>
      <c r="E50" s="14" t="n">
        <f aca="false">Inputs!$C$6</f>
        <v>4200000</v>
      </c>
    </row>
    <row r="51" customFormat="false" ht="15" hidden="false" customHeight="false" outlineLevel="0" collapsed="false">
      <c r="B51" s="3" t="s">
        <v>160</v>
      </c>
      <c r="E51" s="14" t="n">
        <f aca="false">E31</f>
        <v>72450</v>
      </c>
    </row>
    <row r="52" customFormat="false" ht="15" hidden="false" customHeight="false" outlineLevel="0" collapsed="false">
      <c r="B52" s="3" t="s">
        <v>183</v>
      </c>
      <c r="E52" s="14" t="n">
        <f aca="false">E50-E51</f>
        <v>4127550</v>
      </c>
    </row>
    <row r="53" customFormat="false" ht="15" hidden="false" customHeight="false" outlineLevel="0" collapsed="false">
      <c r="B53" s="3" t="s">
        <v>184</v>
      </c>
      <c r="E53" s="17" t="n">
        <f aca="false">(E51/E52)*(Inputs!$C$49/Inputs!$C$16)</f>
        <v>0.0702111422030018</v>
      </c>
      <c r="F53" s="8" t="s">
        <v>185</v>
      </c>
    </row>
    <row r="54" customFormat="false" ht="15" hidden="false" customHeight="false" outlineLevel="0" collapsed="false">
      <c r="B54" s="3" t="s">
        <v>118</v>
      </c>
      <c r="E54" s="18" t="n">
        <f aca="false">(E53-Inputs!$C$25)*10000</f>
        <v>12.1114220300178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8"/>
    <col collapsed="false" customWidth="true" hidden="false" outlineLevel="0" max="3" min="3" style="0" width="17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1" t="s">
        <v>186</v>
      </c>
    </row>
    <row r="3" customFormat="false" ht="15" hidden="false" customHeight="false" outlineLevel="0" collapsed="false">
      <c r="B3" s="3" t="s">
        <v>187</v>
      </c>
    </row>
    <row r="5" customFormat="false" ht="15" hidden="false" customHeight="false" outlineLevel="0" collapsed="false">
      <c r="B5" s="5" t="s">
        <v>188</v>
      </c>
      <c r="C5" s="6"/>
      <c r="D5" s="6"/>
      <c r="E5" s="6"/>
    </row>
    <row r="6" customFormat="false" ht="15" hidden="false" customHeight="false" outlineLevel="0" collapsed="false">
      <c r="B6" s="3" t="s">
        <v>47</v>
      </c>
      <c r="C6" s="18" t="n">
        <f aca="false">Inputs!$C$13</f>
        <v>26</v>
      </c>
    </row>
    <row r="7" customFormat="false" ht="15" hidden="false" customHeight="false" outlineLevel="0" collapsed="false">
      <c r="B7" s="3" t="s">
        <v>48</v>
      </c>
      <c r="C7" s="18" t="n">
        <f aca="false">Inputs!$C$14</f>
        <v>9</v>
      </c>
    </row>
    <row r="8" customFormat="false" ht="15" hidden="false" customHeight="false" outlineLevel="0" collapsed="false">
      <c r="B8" s="3" t="s">
        <v>145</v>
      </c>
      <c r="C8" s="18" t="n">
        <f aca="false">Inputs!$C$15</f>
        <v>5</v>
      </c>
    </row>
    <row r="9" customFormat="false" ht="15" hidden="false" customHeight="false" outlineLevel="0" collapsed="false">
      <c r="B9" s="3" t="s">
        <v>146</v>
      </c>
      <c r="C9" s="22" t="n">
        <f aca="false">(Inputs!$C$36*Inputs!$C$39*Inputs!$C$38)</f>
        <v>6.82</v>
      </c>
      <c r="D9" s="8" t="s">
        <v>147</v>
      </c>
    </row>
    <row r="10" customFormat="false" ht="15" hidden="false" customHeight="false" outlineLevel="0" collapsed="false">
      <c r="B10" s="3" t="s">
        <v>189</v>
      </c>
      <c r="C10" s="18" t="n">
        <f aca="false">Inputs!$C$16</f>
        <v>90</v>
      </c>
    </row>
    <row r="11" customFormat="false" ht="15" hidden="false" customHeight="false" outlineLevel="0" collapsed="false">
      <c r="B11" s="15" t="s">
        <v>190</v>
      </c>
      <c r="C11" s="23" t="n">
        <f aca="false">SUM(C6:C10)</f>
        <v>136.82</v>
      </c>
      <c r="D11" s="8" t="s">
        <v>191</v>
      </c>
    </row>
    <row r="13" customFormat="false" ht="15" hidden="false" customHeight="false" outlineLevel="0" collapsed="false">
      <c r="B13" s="5" t="s">
        <v>192</v>
      </c>
      <c r="C13" s="6"/>
      <c r="D13" s="6"/>
      <c r="E13" s="6"/>
    </row>
    <row r="14" customFormat="false" ht="15" hidden="false" customHeight="false" outlineLevel="0" collapsed="false">
      <c r="B14" s="3" t="s">
        <v>71</v>
      </c>
      <c r="C14" s="17" t="n">
        <f aca="false">Inputs!$C$32</f>
        <v>0.0135</v>
      </c>
    </row>
    <row r="15" customFormat="false" ht="15" hidden="false" customHeight="false" outlineLevel="0" collapsed="false">
      <c r="B15" s="3" t="s">
        <v>73</v>
      </c>
      <c r="C15" s="17" t="n">
        <f aca="false">Inputs!$C$33</f>
        <v>0.018</v>
      </c>
    </row>
    <row r="16" customFormat="false" ht="15" hidden="false" customHeight="false" outlineLevel="0" collapsed="false">
      <c r="B16" s="3" t="s">
        <v>193</v>
      </c>
      <c r="C16" s="17" t="n">
        <f aca="false">1-(1-C14)^(C11/Inputs!$C$50)</f>
        <v>0.00508197730324256</v>
      </c>
    </row>
    <row r="17" customFormat="false" ht="15" hidden="false" customHeight="false" outlineLevel="0" collapsed="false">
      <c r="B17" s="3" t="s">
        <v>194</v>
      </c>
      <c r="C17" s="17" t="n">
        <f aca="false">1-(1-C15)^(C11/Inputs!$C$50)</f>
        <v>0.00678562491566936</v>
      </c>
    </row>
    <row r="18" customFormat="false" ht="15" hidden="false" customHeight="false" outlineLevel="0" collapsed="false">
      <c r="B18" s="15" t="s">
        <v>195</v>
      </c>
      <c r="C18" s="26" t="n">
        <f aca="false">1-(1-C16)*(1-C17)</f>
        <v>0.0118331178271022</v>
      </c>
      <c r="D18" s="8" t="s">
        <v>196</v>
      </c>
    </row>
    <row r="20" customFormat="false" ht="15" hidden="false" customHeight="false" outlineLevel="0" collapsed="false">
      <c r="B20" s="5" t="s">
        <v>197</v>
      </c>
      <c r="C20" s="6"/>
      <c r="D20" s="6"/>
      <c r="E20" s="6"/>
    </row>
    <row r="21" customFormat="false" ht="15" hidden="false" customHeight="false" outlineLevel="0" collapsed="false">
      <c r="B21" s="3" t="s">
        <v>75</v>
      </c>
      <c r="C21" s="19" t="n">
        <f aca="false">Inputs!$C$36</f>
        <v>0.62</v>
      </c>
    </row>
    <row r="22" customFormat="false" ht="15" hidden="false" customHeight="false" outlineLevel="0" collapsed="false">
      <c r="B22" s="3" t="s">
        <v>77</v>
      </c>
      <c r="C22" s="19" t="n">
        <f aca="false">Inputs!$C$37</f>
        <v>0.94</v>
      </c>
    </row>
    <row r="23" customFormat="false" ht="15" hidden="false" customHeight="false" outlineLevel="0" collapsed="false">
      <c r="B23" s="15" t="s">
        <v>198</v>
      </c>
      <c r="C23" s="26" t="n">
        <f aca="false">C21*(1-C22)</f>
        <v>0.0372</v>
      </c>
    </row>
    <row r="25" customFormat="false" ht="15" hidden="false" customHeight="false" outlineLevel="0" collapsed="false">
      <c r="B25" s="5" t="s">
        <v>199</v>
      </c>
      <c r="C25" s="6"/>
      <c r="D25" s="6"/>
      <c r="E25" s="6"/>
    </row>
    <row r="26" customFormat="false" ht="15" hidden="false" customHeight="false" outlineLevel="0" collapsed="false">
      <c r="B26" s="4" t="s">
        <v>200</v>
      </c>
      <c r="C26" s="27" t="n">
        <f aca="false">C23/C18</f>
        <v>3.14371922459848</v>
      </c>
      <c r="D26" s="8" t="s">
        <v>201</v>
      </c>
    </row>
    <row r="28" customFormat="false" ht="15" hidden="false" customHeight="false" outlineLevel="0" collapsed="false">
      <c r="B28" s="5" t="s">
        <v>202</v>
      </c>
      <c r="C28" s="6"/>
      <c r="D28" s="6"/>
      <c r="E28" s="6"/>
    </row>
    <row r="29" customFormat="false" ht="15" hidden="false" customHeight="false" outlineLevel="0" collapsed="false">
      <c r="B29" s="3" t="s">
        <v>203</v>
      </c>
      <c r="C29" s="22" t="n">
        <f aca="false">C9</f>
        <v>6.82</v>
      </c>
    </row>
    <row r="30" customFormat="false" ht="15" hidden="false" customHeight="false" outlineLevel="0" collapsed="false">
      <c r="B30" s="3" t="s">
        <v>204</v>
      </c>
      <c r="C30" s="14" t="n">
        <f aca="false">Inputs!$C$6*Inputs!$C$7</f>
        <v>3423000</v>
      </c>
    </row>
    <row r="31" customFormat="false" ht="15" hidden="false" customHeight="false" outlineLevel="0" collapsed="false">
      <c r="B31" s="15" t="s">
        <v>205</v>
      </c>
      <c r="C31" s="16" t="n">
        <f aca="false">C30*Inputs!$C$9*C29/Inputs!$C$49</f>
        <v>5447.134</v>
      </c>
      <c r="D31" s="8" t="s">
        <v>206</v>
      </c>
    </row>
    <row r="33" customFormat="false" ht="15" hidden="false" customHeight="false" outlineLevel="0" collapsed="false">
      <c r="B33" s="5" t="s">
        <v>207</v>
      </c>
      <c r="C33" s="6"/>
      <c r="D33" s="6"/>
      <c r="E33" s="6"/>
    </row>
    <row r="34" customFormat="false" ht="15" hidden="false" customHeight="false" outlineLevel="0" collapsed="false">
      <c r="B34" s="3" t="s">
        <v>70</v>
      </c>
      <c r="C34" s="19" t="n">
        <f aca="false">Inputs!$C$31</f>
        <v>0.62</v>
      </c>
    </row>
    <row r="35" customFormat="false" ht="15" hidden="false" customHeight="false" outlineLevel="0" collapsed="false">
      <c r="B35" s="4" t="s">
        <v>208</v>
      </c>
      <c r="C35" s="24" t="n">
        <f aca="false">Inputs!$C$6*C18*C34</f>
        <v>30813.4388217741</v>
      </c>
      <c r="D35" s="8" t="s">
        <v>209</v>
      </c>
    </row>
    <row r="36" customFormat="false" ht="15" hidden="false" customHeight="false" outlineLevel="0" collapsed="false">
      <c r="B36" s="3" t="s">
        <v>210</v>
      </c>
      <c r="C36" s="17" t="n">
        <f aca="false">1-(1-Inputs!$C$30)^((C11+Inputs!$C$40)/Inputs!$C$50)</f>
        <v>0.022321656535614</v>
      </c>
      <c r="D36" s="8" t="s">
        <v>211</v>
      </c>
    </row>
    <row r="37" customFormat="false" ht="15" hidden="false" customHeight="false" outlineLevel="0" collapsed="false">
      <c r="B37" s="4" t="s">
        <v>212</v>
      </c>
      <c r="C37" s="24" t="n">
        <f aca="false">Inputs!$C$6*C23*C36*C34</f>
        <v>2162.27208261709</v>
      </c>
    </row>
    <row r="38" customFormat="false" ht="15" hidden="false" customHeight="false" outlineLevel="0" collapsed="false">
      <c r="B38" s="4" t="s">
        <v>213</v>
      </c>
      <c r="C38" s="27" t="n">
        <f aca="false">C35/C37</f>
        <v>14.2504909856114</v>
      </c>
    </row>
    <row r="40" customFormat="false" ht="15" hidden="false" customHeight="false" outlineLevel="0" collapsed="false">
      <c r="B40" s="5" t="s">
        <v>214</v>
      </c>
      <c r="C40" s="6"/>
      <c r="D40" s="6"/>
      <c r="E40" s="6"/>
    </row>
    <row r="41" customFormat="false" ht="15" hidden="false" customHeight="false" outlineLevel="0" collapsed="false">
      <c r="B41" s="28" t="s">
        <v>215</v>
      </c>
      <c r="C41" s="29"/>
      <c r="D41" s="29"/>
    </row>
    <row r="42" customFormat="false" ht="15" hidden="false" customHeight="false" outlineLevel="0" collapsed="false">
      <c r="B42" s="30" t="s">
        <v>216</v>
      </c>
      <c r="C42" s="29"/>
      <c r="D42" s="29"/>
    </row>
    <row r="43" customFormat="false" ht="15" hidden="false" customHeight="false" outlineLevel="0" collapsed="false">
      <c r="B43" s="30" t="s">
        <v>217</v>
      </c>
      <c r="C43" s="29"/>
      <c r="D43" s="29"/>
    </row>
    <row r="44" customFormat="false" ht="15" hidden="false" customHeight="false" outlineLevel="0" collapsed="false">
      <c r="B44" s="30" t="s">
        <v>218</v>
      </c>
      <c r="C44" s="29"/>
      <c r="D44" s="29"/>
    </row>
    <row r="45" customFormat="false" ht="15" hidden="false" customHeight="false" outlineLevel="0" collapsed="false">
      <c r="B45" s="30" t="s">
        <v>219</v>
      </c>
      <c r="C45" s="29"/>
      <c r="D45" s="29"/>
    </row>
    <row r="46" customFormat="false" ht="15" hidden="false" customHeight="false" outlineLevel="0" collapsed="false">
      <c r="B46" s="30" t="s">
        <v>220</v>
      </c>
      <c r="C46" s="29"/>
      <c r="D46" s="29"/>
    </row>
    <row r="47" customFormat="false" ht="15" hidden="false" customHeight="false" outlineLevel="0" collapsed="false">
      <c r="B47" s="30"/>
      <c r="C47" s="29"/>
      <c r="D47" s="29"/>
    </row>
    <row r="48" customFormat="false" ht="15" hidden="false" customHeight="false" outlineLevel="0" collapsed="false">
      <c r="B48" s="30" t="s">
        <v>221</v>
      </c>
      <c r="C48" s="29"/>
      <c r="D48" s="29"/>
    </row>
    <row r="49" customFormat="false" ht="15" hidden="false" customHeight="false" outlineLevel="0" collapsed="false">
      <c r="B49" s="30" t="s">
        <v>222</v>
      </c>
      <c r="C49" s="29"/>
      <c r="D49" s="29"/>
    </row>
    <row r="50" customFormat="false" ht="15" hidden="false" customHeight="false" outlineLevel="0" collapsed="false">
      <c r="B50" s="30" t="s">
        <v>223</v>
      </c>
      <c r="C50" s="29"/>
      <c r="D50" s="29"/>
    </row>
    <row r="51" customFormat="false" ht="15" hidden="false" customHeight="false" outlineLevel="0" collapsed="false">
      <c r="B51" s="30" t="s">
        <v>224</v>
      </c>
      <c r="C51" s="29"/>
      <c r="D51" s="29"/>
    </row>
    <row r="52" customFormat="false" ht="15" hidden="false" customHeight="false" outlineLevel="0" collapsed="false">
      <c r="B52" s="30"/>
      <c r="C52" s="29"/>
      <c r="D52" s="29"/>
    </row>
    <row r="53" customFormat="false" ht="15" hidden="false" customHeight="false" outlineLevel="0" collapsed="false">
      <c r="B53" s="30" t="s">
        <v>225</v>
      </c>
      <c r="C53" s="29"/>
      <c r="D53" s="29"/>
    </row>
    <row r="54" customFormat="false" ht="15" hidden="false" customHeight="false" outlineLevel="0" collapsed="false">
      <c r="B54" s="30" t="s">
        <v>226</v>
      </c>
      <c r="C54" s="29"/>
      <c r="D54" s="2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8"/>
    <col collapsed="false" customWidth="true" hidden="false" outlineLevel="0" max="3" min="3" style="0" width="17"/>
    <col collapsed="false" customWidth="true" hidden="false" outlineLevel="0" max="4" min="4" style="0" width="60"/>
  </cols>
  <sheetData>
    <row r="2" customFormat="false" ht="17.35" hidden="false" customHeight="false" outlineLevel="0" collapsed="false">
      <c r="B2" s="1" t="s">
        <v>227</v>
      </c>
    </row>
    <row r="3" customFormat="false" ht="15" hidden="false" customHeight="false" outlineLevel="0" collapsed="false">
      <c r="B3" s="3" t="s">
        <v>228</v>
      </c>
    </row>
    <row r="5" customFormat="false" ht="15" hidden="false" customHeight="false" outlineLevel="0" collapsed="false">
      <c r="B5" s="5" t="s">
        <v>229</v>
      </c>
      <c r="C5" s="6"/>
      <c r="D5" s="6"/>
      <c r="E5" s="6"/>
    </row>
    <row r="6" customFormat="false" ht="15" hidden="false" customHeight="false" outlineLevel="0" collapsed="false">
      <c r="B6" s="3" t="s">
        <v>51</v>
      </c>
      <c r="C6" s="18" t="n">
        <f aca="false">Inputs!$C$16</f>
        <v>90</v>
      </c>
    </row>
    <row r="7" customFormat="false" ht="15" hidden="false" customHeight="false" outlineLevel="0" collapsed="false">
      <c r="B7" s="3" t="s">
        <v>47</v>
      </c>
      <c r="C7" s="18" t="n">
        <f aca="false">Inputs!$C$13</f>
        <v>26</v>
      </c>
    </row>
    <row r="8" customFormat="false" ht="15" hidden="false" customHeight="false" outlineLevel="0" collapsed="false">
      <c r="B8" s="3" t="s">
        <v>48</v>
      </c>
      <c r="C8" s="18" t="n">
        <f aca="false">Inputs!$C$14</f>
        <v>9</v>
      </c>
    </row>
    <row r="9" customFormat="false" ht="15" hidden="false" customHeight="false" outlineLevel="0" collapsed="false">
      <c r="B9" s="15" t="s">
        <v>230</v>
      </c>
      <c r="C9" s="23" t="n">
        <f aca="false">SUM(C6:C8)</f>
        <v>125</v>
      </c>
      <c r="D9" s="8" t="s">
        <v>231</v>
      </c>
    </row>
    <row r="11" customFormat="false" ht="15" hidden="false" customHeight="false" outlineLevel="0" collapsed="false">
      <c r="B11" s="5" t="s">
        <v>232</v>
      </c>
      <c r="C11" s="6"/>
      <c r="D11" s="6"/>
      <c r="E11" s="6"/>
    </row>
    <row r="12" customFormat="false" ht="15" hidden="false" customHeight="false" outlineLevel="0" collapsed="false">
      <c r="B12" s="3" t="s">
        <v>37</v>
      </c>
      <c r="C12" s="14" t="n">
        <f aca="false">Inputs!$C$6</f>
        <v>4200000</v>
      </c>
    </row>
    <row r="13" customFormat="false" ht="15" hidden="false" customHeight="false" outlineLevel="0" collapsed="false">
      <c r="B13" s="3" t="s">
        <v>233</v>
      </c>
      <c r="C13" s="17" t="n">
        <f aca="false">Inputs!$C$23</f>
        <v>0.0185</v>
      </c>
    </row>
    <row r="14" customFormat="false" ht="15" hidden="false" customHeight="false" outlineLevel="0" collapsed="false">
      <c r="B14" s="3" t="s">
        <v>234</v>
      </c>
      <c r="C14" s="14" t="n">
        <f aca="false">C12*C13*C9/Inputs!$C$49</f>
        <v>26979.1666666667</v>
      </c>
    </row>
    <row r="15" customFormat="false" ht="15" hidden="false" customHeight="false" outlineLevel="0" collapsed="false">
      <c r="B15" s="3" t="s">
        <v>108</v>
      </c>
      <c r="C15" s="14" t="n">
        <f aca="false">Inputs!$C$24</f>
        <v>1500</v>
      </c>
    </row>
    <row r="16" customFormat="false" ht="15" hidden="false" customHeight="false" outlineLevel="0" collapsed="false">
      <c r="B16" s="15" t="s">
        <v>235</v>
      </c>
      <c r="C16" s="16" t="n">
        <f aca="false">MAX(C14,C15)</f>
        <v>26979.1666666667</v>
      </c>
    </row>
    <row r="18" customFormat="false" ht="15" hidden="false" customHeight="false" outlineLevel="0" collapsed="false">
      <c r="B18" s="5" t="s">
        <v>236</v>
      </c>
      <c r="C18" s="6"/>
      <c r="D18" s="6"/>
      <c r="E18" s="6"/>
    </row>
    <row r="19" customFormat="false" ht="15" hidden="false" customHeight="false" outlineLevel="0" collapsed="false">
      <c r="B19" s="3" t="s">
        <v>237</v>
      </c>
      <c r="C19" s="17" t="n">
        <f aca="false">1-(1-Inputs!$C$32)^(C9/Inputs!$C$50)</f>
        <v>0.00464396191024852</v>
      </c>
    </row>
    <row r="20" customFormat="false" ht="15" hidden="false" customHeight="false" outlineLevel="0" collapsed="false">
      <c r="B20" s="3" t="s">
        <v>238</v>
      </c>
      <c r="C20" s="17" t="n">
        <f aca="false">1-(1-Inputs!$C$33)^(C9/Inputs!$C$50)</f>
        <v>0.00620123039546217</v>
      </c>
    </row>
    <row r="21" customFormat="false" ht="15" hidden="false" customHeight="false" outlineLevel="0" collapsed="false">
      <c r="B21" s="3" t="s">
        <v>239</v>
      </c>
      <c r="C21" s="17" t="n">
        <f aca="false">1-(1-C19)*(1-C20)</f>
        <v>0.0108163940279575</v>
      </c>
    </row>
    <row r="22" customFormat="false" ht="15" hidden="false" customHeight="false" outlineLevel="0" collapsed="false">
      <c r="B22" s="3" t="s">
        <v>70</v>
      </c>
      <c r="C22" s="19" t="n">
        <f aca="false">Inputs!$C$31</f>
        <v>0.62</v>
      </c>
    </row>
    <row r="23" customFormat="false" ht="15" hidden="false" customHeight="false" outlineLevel="0" collapsed="false">
      <c r="B23" s="15" t="s">
        <v>240</v>
      </c>
      <c r="C23" s="16" t="n">
        <f aca="false">C12*C21*C22</f>
        <v>28165.8900488014</v>
      </c>
    </row>
    <row r="24" customFormat="false" ht="15" hidden="false" customHeight="false" outlineLevel="0" collapsed="false">
      <c r="B24" s="4" t="s">
        <v>241</v>
      </c>
      <c r="C24" s="24" t="n">
        <f aca="false">C16-C23</f>
        <v>-1186.72338213474</v>
      </c>
    </row>
    <row r="25" customFormat="false" ht="15" hidden="false" customHeight="false" outlineLevel="0" collapsed="false">
      <c r="B25" s="3" t="s">
        <v>242</v>
      </c>
      <c r="C25" s="3" t="str">
        <f aca="false">IF(C24&lt;0,"Confirmation is bought BELOW its actuarial price at these inputs.","Confirmation is bought ABOVE its actuarial price at these inputs.")</f>
        <v>Confirmation is bought BELOW its actuarial price at these inputs.</v>
      </c>
    </row>
    <row r="27" customFormat="false" ht="15" hidden="false" customHeight="false" outlineLevel="0" collapsed="false">
      <c r="B27" s="5" t="s">
        <v>243</v>
      </c>
      <c r="C27" s="6"/>
      <c r="D27" s="6"/>
      <c r="E27" s="6"/>
    </row>
    <row r="28" customFormat="false" ht="15" hidden="false" customHeight="false" outlineLevel="0" collapsed="false">
      <c r="B28" s="3" t="s">
        <v>244</v>
      </c>
      <c r="C28" s="14" t="n">
        <f aca="false">C14</f>
        <v>26979.1666666667</v>
      </c>
      <c r="D28" s="8" t="s">
        <v>245</v>
      </c>
    </row>
    <row r="29" customFormat="false" ht="15" hidden="false" customHeight="false" outlineLevel="0" collapsed="false">
      <c r="B29" s="3" t="s">
        <v>246</v>
      </c>
      <c r="C29" s="17" t="n">
        <f aca="false">C28/(C12*C22)</f>
        <v>0.0103606630824373</v>
      </c>
    </row>
    <row r="30" customFormat="false" ht="15" hidden="false" customHeight="false" outlineLevel="0" collapsed="false">
      <c r="B30" s="3" t="s">
        <v>247</v>
      </c>
      <c r="C30" s="17" t="n">
        <f aca="false">C20</f>
        <v>0.00620123039546217</v>
      </c>
    </row>
    <row r="31" customFormat="false" ht="15" hidden="false" customHeight="false" outlineLevel="0" collapsed="false">
      <c r="B31" s="3" t="s">
        <v>248</v>
      </c>
      <c r="C31" s="17" t="n">
        <f aca="false">1-(1-C29)/(1-C30)</f>
        <v>0.00418538723752926</v>
      </c>
    </row>
    <row r="32" customFormat="false" ht="15" hidden="false" customHeight="false" outlineLevel="0" collapsed="false">
      <c r="B32" s="3" t="s">
        <v>249</v>
      </c>
      <c r="C32" s="31" t="n">
        <f aca="false">C9/Inputs!$C$50</f>
        <v>0.342465753424658</v>
      </c>
    </row>
    <row r="33" customFormat="false" ht="15" hidden="false" customHeight="false" outlineLevel="0" collapsed="false">
      <c r="B33" s="15" t="s">
        <v>250</v>
      </c>
      <c r="C33" s="26" t="n">
        <f aca="false">1-(1-C31)^(1/C32)</f>
        <v>0.0121722888043944</v>
      </c>
    </row>
    <row r="34" customFormat="false" ht="15" hidden="false" customHeight="false" outlineLevel="0" collapsed="false">
      <c r="B34" s="3" t="s">
        <v>251</v>
      </c>
      <c r="C34" s="17" t="n">
        <f aca="false">Inputs!$C$32</f>
        <v>0.0135</v>
      </c>
    </row>
    <row r="35" customFormat="false" ht="15" hidden="false" customHeight="false" outlineLevel="0" collapsed="false">
      <c r="B35" s="3" t="s">
        <v>242</v>
      </c>
      <c r="C35" s="3" t="str">
        <f aca="false">IF(C34&gt;C33,"The assumed probability is ABOVE the break-even, so confirmation is bought below its actuarial price.","The assumed probability is BELOW the break-even, so confirmation is bought above its actuarial price.")</f>
        <v>The assumed probability is ABOVE the break-even, so confirmation is bought below its actuarial price.</v>
      </c>
    </row>
    <row r="37" customFormat="false" ht="15" hidden="false" customHeight="false" outlineLevel="0" collapsed="false">
      <c r="B37" s="5" t="s">
        <v>252</v>
      </c>
      <c r="C37" s="6"/>
      <c r="D37" s="6"/>
      <c r="E37" s="6"/>
    </row>
    <row r="38" customFormat="false" ht="15" hidden="false" customHeight="false" outlineLevel="0" collapsed="false">
      <c r="B38" s="3" t="s">
        <v>253</v>
      </c>
      <c r="C38" s="17" t="n">
        <f aca="false">1-(1-C33)^(C9/Inputs!$C$50)</f>
        <v>0.00418538723752926</v>
      </c>
    </row>
    <row r="39" customFormat="false" ht="15" hidden="false" customHeight="false" outlineLevel="0" collapsed="false">
      <c r="B39" s="3" t="s">
        <v>254</v>
      </c>
      <c r="C39" s="17" t="n">
        <f aca="false">1-(1-C38)*(1-C20)</f>
        <v>0.0103606630824373</v>
      </c>
    </row>
    <row r="40" customFormat="false" ht="15" hidden="false" customHeight="false" outlineLevel="0" collapsed="false">
      <c r="B40" s="3" t="s">
        <v>255</v>
      </c>
      <c r="C40" s="14" t="n">
        <f aca="false">C12*C39*C22</f>
        <v>26979.1666666668</v>
      </c>
    </row>
    <row r="41" customFormat="false" ht="15" hidden="false" customHeight="false" outlineLevel="0" collapsed="false">
      <c r="B41" s="15" t="s">
        <v>256</v>
      </c>
      <c r="C41" s="32" t="n">
        <f aca="false">C40-C28</f>
        <v>1.30967237055302E-010</v>
      </c>
      <c r="D41" s="8" t="s">
        <v>257</v>
      </c>
    </row>
    <row r="43" customFormat="false" ht="15" hidden="false" customHeight="false" outlineLevel="0" collapsed="false">
      <c r="B43" s="5" t="s">
        <v>258</v>
      </c>
      <c r="C43" s="6"/>
      <c r="D43" s="6"/>
      <c r="E43" s="6"/>
    </row>
    <row r="44" customFormat="false" ht="15" hidden="false" customHeight="false" outlineLevel="0" collapsed="false">
      <c r="B44" s="28" t="s">
        <v>259</v>
      </c>
      <c r="C44" s="29"/>
      <c r="D44" s="29"/>
    </row>
    <row r="45" customFormat="false" ht="15" hidden="false" customHeight="false" outlineLevel="0" collapsed="false">
      <c r="B45" s="30" t="s">
        <v>260</v>
      </c>
      <c r="C45" s="29"/>
      <c r="D45" s="29"/>
    </row>
    <row r="46" customFormat="false" ht="15" hidden="false" customHeight="false" outlineLevel="0" collapsed="false">
      <c r="B46" s="30" t="s">
        <v>261</v>
      </c>
      <c r="C46" s="29"/>
      <c r="D46" s="29"/>
    </row>
    <row r="47" customFormat="false" ht="15" hidden="false" customHeight="false" outlineLevel="0" collapsed="false">
      <c r="B47" s="30" t="s">
        <v>262</v>
      </c>
      <c r="C47" s="29"/>
      <c r="D47" s="29"/>
    </row>
    <row r="48" customFormat="false" ht="15" hidden="false" customHeight="false" outlineLevel="0" collapsed="false">
      <c r="B48" s="30" t="s">
        <v>263</v>
      </c>
      <c r="C48" s="29"/>
      <c r="D48" s="29"/>
    </row>
    <row r="49" customFormat="false" ht="15" hidden="false" customHeight="false" outlineLevel="0" collapsed="false">
      <c r="B49" s="30" t="s">
        <v>264</v>
      </c>
      <c r="C49" s="29"/>
      <c r="D49" s="29"/>
    </row>
    <row r="51" customFormat="false" ht="15" hidden="false" customHeight="false" outlineLevel="0" collapsed="false">
      <c r="B51" s="3" t="s">
        <v>265</v>
      </c>
      <c r="C51" s="14" t="n">
        <f aca="false">'Three Credits'!D38</f>
        <v>30813.4388217741</v>
      </c>
      <c r="D51" s="8" t="s">
        <v>266</v>
      </c>
    </row>
    <row r="52" customFormat="false" ht="15" hidden="false" customHeight="false" outlineLevel="0" collapsed="false">
      <c r="B52" s="3" t="s">
        <v>267</v>
      </c>
      <c r="C52" s="14" t="n">
        <f aca="false">'Three Credits'!E40</f>
        <v>1652.32170168403</v>
      </c>
    </row>
    <row r="53" customFormat="false" ht="15" hidden="false" customHeight="false" outlineLevel="0" collapsed="false">
      <c r="B53" s="4" t="s">
        <v>268</v>
      </c>
      <c r="C53" s="24" t="n">
        <f aca="false">C51-C52</f>
        <v>29161.11712009</v>
      </c>
      <c r="D53" s="8" t="s">
        <v>269</v>
      </c>
    </row>
    <row r="54" customFormat="false" ht="15" hidden="false" customHeight="false" outlineLevel="0" collapsed="false">
      <c r="B54" s="3" t="s">
        <v>270</v>
      </c>
      <c r="C54" s="14" t="n">
        <f aca="false">C23</f>
        <v>28165.8900488014</v>
      </c>
    </row>
    <row r="55" customFormat="false" ht="15" hidden="false" customHeight="false" outlineLevel="0" collapsed="false">
      <c r="B55" s="15" t="s">
        <v>271</v>
      </c>
      <c r="C55" s="16" t="n">
        <f aca="false">C53-C54</f>
        <v>995.227071288602</v>
      </c>
      <c r="D55" s="8" t="s">
        <v>272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N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4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7" min="5" style="0" width="14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5"/>
    <col collapsed="false" customWidth="true" hidden="false" outlineLevel="0" max="13" min="12" style="0" width="11"/>
    <col collapsed="false" customWidth="true" hidden="false" outlineLevel="0" max="14" min="14" style="0" width="12"/>
  </cols>
  <sheetData>
    <row r="2" customFormat="false" ht="17.35" hidden="false" customHeight="false" outlineLevel="0" collapsed="false">
      <c r="B2" s="1" t="s">
        <v>273</v>
      </c>
    </row>
    <row r="3" customFormat="false" ht="15" hidden="false" customHeight="false" outlineLevel="0" collapsed="false">
      <c r="B3" s="3" t="s">
        <v>274</v>
      </c>
    </row>
    <row r="5" customFormat="false" ht="30" hidden="false" customHeight="true" outlineLevel="0" collapsed="false">
      <c r="B5" s="33" t="s">
        <v>275</v>
      </c>
      <c r="C5" s="33" t="s">
        <v>276</v>
      </c>
      <c r="D5" s="33" t="s">
        <v>277</v>
      </c>
      <c r="E5" s="33" t="s">
        <v>278</v>
      </c>
      <c r="F5" s="33" t="s">
        <v>158</v>
      </c>
      <c r="G5" s="33" t="s">
        <v>279</v>
      </c>
      <c r="H5" s="33" t="s">
        <v>156</v>
      </c>
      <c r="I5" s="33" t="s">
        <v>163</v>
      </c>
      <c r="J5" s="33" t="s">
        <v>174</v>
      </c>
      <c r="K5" s="33" t="s">
        <v>280</v>
      </c>
      <c r="L5" s="33" t="s">
        <v>178</v>
      </c>
      <c r="M5" s="33" t="s">
        <v>144</v>
      </c>
      <c r="N5" s="33" t="s">
        <v>179</v>
      </c>
    </row>
    <row r="6" customFormat="false" ht="15" hidden="false" customHeight="false" outlineLevel="0" collapsed="false">
      <c r="B6" s="3" t="s">
        <v>281</v>
      </c>
      <c r="C6" s="17" t="n">
        <f aca="false">Inputs!$C$43</f>
        <v>0</v>
      </c>
      <c r="D6" s="14" t="n">
        <f aca="false">Inputs!$C$6*C6*(Inputs!$C$17+Inputs!$C$13+Inputs!$C$14)/Inputs!$C$49</f>
        <v>0</v>
      </c>
      <c r="E6" s="14" t="n">
        <f aca="false">MAX(D6,Inputs!$C$24)</f>
        <v>1500</v>
      </c>
      <c r="F6" s="14" t="n">
        <f aca="false">'The Fee Schedule'!$C$12+E6</f>
        <v>8520</v>
      </c>
      <c r="G6" s="14" t="n">
        <f aca="false">Inputs!$C$6*Inputs!$C$25*Inputs!$C$17/Inputs!$C$49</f>
        <v>96600</v>
      </c>
      <c r="H6" s="14" t="n">
        <f aca="false">Inputs!$C$6*Inputs!$C$7*Inputs!$C$9*M6/Inputs!$C$49</f>
        <v>93304.134</v>
      </c>
      <c r="I6" s="14" t="n">
        <f aca="false">Inputs!$C$6*(Inputs!$C$36*(1-Inputs!$C$37))*(1-(1-Inputs!$C$30)^((Inputs!$C$17+Inputs!$C$40)/Inputs!$C$50))*Inputs!$C$31</f>
        <v>1979.38843816882</v>
      </c>
      <c r="J6" s="24" t="n">
        <f aca="false">H6+F6+G6+I6</f>
        <v>200403.522438169</v>
      </c>
      <c r="K6" s="24" t="n">
        <f aca="false">Inputs!$C$6-F6-G6-I6-Inputs!$C$6*Inputs!$C$7-Inputs!$C$6*Inputs!$C$8-H6</f>
        <v>106196.477561831</v>
      </c>
      <c r="L6" s="25" t="n">
        <f aca="false">K6/Inputs!$C$6</f>
        <v>0.0252848756099598</v>
      </c>
      <c r="M6" s="18" t="n">
        <f aca="false">(Inputs!$C$12+Inputs!$C$13+Inputs!$C$14+Inputs!$C$15+Inputs!$C$36*Inputs!$C$39*Inputs!$C$38)</f>
        <v>116.82</v>
      </c>
      <c r="N6" s="25" t="n">
        <f aca="false">(J6/Inputs!$C$6)*(Inputs!$C$49/M6)</f>
        <v>0.147041985793652</v>
      </c>
    </row>
    <row r="7" customFormat="false" ht="15" hidden="false" customHeight="false" outlineLevel="0" collapsed="false">
      <c r="B7" s="3" t="s">
        <v>282</v>
      </c>
      <c r="C7" s="17" t="n">
        <f aca="false">Inputs!$C$44</f>
        <v>0.01</v>
      </c>
      <c r="D7" s="14" t="n">
        <f aca="false">Inputs!$C$6*C7*(Inputs!$C$17+Inputs!$C$13+Inputs!$C$14)/Inputs!$C$49</f>
        <v>18083.3333333333</v>
      </c>
      <c r="E7" s="14" t="n">
        <f aca="false">MAX(D7,Inputs!$C$24)</f>
        <v>18083.3333333333</v>
      </c>
      <c r="F7" s="14" t="n">
        <f aca="false">'The Fee Schedule'!$C$12+E7</f>
        <v>25103.3333333333</v>
      </c>
      <c r="G7" s="14" t="n">
        <f aca="false">Inputs!$C$6*Inputs!$C$25*Inputs!$C$17/Inputs!$C$49</f>
        <v>96600</v>
      </c>
      <c r="H7" s="14" t="n">
        <f aca="false">Inputs!$C$6*Inputs!$C$7*Inputs!$C$9*M7/Inputs!$C$49</f>
        <v>93304.134</v>
      </c>
      <c r="I7" s="14" t="n">
        <f aca="false">Inputs!$C$6*(Inputs!$C$36*(1-Inputs!$C$37))*(1-(1-Inputs!$C$30)^((Inputs!$C$17+Inputs!$C$40)/Inputs!$C$50))*Inputs!$C$31</f>
        <v>1979.38843816882</v>
      </c>
      <c r="J7" s="24" t="n">
        <f aca="false">H7+F7+G7+I7</f>
        <v>216986.855771502</v>
      </c>
      <c r="K7" s="24" t="n">
        <f aca="false">Inputs!$C$6-F7-G7-I7-Inputs!$C$6*Inputs!$C$7-Inputs!$C$6*Inputs!$C$8-H7</f>
        <v>89613.1442284976</v>
      </c>
      <c r="L7" s="25" t="n">
        <f aca="false">K7/Inputs!$C$6</f>
        <v>0.0213364629115471</v>
      </c>
      <c r="M7" s="18" t="n">
        <f aca="false">(Inputs!$C$12+Inputs!$C$13+Inputs!$C$14+Inputs!$C$15+Inputs!$C$36*Inputs!$C$39*Inputs!$C$38)</f>
        <v>116.82</v>
      </c>
      <c r="N7" s="25" t="n">
        <f aca="false">(J7/Inputs!$C$6)*(Inputs!$C$49/M7)</f>
        <v>0.159209667452859</v>
      </c>
    </row>
    <row r="8" customFormat="false" ht="15" hidden="false" customHeight="false" outlineLevel="0" collapsed="false">
      <c r="B8" s="4" t="s">
        <v>283</v>
      </c>
      <c r="C8" s="17" t="n">
        <f aca="false">Inputs!$C$23</f>
        <v>0.0185</v>
      </c>
      <c r="D8" s="14" t="n">
        <f aca="false">Inputs!$C$6*C8*(Inputs!$C$17+Inputs!$C$13+Inputs!$C$14)/Inputs!$C$49</f>
        <v>33454.1666666667</v>
      </c>
      <c r="E8" s="14" t="n">
        <f aca="false">MAX(D8,Inputs!$C$24)</f>
        <v>33454.1666666667</v>
      </c>
      <c r="F8" s="14" t="n">
        <f aca="false">'The Fee Schedule'!$C$12+E8</f>
        <v>40474.1666666667</v>
      </c>
      <c r="G8" s="14" t="n">
        <f aca="false">Inputs!$C$6*Inputs!$C$25*Inputs!$C$17/Inputs!$C$49</f>
        <v>96600</v>
      </c>
      <c r="H8" s="14" t="n">
        <f aca="false">Inputs!$C$6*Inputs!$C$7*Inputs!$C$9*M8/Inputs!$C$49</f>
        <v>93304.134</v>
      </c>
      <c r="I8" s="14" t="n">
        <f aca="false">Inputs!$C$6*(Inputs!$C$36*(1-Inputs!$C$37))*(1-(1-Inputs!$C$30)^((Inputs!$C$17+Inputs!$C$40)/Inputs!$C$50))*Inputs!$C$31</f>
        <v>1979.38843816882</v>
      </c>
      <c r="J8" s="24" t="n">
        <f aca="false">H8+F8+G8+I8</f>
        <v>232357.689104835</v>
      </c>
      <c r="K8" s="24" t="n">
        <f aca="false">Inputs!$C$6-F8-G8-I8-Inputs!$C$6*Inputs!$C$7-Inputs!$C$6*Inputs!$C$8-H8</f>
        <v>74242.3108951646</v>
      </c>
      <c r="L8" s="25" t="n">
        <f aca="false">K8/Inputs!$C$6</f>
        <v>0.0176767406893249</v>
      </c>
      <c r="M8" s="18" t="n">
        <f aca="false">(Inputs!$C$12+Inputs!$C$13+Inputs!$C$14+Inputs!$C$15+Inputs!$C$36*Inputs!$C$39*Inputs!$C$38)</f>
        <v>116.82</v>
      </c>
      <c r="N8" s="25" t="n">
        <f aca="false">(J8/Inputs!$C$6)*(Inputs!$C$49/M8)</f>
        <v>0.170487702035979</v>
      </c>
    </row>
    <row r="9" customFormat="false" ht="15" hidden="false" customHeight="false" outlineLevel="0" collapsed="false">
      <c r="B9" s="3" t="s">
        <v>284</v>
      </c>
      <c r="C9" s="17" t="n">
        <f aca="false">Inputs!$C$45</f>
        <v>0.03</v>
      </c>
      <c r="D9" s="14" t="n">
        <f aca="false">Inputs!$C$6*C9*(Inputs!$C$17+Inputs!$C$13+Inputs!$C$14)/Inputs!$C$49</f>
        <v>54250</v>
      </c>
      <c r="E9" s="14" t="n">
        <f aca="false">MAX(D9,Inputs!$C$24)</f>
        <v>54250</v>
      </c>
      <c r="F9" s="14" t="n">
        <f aca="false">'The Fee Schedule'!$C$12+E9</f>
        <v>61270</v>
      </c>
      <c r="G9" s="14" t="n">
        <f aca="false">Inputs!$C$6*Inputs!$C$25*Inputs!$C$17/Inputs!$C$49</f>
        <v>96600</v>
      </c>
      <c r="H9" s="14" t="n">
        <f aca="false">Inputs!$C$6*Inputs!$C$7*Inputs!$C$9*M9/Inputs!$C$49</f>
        <v>93304.134</v>
      </c>
      <c r="I9" s="14" t="n">
        <f aca="false">Inputs!$C$6*(Inputs!$C$36*(1-Inputs!$C$37))*(1-(1-Inputs!$C$30)^((Inputs!$C$17+Inputs!$C$40)/Inputs!$C$50))*Inputs!$C$31</f>
        <v>1979.38843816882</v>
      </c>
      <c r="J9" s="24" t="n">
        <f aca="false">H9+F9+G9+I9</f>
        <v>253153.522438169</v>
      </c>
      <c r="K9" s="24" t="n">
        <f aca="false">Inputs!$C$6-F9-G9-I9-Inputs!$C$6*Inputs!$C$7-Inputs!$C$6*Inputs!$C$8-H9</f>
        <v>53446.4775618311</v>
      </c>
      <c r="L9" s="25" t="n">
        <f aca="false">K9/Inputs!$C$6</f>
        <v>0.012725351800436</v>
      </c>
      <c r="M9" s="18" t="n">
        <f aca="false">(Inputs!$C$12+Inputs!$C$13+Inputs!$C$14+Inputs!$C$15+Inputs!$C$36*Inputs!$C$39*Inputs!$C$38)</f>
        <v>116.82</v>
      </c>
      <c r="N9" s="25" t="n">
        <f aca="false">(J9/Inputs!$C$6)*(Inputs!$C$49/M9)</f>
        <v>0.18574621941314</v>
      </c>
    </row>
    <row r="10" customFormat="false" ht="15" hidden="false" customHeight="false" outlineLevel="0" collapsed="false">
      <c r="B10" s="3" t="s">
        <v>285</v>
      </c>
      <c r="C10" s="17" t="n">
        <f aca="false">Inputs!$C$46</f>
        <v>0.045</v>
      </c>
      <c r="D10" s="14" t="n">
        <f aca="false">Inputs!$C$6*C10*(Inputs!$C$17+Inputs!$C$13+Inputs!$C$14)/Inputs!$C$49</f>
        <v>81375</v>
      </c>
      <c r="E10" s="14" t="n">
        <f aca="false">MAX(D10,Inputs!$C$24)</f>
        <v>81375</v>
      </c>
      <c r="F10" s="14" t="n">
        <f aca="false">'The Fee Schedule'!$C$12+E10</f>
        <v>88395</v>
      </c>
      <c r="G10" s="14" t="n">
        <f aca="false">Inputs!$C$6*Inputs!$C$25*Inputs!$C$17/Inputs!$C$49</f>
        <v>96600</v>
      </c>
      <c r="H10" s="14" t="n">
        <f aca="false">Inputs!$C$6*Inputs!$C$7*Inputs!$C$9*M10/Inputs!$C$49</f>
        <v>93304.134</v>
      </c>
      <c r="I10" s="14" t="n">
        <f aca="false">Inputs!$C$6*(Inputs!$C$36*(1-Inputs!$C$37))*(1-(1-Inputs!$C$30)^((Inputs!$C$17+Inputs!$C$40)/Inputs!$C$50))*Inputs!$C$31</f>
        <v>1979.38843816882</v>
      </c>
      <c r="J10" s="24" t="n">
        <f aca="false">H10+F10+G10+I10</f>
        <v>280278.522438169</v>
      </c>
      <c r="K10" s="24" t="n">
        <f aca="false">Inputs!$C$6-F10-G10-I10-Inputs!$C$6*Inputs!$C$7-Inputs!$C$6*Inputs!$C$8-H10</f>
        <v>26321.4775618311</v>
      </c>
      <c r="L10" s="25" t="n">
        <f aca="false">K10/Inputs!$C$6</f>
        <v>0.00626701846710264</v>
      </c>
      <c r="M10" s="18" t="n">
        <f aca="false">(Inputs!$C$12+Inputs!$C$13+Inputs!$C$14+Inputs!$C$15+Inputs!$C$36*Inputs!$C$39*Inputs!$C$38)</f>
        <v>116.82</v>
      </c>
      <c r="N10" s="25" t="n">
        <f aca="false">(J10/Inputs!$C$6)*(Inputs!$C$49/M10)</f>
        <v>0.205648633383351</v>
      </c>
    </row>
    <row r="12" customFormat="false" ht="15" hidden="false" customHeight="false" outlineLevel="0" collapsed="false">
      <c r="B12" s="15" t="s">
        <v>286</v>
      </c>
      <c r="J12" s="16" t="n">
        <f aca="false">MAX(J6:J10)-MIN(J6:J10)</f>
        <v>79874.9999999999</v>
      </c>
    </row>
    <row r="13" customFormat="false" ht="15" hidden="false" customHeight="false" outlineLevel="0" collapsed="false">
      <c r="B13" s="3" t="s">
        <v>287</v>
      </c>
      <c r="J13" s="19" t="n">
        <f aca="false">E8/J8</f>
        <v>0.143977015761991</v>
      </c>
    </row>
    <row r="15" customFormat="false" ht="15" hidden="false" customHeight="false" outlineLevel="0" collapsed="false">
      <c r="B15" s="5" t="s">
        <v>288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customFormat="false" ht="15" hidden="false" customHeight="false" outlineLevel="0" collapsed="false">
      <c r="B16" s="28" t="s">
        <v>289</v>
      </c>
      <c r="C16" s="29"/>
      <c r="D16" s="29"/>
      <c r="E16" s="29"/>
      <c r="F16" s="29"/>
      <c r="G16" s="29"/>
    </row>
    <row r="17" customFormat="false" ht="15" hidden="false" customHeight="false" outlineLevel="0" collapsed="false">
      <c r="B17" s="30" t="s">
        <v>290</v>
      </c>
      <c r="C17" s="29"/>
      <c r="D17" s="29"/>
      <c r="E17" s="29"/>
      <c r="F17" s="29"/>
      <c r="G17" s="29"/>
    </row>
    <row r="18" customFormat="false" ht="15" hidden="false" customHeight="false" outlineLevel="0" collapsed="false">
      <c r="B18" s="30" t="s">
        <v>291</v>
      </c>
      <c r="C18" s="29"/>
      <c r="D18" s="29"/>
      <c r="E18" s="29"/>
      <c r="F18" s="29"/>
      <c r="G18" s="29"/>
    </row>
    <row r="19" customFormat="false" ht="15" hidden="false" customHeight="false" outlineLevel="0" collapsed="false">
      <c r="B19" s="30" t="s">
        <v>292</v>
      </c>
      <c r="C19" s="29"/>
      <c r="D19" s="29"/>
      <c r="E19" s="29"/>
      <c r="F19" s="29"/>
      <c r="G19" s="29"/>
    </row>
    <row r="20" customFormat="false" ht="15" hidden="false" customHeight="false" outlineLevel="0" collapsed="false">
      <c r="B20" s="30" t="s">
        <v>293</v>
      </c>
      <c r="C20" s="29"/>
      <c r="D20" s="29"/>
      <c r="E20" s="29"/>
      <c r="F20" s="29"/>
      <c r="G20" s="29"/>
    </row>
    <row r="21" customFormat="false" ht="15" hidden="false" customHeight="false" outlineLevel="0" collapsed="false">
      <c r="B21" s="30"/>
      <c r="C21" s="29"/>
      <c r="D21" s="29"/>
      <c r="E21" s="29"/>
      <c r="F21" s="29"/>
      <c r="G21" s="29"/>
    </row>
    <row r="22" customFormat="false" ht="15" hidden="false" customHeight="false" outlineLevel="0" collapsed="false">
      <c r="B22" s="30" t="s">
        <v>294</v>
      </c>
      <c r="C22" s="29"/>
      <c r="D22" s="29"/>
      <c r="E22" s="29"/>
      <c r="F22" s="29"/>
      <c r="G22" s="29"/>
    </row>
    <row r="23" customFormat="false" ht="15" hidden="false" customHeight="false" outlineLevel="0" collapsed="false">
      <c r="B23" s="30" t="s">
        <v>295</v>
      </c>
      <c r="C23" s="29"/>
      <c r="D23" s="29"/>
      <c r="E23" s="29"/>
      <c r="F23" s="29"/>
      <c r="G23" s="29"/>
    </row>
    <row r="24" customFormat="false" ht="15" hidden="false" customHeight="false" outlineLevel="0" collapsed="false">
      <c r="B24" s="30" t="s">
        <v>296</v>
      </c>
      <c r="C24" s="29"/>
      <c r="D24" s="29"/>
      <c r="E24" s="29"/>
      <c r="F24" s="29"/>
      <c r="G24" s="29"/>
    </row>
    <row r="25" customFormat="false" ht="15" hidden="false" customHeight="false" outlineLevel="0" collapsed="false">
      <c r="B25" s="30" t="s">
        <v>297</v>
      </c>
      <c r="C25" s="29"/>
      <c r="D25" s="29"/>
      <c r="E25" s="29"/>
      <c r="F25" s="29"/>
      <c r="G25" s="2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6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0"/>
  </cols>
  <sheetData>
    <row r="2" customFormat="false" ht="17.35" hidden="false" customHeight="false" outlineLevel="0" collapsed="false">
      <c r="B2" s="1" t="s">
        <v>298</v>
      </c>
    </row>
    <row r="3" customFormat="false" ht="15" hidden="false" customHeight="false" outlineLevel="0" collapsed="false">
      <c r="B3" s="3" t="s">
        <v>299</v>
      </c>
    </row>
    <row r="4" customFormat="false" ht="15" hidden="false" customHeight="false" outlineLevel="0" collapsed="false">
      <c r="B4" s="3" t="s">
        <v>300</v>
      </c>
    </row>
    <row r="6" customFormat="false" ht="15" hidden="false" customHeight="false" outlineLevel="0" collapsed="false">
      <c r="B6" s="34" t="s">
        <v>301</v>
      </c>
      <c r="C6" s="34" t="s">
        <v>302</v>
      </c>
      <c r="D6" s="34" t="s">
        <v>303</v>
      </c>
      <c r="E6" s="34" t="s">
        <v>304</v>
      </c>
      <c r="F6" s="34" t="s">
        <v>305</v>
      </c>
    </row>
    <row r="7" customFormat="false" ht="15" hidden="false" customHeight="false" outlineLevel="0" collapsed="false">
      <c r="B7" s="5" t="s">
        <v>36</v>
      </c>
      <c r="C7" s="6"/>
      <c r="D7" s="6"/>
      <c r="E7" s="6"/>
      <c r="F7" s="6"/>
    </row>
    <row r="8" customFormat="false" ht="15" hidden="false" customHeight="false" outlineLevel="0" collapsed="false">
      <c r="B8" s="3" t="s">
        <v>37</v>
      </c>
      <c r="C8" s="14" t="n">
        <v>4200000</v>
      </c>
      <c r="D8" s="35" t="n">
        <f aca="false">ROUND('Three Credits'!C6,0)</f>
        <v>4200000</v>
      </c>
      <c r="E8" s="31" t="n">
        <f aca="false">D8-C8</f>
        <v>0</v>
      </c>
      <c r="F8" s="4" t="str">
        <f aca="false">IF(ABS(E8)&lt;0.00000001,"PASS","FAIL")</f>
        <v>PASS</v>
      </c>
    </row>
    <row r="9" customFormat="false" ht="15" hidden="false" customHeight="false" outlineLevel="0" collapsed="false">
      <c r="B9" s="3" t="s">
        <v>134</v>
      </c>
      <c r="C9" s="14" t="n">
        <v>3423000</v>
      </c>
      <c r="D9" s="35" t="n">
        <f aca="false">ROUND('Three Credits'!C7,0)</f>
        <v>3423000</v>
      </c>
      <c r="E9" s="31" t="n">
        <f aca="false">D9-C9</f>
        <v>0</v>
      </c>
      <c r="F9" s="4" t="str">
        <f aca="false">IF(ABS(E9)&lt;0.00000001,"PASS","FAIL")</f>
        <v>PASS</v>
      </c>
    </row>
    <row r="10" customFormat="false" ht="15" hidden="false" customHeight="false" outlineLevel="0" collapsed="false">
      <c r="B10" s="3" t="s">
        <v>306</v>
      </c>
      <c r="C10" s="14" t="n">
        <v>777000</v>
      </c>
      <c r="D10" s="35" t="n">
        <f aca="false">ROUND('Three Credits'!C8,0)</f>
        <v>777000</v>
      </c>
      <c r="E10" s="31" t="n">
        <f aca="false">D10-C10</f>
        <v>0</v>
      </c>
      <c r="F10" s="4" t="str">
        <f aca="false">IF(ABS(E10)&lt;0.00000001,"PASS","FAIL")</f>
        <v>PASS</v>
      </c>
    </row>
    <row r="11" customFormat="false" ht="15" hidden="false" customHeight="false" outlineLevel="0" collapsed="false">
      <c r="B11" s="3" t="s">
        <v>307</v>
      </c>
      <c r="C11" s="14" t="n">
        <v>470400</v>
      </c>
      <c r="D11" s="35" t="n">
        <f aca="false">ROUND('Three Credits'!C9,0)</f>
        <v>470400</v>
      </c>
      <c r="E11" s="31" t="n">
        <f aca="false">D11-C11</f>
        <v>0</v>
      </c>
      <c r="F11" s="4" t="str">
        <f aca="false">IF(ABS(E11)&lt;0.00000001,"PASS","FAIL")</f>
        <v>PASS</v>
      </c>
    </row>
    <row r="12" customFormat="false" ht="15" hidden="false" customHeight="false" outlineLevel="0" collapsed="false">
      <c r="B12" s="3" t="s">
        <v>308</v>
      </c>
      <c r="C12" s="14" t="n">
        <v>306600</v>
      </c>
      <c r="D12" s="35" t="n">
        <f aca="false">ROUND('Three Credits'!C10,0)</f>
        <v>306600</v>
      </c>
      <c r="E12" s="31" t="n">
        <f aca="false">D12-C12</f>
        <v>0</v>
      </c>
      <c r="F12" s="4" t="str">
        <f aca="false">IF(ABS(E12)&lt;0.00000001,"PASS","FAIL")</f>
        <v>PASS</v>
      </c>
    </row>
    <row r="13" customFormat="false" ht="15" hidden="false" customHeight="false" outlineLevel="0" collapsed="false">
      <c r="B13" s="5" t="s">
        <v>94</v>
      </c>
      <c r="C13" s="6"/>
      <c r="D13" s="6"/>
      <c r="E13" s="6"/>
      <c r="F13" s="6"/>
    </row>
    <row r="14" customFormat="false" ht="15" hidden="false" customHeight="false" outlineLevel="0" collapsed="false">
      <c r="B14" s="3" t="s">
        <v>56</v>
      </c>
      <c r="C14" s="14" t="n">
        <v>350</v>
      </c>
      <c r="D14" s="35" t="n">
        <f aca="false">ROUND('The Fee Schedule'!C6,0)</f>
        <v>350</v>
      </c>
      <c r="E14" s="31" t="n">
        <f aca="false">D14-C14</f>
        <v>0</v>
      </c>
      <c r="F14" s="4" t="str">
        <f aca="false">IF(ABS(E14)&lt;0.00000001,"PASS","FAIL")</f>
        <v>PASS</v>
      </c>
    </row>
    <row r="15" customFormat="false" ht="15" hidden="false" customHeight="false" outlineLevel="0" collapsed="false">
      <c r="B15" s="3" t="s">
        <v>309</v>
      </c>
      <c r="C15" s="14" t="n">
        <v>5250</v>
      </c>
      <c r="D15" s="35" t="n">
        <f aca="false">ROUND('The Fee Schedule'!C7,0)</f>
        <v>5250</v>
      </c>
      <c r="E15" s="31" t="n">
        <f aca="false">D15-C15</f>
        <v>0</v>
      </c>
      <c r="F15" s="4" t="str">
        <f aca="false">IF(ABS(E15)&lt;0.00000001,"PASS","FAIL")</f>
        <v>PASS</v>
      </c>
    </row>
    <row r="16" customFormat="false" ht="15" hidden="false" customHeight="false" outlineLevel="0" collapsed="false">
      <c r="B16" s="3" t="s">
        <v>58</v>
      </c>
      <c r="C16" s="14" t="n">
        <v>425</v>
      </c>
      <c r="D16" s="35" t="n">
        <f aca="false">ROUND('The Fee Schedule'!C8,0)</f>
        <v>425</v>
      </c>
      <c r="E16" s="31" t="n">
        <f aca="false">D16-C16</f>
        <v>0</v>
      </c>
      <c r="F16" s="4" t="str">
        <f aca="false">IF(ABS(E16)&lt;0.00000001,"PASS","FAIL")</f>
        <v>PASS</v>
      </c>
    </row>
    <row r="17" customFormat="false" ht="15" hidden="false" customHeight="false" outlineLevel="0" collapsed="false">
      <c r="B17" s="3" t="s">
        <v>310</v>
      </c>
      <c r="C17" s="14" t="n">
        <v>5250</v>
      </c>
      <c r="D17" s="35" t="n">
        <f aca="false">ROUND('The Fee Schedule'!C9,0)</f>
        <v>5250</v>
      </c>
      <c r="E17" s="31" t="n">
        <f aca="false">D17-C17</f>
        <v>0</v>
      </c>
      <c r="F17" s="4" t="str">
        <f aca="false">IF(ABS(E17)&lt;0.00000001,"PASS","FAIL")</f>
        <v>PASS</v>
      </c>
    </row>
    <row r="18" customFormat="false" ht="15" hidden="false" customHeight="false" outlineLevel="0" collapsed="false">
      <c r="B18" s="3" t="s">
        <v>66</v>
      </c>
      <c r="C18" s="14" t="n">
        <v>1180</v>
      </c>
      <c r="D18" s="35" t="n">
        <f aca="false">ROUND('The Fee Schedule'!C10,0)</f>
        <v>1180</v>
      </c>
      <c r="E18" s="31" t="n">
        <f aca="false">D18-C18</f>
        <v>0</v>
      </c>
      <c r="F18" s="4" t="str">
        <f aca="false">IF(ABS(E18)&lt;0.00000001,"PASS","FAIL")</f>
        <v>PASS</v>
      </c>
    </row>
    <row r="19" customFormat="false" ht="15" hidden="false" customHeight="false" outlineLevel="0" collapsed="false">
      <c r="B19" s="3" t="s">
        <v>311</v>
      </c>
      <c r="C19" s="14" t="n">
        <v>240</v>
      </c>
      <c r="D19" s="35" t="n">
        <f aca="false">ROUND('The Fee Schedule'!C11,0)</f>
        <v>240</v>
      </c>
      <c r="E19" s="31" t="n">
        <f aca="false">D19-C19</f>
        <v>0</v>
      </c>
      <c r="F19" s="4" t="str">
        <f aca="false">IF(ABS(E19)&lt;0.00000001,"PASS","FAIL")</f>
        <v>PASS</v>
      </c>
    </row>
    <row r="20" customFormat="false" ht="15" hidden="false" customHeight="false" outlineLevel="0" collapsed="false">
      <c r="B20" s="3" t="s">
        <v>103</v>
      </c>
      <c r="C20" s="14" t="n">
        <v>7020</v>
      </c>
      <c r="D20" s="35" t="n">
        <f aca="false">ROUND('The Fee Schedule'!C12,0)</f>
        <v>7020</v>
      </c>
      <c r="E20" s="31" t="n">
        <f aca="false">D20-C20</f>
        <v>0</v>
      </c>
      <c r="F20" s="4" t="str">
        <f aca="false">IF(ABS(E20)&lt;0.00000001,"PASS","FAIL")</f>
        <v>PASS</v>
      </c>
    </row>
    <row r="21" customFormat="false" ht="15" hidden="false" customHeight="false" outlineLevel="0" collapsed="false">
      <c r="B21" s="3" t="s">
        <v>312</v>
      </c>
      <c r="C21" s="14" t="n">
        <v>125</v>
      </c>
      <c r="D21" s="35" t="n">
        <f aca="false">ROUND('The Fee Schedule'!C15,0)</f>
        <v>125</v>
      </c>
      <c r="E21" s="31" t="n">
        <f aca="false">D21-C21</f>
        <v>0</v>
      </c>
      <c r="F21" s="4" t="str">
        <f aca="false">IF(ABS(E21)&lt;0.00000001,"PASS","FAIL")</f>
        <v>PASS</v>
      </c>
    </row>
    <row r="22" customFormat="false" ht="15" hidden="false" customHeight="false" outlineLevel="0" collapsed="false">
      <c r="B22" s="3" t="s">
        <v>313</v>
      </c>
      <c r="C22" s="14" t="n">
        <v>26979</v>
      </c>
      <c r="D22" s="35" t="n">
        <f aca="false">ROUND('The Fee Schedule'!C18,0)</f>
        <v>26979</v>
      </c>
      <c r="E22" s="31" t="n">
        <f aca="false">D22-C22</f>
        <v>0</v>
      </c>
      <c r="F22" s="4" t="str">
        <f aca="false">IF(ABS(E22)&lt;0.00000001,"PASS","FAIL")</f>
        <v>PASS</v>
      </c>
    </row>
    <row r="23" customFormat="false" ht="15" hidden="false" customHeight="false" outlineLevel="0" collapsed="false">
      <c r="B23" s="3" t="s">
        <v>110</v>
      </c>
      <c r="C23" s="14" t="n">
        <v>33999</v>
      </c>
      <c r="D23" s="35" t="n">
        <f aca="false">ROUND('The Fee Schedule'!C19,0)</f>
        <v>33999</v>
      </c>
      <c r="E23" s="31" t="n">
        <f aca="false">D23-C23</f>
        <v>0</v>
      </c>
      <c r="F23" s="4" t="str">
        <f aca="false">IF(ABS(E23)&lt;0.00000001,"PASS","FAIL")</f>
        <v>PASS</v>
      </c>
    </row>
    <row r="24" customFormat="false" ht="15" hidden="false" customHeight="false" outlineLevel="0" collapsed="false">
      <c r="B24" s="3" t="s">
        <v>314</v>
      </c>
      <c r="C24" s="14" t="n">
        <v>72450</v>
      </c>
      <c r="D24" s="35" t="n">
        <f aca="false">ROUND('The Fee Schedule'!C23,0)</f>
        <v>72450</v>
      </c>
      <c r="E24" s="31" t="n">
        <f aca="false">D24-C24</f>
        <v>0</v>
      </c>
      <c r="F24" s="4" t="str">
        <f aca="false">IF(ABS(E24)&lt;0.00000001,"PASS","FAIL")</f>
        <v>PASS</v>
      </c>
    </row>
    <row r="25" customFormat="false" ht="15" hidden="false" customHeight="false" outlineLevel="0" collapsed="false">
      <c r="B25" s="3" t="s">
        <v>115</v>
      </c>
      <c r="C25" s="14" t="n">
        <v>4127550</v>
      </c>
      <c r="D25" s="35" t="n">
        <f aca="false">ROUND('The Fee Schedule'!C24,0)</f>
        <v>4127550</v>
      </c>
      <c r="E25" s="31" t="n">
        <f aca="false">D25-C25</f>
        <v>0</v>
      </c>
      <c r="F25" s="4" t="str">
        <f aca="false">IF(ABS(E25)&lt;0.00000001,"PASS","FAIL")</f>
        <v>PASS</v>
      </c>
    </row>
    <row r="26" customFormat="false" ht="15" hidden="false" customHeight="false" outlineLevel="0" collapsed="false">
      <c r="B26" s="3" t="s">
        <v>184</v>
      </c>
      <c r="C26" s="17" t="n">
        <v>0.070211</v>
      </c>
      <c r="D26" s="36" t="n">
        <f aca="false">ROUND('The Fee Schedule'!C25,6)</f>
        <v>0.070211</v>
      </c>
      <c r="E26" s="31" t="n">
        <f aca="false">D26-C26</f>
        <v>0</v>
      </c>
      <c r="F26" s="4" t="str">
        <f aca="false">IF(ABS(E26)&lt;0.00000001,"PASS","FAIL")</f>
        <v>PASS</v>
      </c>
    </row>
    <row r="27" customFormat="false" ht="15" hidden="false" customHeight="false" outlineLevel="0" collapsed="false">
      <c r="B27" s="3" t="s">
        <v>118</v>
      </c>
      <c r="C27" s="18" t="n">
        <v>12.1</v>
      </c>
      <c r="D27" s="37" t="n">
        <f aca="false">ROUND('The Fee Schedule'!C26,1)</f>
        <v>12.1</v>
      </c>
      <c r="E27" s="31" t="n">
        <f aca="false">D27-C27</f>
        <v>0</v>
      </c>
      <c r="F27" s="4" t="str">
        <f aca="false">IF(ABS(E27)&lt;0.00000001,"PASS","FAIL")</f>
        <v>PASS</v>
      </c>
    </row>
    <row r="28" customFormat="false" ht="15" hidden="false" customHeight="false" outlineLevel="0" collapsed="false">
      <c r="B28" s="3" t="s">
        <v>162</v>
      </c>
      <c r="C28" s="14" t="n">
        <v>106449</v>
      </c>
      <c r="D28" s="35" t="n">
        <f aca="false">ROUND('The Fee Schedule'!C27,0)</f>
        <v>106449</v>
      </c>
      <c r="E28" s="31" t="n">
        <f aca="false">D28-C28</f>
        <v>0</v>
      </c>
      <c r="F28" s="4" t="str">
        <f aca="false">IF(ABS(E28)&lt;0.00000001,"PASS","FAIL")</f>
        <v>PASS</v>
      </c>
    </row>
    <row r="29" customFormat="false" ht="15" hidden="false" customHeight="false" outlineLevel="0" collapsed="false">
      <c r="B29" s="3" t="s">
        <v>315</v>
      </c>
      <c r="C29" s="17" t="n">
        <v>1</v>
      </c>
      <c r="D29" s="36" t="n">
        <f aca="false">ROUND('The Fee Schedule'!C35,6)</f>
        <v>1</v>
      </c>
      <c r="E29" s="31" t="n">
        <f aca="false">D29-C29</f>
        <v>0</v>
      </c>
      <c r="F29" s="4" t="str">
        <f aca="false">IF(ABS(E29)&lt;0.00000001,"PASS","FAIL")</f>
        <v>PASS</v>
      </c>
    </row>
    <row r="30" customFormat="false" ht="15" hidden="false" customHeight="false" outlineLevel="0" collapsed="false">
      <c r="B30" s="5" t="s">
        <v>316</v>
      </c>
      <c r="C30" s="6"/>
      <c r="D30" s="6"/>
      <c r="E30" s="6"/>
      <c r="F30" s="6"/>
    </row>
    <row r="31" customFormat="false" ht="15" hidden="false" customHeight="false" outlineLevel="0" collapsed="false">
      <c r="B31" s="3" t="s">
        <v>144</v>
      </c>
      <c r="C31" s="18" t="n">
        <v>116.8</v>
      </c>
      <c r="D31" s="37" t="n">
        <f aca="false">ROUND('Three Credits'!C20,1)</f>
        <v>116.8</v>
      </c>
      <c r="E31" s="31" t="n">
        <f aca="false">D31-C31</f>
        <v>0</v>
      </c>
      <c r="F31" s="4" t="str">
        <f aca="false">IF(ABS(E31)&lt;0.00000001,"PASS","FAIL")</f>
        <v>PASS</v>
      </c>
    </row>
    <row r="32" customFormat="false" ht="15" hidden="false" customHeight="false" outlineLevel="0" collapsed="false">
      <c r="B32" s="3" t="s">
        <v>152</v>
      </c>
      <c r="C32" s="18" t="n">
        <v>46.8</v>
      </c>
      <c r="D32" s="37" t="n">
        <f aca="false">ROUND('Three Credits'!C23,1)</f>
        <v>46.8</v>
      </c>
      <c r="E32" s="31" t="n">
        <f aca="false">D32-C32</f>
        <v>0</v>
      </c>
      <c r="F32" s="4" t="str">
        <f aca="false">IF(ABS(E32)&lt;0.00000001,"PASS","FAIL")</f>
        <v>PASS</v>
      </c>
    </row>
    <row r="33" customFormat="false" ht="15" hidden="false" customHeight="false" outlineLevel="0" collapsed="false">
      <c r="B33" s="3" t="s">
        <v>156</v>
      </c>
      <c r="C33" s="14" t="n">
        <v>93304</v>
      </c>
      <c r="D33" s="35" t="n">
        <f aca="false">ROUND('Three Credits'!C27,0)</f>
        <v>93304</v>
      </c>
      <c r="E33" s="31" t="n">
        <f aca="false">D33-C33</f>
        <v>0</v>
      </c>
      <c r="F33" s="4" t="str">
        <f aca="false">IF(ABS(E33)&lt;0.00000001,"PASS","FAIL")</f>
        <v>PASS</v>
      </c>
    </row>
    <row r="34" customFormat="false" ht="15" hidden="false" customHeight="false" outlineLevel="0" collapsed="false">
      <c r="B34" s="3" t="s">
        <v>157</v>
      </c>
      <c r="C34" s="14" t="n">
        <v>7020</v>
      </c>
      <c r="D34" s="35" t="n">
        <f aca="false">ROUND('Three Credits'!C32,0)</f>
        <v>7020</v>
      </c>
      <c r="E34" s="31" t="n">
        <f aca="false">D34-C34</f>
        <v>0</v>
      </c>
      <c r="F34" s="4" t="str">
        <f aca="false">IF(ABS(E34)&lt;0.00000001,"PASS","FAIL")</f>
        <v>PASS</v>
      </c>
    </row>
    <row r="35" customFormat="false" ht="15" hidden="false" customHeight="false" outlineLevel="0" collapsed="false">
      <c r="B35" s="3" t="s">
        <v>163</v>
      </c>
      <c r="C35" s="14" t="n">
        <v>11765</v>
      </c>
      <c r="D35" s="35" t="n">
        <f aca="false">ROUND('Three Credits'!C40,0)</f>
        <v>11765</v>
      </c>
      <c r="E35" s="31" t="n">
        <f aca="false">D35-C35</f>
        <v>0</v>
      </c>
      <c r="F35" s="4" t="str">
        <f aca="false">IF(ABS(E35)&lt;0.00000001,"PASS","FAIL")</f>
        <v>PASS</v>
      </c>
    </row>
    <row r="36" customFormat="false" ht="15" hidden="false" customHeight="false" outlineLevel="0" collapsed="false">
      <c r="B36" s="3" t="s">
        <v>174</v>
      </c>
      <c r="C36" s="14" t="n">
        <v>112089</v>
      </c>
      <c r="D36" s="35" t="n">
        <f aca="false">ROUND('Three Credits'!C43,0)</f>
        <v>112089</v>
      </c>
      <c r="E36" s="31" t="n">
        <f aca="false">D36-C36</f>
        <v>0</v>
      </c>
      <c r="F36" s="4" t="str">
        <f aca="false">IF(ABS(E36)&lt;0.00000001,"PASS","FAIL")</f>
        <v>PASS</v>
      </c>
    </row>
    <row r="37" customFormat="false" ht="15" hidden="false" customHeight="false" outlineLevel="0" collapsed="false">
      <c r="B37" s="3" t="s">
        <v>175</v>
      </c>
      <c r="C37" s="19" t="n">
        <v>0.366</v>
      </c>
      <c r="D37" s="38" t="n">
        <f aca="false">ROUND('Three Credits'!C44,3)</f>
        <v>0.366</v>
      </c>
      <c r="E37" s="31" t="n">
        <f aca="false">D37-C37</f>
        <v>0</v>
      </c>
      <c r="F37" s="4" t="str">
        <f aca="false">IF(ABS(E37)&lt;0.00000001,"PASS","FAIL")</f>
        <v>PASS</v>
      </c>
    </row>
    <row r="38" customFormat="false" ht="15" hidden="false" customHeight="false" outlineLevel="0" collapsed="false">
      <c r="B38" s="3" t="s">
        <v>280</v>
      </c>
      <c r="C38" s="14" t="n">
        <v>194511</v>
      </c>
      <c r="D38" s="35" t="n">
        <f aca="false">ROUND('Three Credits'!C45,0)</f>
        <v>194511</v>
      </c>
      <c r="E38" s="31" t="n">
        <f aca="false">D38-C38</f>
        <v>0</v>
      </c>
      <c r="F38" s="4" t="str">
        <f aca="false">IF(ABS(E38)&lt;0.00000001,"PASS","FAIL")</f>
        <v>PASS</v>
      </c>
    </row>
    <row r="39" customFormat="false" ht="15" hidden="false" customHeight="false" outlineLevel="0" collapsed="false">
      <c r="B39" s="3" t="s">
        <v>178</v>
      </c>
      <c r="C39" s="25" t="n">
        <v>0.0463</v>
      </c>
      <c r="D39" s="39" t="n">
        <f aca="false">ROUND('Three Credits'!C46,4)</f>
        <v>0.0463</v>
      </c>
      <c r="E39" s="31" t="n">
        <f aca="false">D39-C39</f>
        <v>0</v>
      </c>
      <c r="F39" s="4" t="str">
        <f aca="false">IF(ABS(E39)&lt;0.00000001,"PASS","FAIL")</f>
        <v>PASS</v>
      </c>
    </row>
    <row r="40" customFormat="false" ht="15" hidden="false" customHeight="false" outlineLevel="0" collapsed="false">
      <c r="B40" s="3" t="s">
        <v>179</v>
      </c>
      <c r="C40" s="25" t="n">
        <v>0.0822</v>
      </c>
      <c r="D40" s="39" t="n">
        <f aca="false">ROUND('Three Credits'!C47,4)</f>
        <v>0.0822</v>
      </c>
      <c r="E40" s="31" t="n">
        <f aca="false">D40-C40</f>
        <v>0</v>
      </c>
      <c r="F40" s="4" t="str">
        <f aca="false">IF(ABS(E40)&lt;0.00000001,"PASS","FAIL")</f>
        <v>PASS</v>
      </c>
    </row>
    <row r="41" customFormat="false" ht="15" hidden="false" customHeight="false" outlineLevel="0" collapsed="false">
      <c r="B41" s="3" t="s">
        <v>317</v>
      </c>
      <c r="C41" s="14" t="n">
        <v>194511</v>
      </c>
      <c r="D41" s="35" t="n">
        <f aca="false">ROUND('Three Credits'!C10-'Three Credits'!C43,0)</f>
        <v>194511</v>
      </c>
      <c r="E41" s="31" t="n">
        <f aca="false">D41-C41</f>
        <v>0</v>
      </c>
      <c r="F41" s="4" t="str">
        <f aca="false">IF(ABS(E41)&lt;0.00000001,"PASS","FAIL")</f>
        <v>PASS</v>
      </c>
    </row>
    <row r="42" customFormat="false" ht="15" hidden="false" customHeight="false" outlineLevel="0" collapsed="false">
      <c r="B42" s="5" t="s">
        <v>318</v>
      </c>
      <c r="C42" s="6"/>
      <c r="D42" s="6"/>
      <c r="E42" s="6"/>
      <c r="F42" s="6"/>
    </row>
    <row r="43" customFormat="false" ht="15" hidden="false" customHeight="false" outlineLevel="0" collapsed="false">
      <c r="B43" s="3" t="s">
        <v>144</v>
      </c>
      <c r="C43" s="18" t="n">
        <v>206.8</v>
      </c>
      <c r="D43" s="37" t="n">
        <f aca="false">ROUND('Three Credits'!D20,1)</f>
        <v>206.8</v>
      </c>
      <c r="E43" s="31" t="n">
        <f aca="false">D43-C43</f>
        <v>0</v>
      </c>
      <c r="F43" s="4" t="str">
        <f aca="false">IF(ABS(E43)&lt;0.00000001,"PASS","FAIL")</f>
        <v>PASS</v>
      </c>
    </row>
    <row r="44" customFormat="false" ht="15" hidden="false" customHeight="false" outlineLevel="0" collapsed="false">
      <c r="B44" s="3" t="s">
        <v>152</v>
      </c>
      <c r="C44" s="18" t="n">
        <v>136.8</v>
      </c>
      <c r="D44" s="37" t="n">
        <f aca="false">ROUND('Three Credits'!D23,1)</f>
        <v>136.8</v>
      </c>
      <c r="E44" s="31" t="n">
        <f aca="false">D44-C44</f>
        <v>0</v>
      </c>
      <c r="F44" s="4" t="str">
        <f aca="false">IF(ABS(E44)&lt;0.00000001,"PASS","FAIL")</f>
        <v>PASS</v>
      </c>
    </row>
    <row r="45" customFormat="false" ht="15" hidden="false" customHeight="false" outlineLevel="0" collapsed="false">
      <c r="B45" s="3" t="s">
        <v>156</v>
      </c>
      <c r="C45" s="14" t="n">
        <v>165187</v>
      </c>
      <c r="D45" s="35" t="n">
        <f aca="false">ROUND('Three Credits'!D27,0)</f>
        <v>165187</v>
      </c>
      <c r="E45" s="31" t="n">
        <f aca="false">D45-C45</f>
        <v>0</v>
      </c>
      <c r="F45" s="4" t="str">
        <f aca="false">IF(ABS(E45)&lt;0.00000001,"PASS","FAIL")</f>
        <v>PASS</v>
      </c>
    </row>
    <row r="46" customFormat="false" ht="15" hidden="false" customHeight="false" outlineLevel="0" collapsed="false">
      <c r="B46" s="3" t="s">
        <v>157</v>
      </c>
      <c r="C46" s="14" t="n">
        <v>7020</v>
      </c>
      <c r="D46" s="35" t="n">
        <f aca="false">ROUND('Three Credits'!D32,0)</f>
        <v>7020</v>
      </c>
      <c r="E46" s="31" t="n">
        <f aca="false">D46-C46</f>
        <v>0</v>
      </c>
      <c r="F46" s="4" t="str">
        <f aca="false">IF(ABS(E46)&lt;0.00000001,"PASS","FAIL")</f>
        <v>PASS</v>
      </c>
    </row>
    <row r="47" customFormat="false" ht="15" hidden="false" customHeight="false" outlineLevel="0" collapsed="false">
      <c r="B47" s="3" t="s">
        <v>163</v>
      </c>
      <c r="C47" s="14" t="n">
        <v>32976</v>
      </c>
      <c r="D47" s="35" t="n">
        <f aca="false">ROUND('Three Credits'!D40,0)</f>
        <v>32976</v>
      </c>
      <c r="E47" s="31" t="n">
        <f aca="false">D47-C47</f>
        <v>0</v>
      </c>
      <c r="F47" s="4" t="str">
        <f aca="false">IF(ABS(E47)&lt;0.00000001,"PASS","FAIL")</f>
        <v>PASS</v>
      </c>
    </row>
    <row r="48" customFormat="false" ht="15" hidden="false" customHeight="false" outlineLevel="0" collapsed="false">
      <c r="B48" s="3" t="s">
        <v>174</v>
      </c>
      <c r="C48" s="14" t="n">
        <v>205183</v>
      </c>
      <c r="D48" s="35" t="n">
        <f aca="false">ROUND('Three Credits'!D43,0)</f>
        <v>205183</v>
      </c>
      <c r="E48" s="31" t="n">
        <f aca="false">D48-C48</f>
        <v>0</v>
      </c>
      <c r="F48" s="4" t="str">
        <f aca="false">IF(ABS(E48)&lt;0.00000001,"PASS","FAIL")</f>
        <v>PASS</v>
      </c>
    </row>
    <row r="49" customFormat="false" ht="15" hidden="false" customHeight="false" outlineLevel="0" collapsed="false">
      <c r="B49" s="3" t="s">
        <v>175</v>
      </c>
      <c r="C49" s="19" t="n">
        <v>0.669</v>
      </c>
      <c r="D49" s="38" t="n">
        <f aca="false">ROUND('Three Credits'!D44,3)</f>
        <v>0.669</v>
      </c>
      <c r="E49" s="31" t="n">
        <f aca="false">D49-C49</f>
        <v>0</v>
      </c>
      <c r="F49" s="4" t="str">
        <f aca="false">IF(ABS(E49)&lt;0.00000001,"PASS","FAIL")</f>
        <v>PASS</v>
      </c>
    </row>
    <row r="50" customFormat="false" ht="15" hidden="false" customHeight="false" outlineLevel="0" collapsed="false">
      <c r="B50" s="3" t="s">
        <v>280</v>
      </c>
      <c r="C50" s="14" t="n">
        <v>101417</v>
      </c>
      <c r="D50" s="35" t="n">
        <f aca="false">ROUND('Three Credits'!D45,0)</f>
        <v>101417</v>
      </c>
      <c r="E50" s="31" t="n">
        <f aca="false">D50-C50</f>
        <v>0</v>
      </c>
      <c r="F50" s="4" t="str">
        <f aca="false">IF(ABS(E50)&lt;0.00000001,"PASS","FAIL")</f>
        <v>PASS</v>
      </c>
    </row>
    <row r="51" customFormat="false" ht="15" hidden="false" customHeight="false" outlineLevel="0" collapsed="false">
      <c r="B51" s="3" t="s">
        <v>178</v>
      </c>
      <c r="C51" s="25" t="n">
        <v>0.0241</v>
      </c>
      <c r="D51" s="39" t="n">
        <f aca="false">ROUND('Three Credits'!D46,4)</f>
        <v>0.0241</v>
      </c>
      <c r="E51" s="31" t="n">
        <f aca="false">D51-C51</f>
        <v>0</v>
      </c>
      <c r="F51" s="4" t="str">
        <f aca="false">IF(ABS(E51)&lt;0.00000001,"PASS","FAIL")</f>
        <v>PASS</v>
      </c>
    </row>
    <row r="52" customFormat="false" ht="15" hidden="false" customHeight="false" outlineLevel="0" collapsed="false">
      <c r="B52" s="3" t="s">
        <v>179</v>
      </c>
      <c r="C52" s="25" t="n">
        <v>0.085</v>
      </c>
      <c r="D52" s="39" t="n">
        <f aca="false">ROUND('Three Credits'!D47,4)</f>
        <v>0.085</v>
      </c>
      <c r="E52" s="31" t="n">
        <f aca="false">D52-C52</f>
        <v>0</v>
      </c>
      <c r="F52" s="4" t="str">
        <f aca="false">IF(ABS(E52)&lt;0.00000001,"PASS","FAIL")</f>
        <v>PASS</v>
      </c>
    </row>
    <row r="53" customFormat="false" ht="15" hidden="false" customHeight="false" outlineLevel="0" collapsed="false">
      <c r="B53" s="3" t="s">
        <v>317</v>
      </c>
      <c r="C53" s="14" t="n">
        <v>101417</v>
      </c>
      <c r="D53" s="35" t="n">
        <f aca="false">ROUND('Three Credits'!C10-'Three Credits'!D43,0)</f>
        <v>101417</v>
      </c>
      <c r="E53" s="31" t="n">
        <f aca="false">D53-C53</f>
        <v>0</v>
      </c>
      <c r="F53" s="4" t="str">
        <f aca="false">IF(ABS(E53)&lt;0.00000001,"PASS","FAIL")</f>
        <v>PASS</v>
      </c>
    </row>
    <row r="54" customFormat="false" ht="15" hidden="false" customHeight="false" outlineLevel="0" collapsed="false">
      <c r="B54" s="5" t="s">
        <v>319</v>
      </c>
      <c r="C54" s="6"/>
      <c r="D54" s="6"/>
      <c r="E54" s="6"/>
      <c r="F54" s="6"/>
    </row>
    <row r="55" customFormat="false" ht="15" hidden="false" customHeight="false" outlineLevel="0" collapsed="false">
      <c r="B55" s="3" t="s">
        <v>144</v>
      </c>
      <c r="C55" s="18" t="n">
        <v>116.8</v>
      </c>
      <c r="D55" s="37" t="n">
        <f aca="false">ROUND('Three Credits'!E20,1)</f>
        <v>116.8</v>
      </c>
      <c r="E55" s="31" t="n">
        <f aca="false">D55-C55</f>
        <v>0</v>
      </c>
      <c r="F55" s="4" t="str">
        <f aca="false">IF(ABS(E55)&lt;0.00000001,"PASS","FAIL")</f>
        <v>PASS</v>
      </c>
    </row>
    <row r="56" customFormat="false" ht="15" hidden="false" customHeight="false" outlineLevel="0" collapsed="false">
      <c r="B56" s="3" t="s">
        <v>312</v>
      </c>
      <c r="C56" s="18" t="n">
        <v>125</v>
      </c>
      <c r="D56" s="37" t="n">
        <f aca="false">ROUND('Three Credits'!E23,1)</f>
        <v>125</v>
      </c>
      <c r="E56" s="31" t="n">
        <f aca="false">D56-C56</f>
        <v>0</v>
      </c>
      <c r="F56" s="4" t="str">
        <f aca="false">IF(ABS(E56)&lt;0.00000001,"PASS","FAIL")</f>
        <v>PASS</v>
      </c>
    </row>
    <row r="57" customFormat="false" ht="15" hidden="false" customHeight="false" outlineLevel="0" collapsed="false">
      <c r="B57" s="3" t="s">
        <v>156</v>
      </c>
      <c r="C57" s="14" t="n">
        <v>93304</v>
      </c>
      <c r="D57" s="35" t="n">
        <f aca="false">ROUND('Three Credits'!E27,0)</f>
        <v>93304</v>
      </c>
      <c r="E57" s="31" t="n">
        <f aca="false">D57-C57</f>
        <v>0</v>
      </c>
      <c r="F57" s="4" t="str">
        <f aca="false">IF(ABS(E57)&lt;0.00000001,"PASS","FAIL")</f>
        <v>PASS</v>
      </c>
    </row>
    <row r="58" customFormat="false" ht="15" hidden="false" customHeight="false" outlineLevel="0" collapsed="false">
      <c r="B58" s="3" t="s">
        <v>157</v>
      </c>
      <c r="C58" s="14" t="n">
        <v>106449</v>
      </c>
      <c r="D58" s="35" t="n">
        <f aca="false">ROUND('Three Credits'!E32,0)</f>
        <v>106449</v>
      </c>
      <c r="E58" s="31" t="n">
        <f aca="false">D58-C58</f>
        <v>0</v>
      </c>
      <c r="F58" s="4" t="str">
        <f aca="false">IF(ABS(E58)&lt;0.00000001,"PASS","FAIL")</f>
        <v>PASS</v>
      </c>
    </row>
    <row r="59" customFormat="false" ht="15" hidden="false" customHeight="false" outlineLevel="0" collapsed="false">
      <c r="B59" s="3" t="s">
        <v>163</v>
      </c>
      <c r="C59" s="14" t="n">
        <v>1652</v>
      </c>
      <c r="D59" s="35" t="n">
        <f aca="false">ROUND('Three Credits'!E40,0)</f>
        <v>1652</v>
      </c>
      <c r="E59" s="31" t="n">
        <f aca="false">D59-C59</f>
        <v>0</v>
      </c>
      <c r="F59" s="4" t="str">
        <f aca="false">IF(ABS(E59)&lt;0.00000001,"PASS","FAIL")</f>
        <v>PASS</v>
      </c>
    </row>
    <row r="60" customFormat="false" ht="15" hidden="false" customHeight="false" outlineLevel="0" collapsed="false">
      <c r="B60" s="3" t="s">
        <v>174</v>
      </c>
      <c r="C60" s="14" t="n">
        <v>201406</v>
      </c>
      <c r="D60" s="35" t="n">
        <f aca="false">ROUND('Three Credits'!E43,0)</f>
        <v>201406</v>
      </c>
      <c r="E60" s="31" t="n">
        <f aca="false">D60-C60</f>
        <v>0</v>
      </c>
      <c r="F60" s="4" t="str">
        <f aca="false">IF(ABS(E60)&lt;0.00000001,"PASS","FAIL")</f>
        <v>PASS</v>
      </c>
    </row>
    <row r="61" customFormat="false" ht="15" hidden="false" customHeight="false" outlineLevel="0" collapsed="false">
      <c r="B61" s="3" t="s">
        <v>175</v>
      </c>
      <c r="C61" s="19" t="n">
        <v>0.657</v>
      </c>
      <c r="D61" s="38" t="n">
        <f aca="false">ROUND('Three Credits'!E44,3)</f>
        <v>0.657</v>
      </c>
      <c r="E61" s="31" t="n">
        <f aca="false">D61-C61</f>
        <v>0</v>
      </c>
      <c r="F61" s="4" t="str">
        <f aca="false">IF(ABS(E61)&lt;0.00000001,"PASS","FAIL")</f>
        <v>PASS</v>
      </c>
    </row>
    <row r="62" customFormat="false" ht="15" hidden="false" customHeight="false" outlineLevel="0" collapsed="false">
      <c r="B62" s="3" t="s">
        <v>280</v>
      </c>
      <c r="C62" s="14" t="n">
        <v>105194</v>
      </c>
      <c r="D62" s="35" t="n">
        <f aca="false">ROUND('Three Credits'!E45,0)</f>
        <v>105194</v>
      </c>
      <c r="E62" s="31" t="n">
        <f aca="false">D62-C62</f>
        <v>0</v>
      </c>
      <c r="F62" s="4" t="str">
        <f aca="false">IF(ABS(E62)&lt;0.00000001,"PASS","FAIL")</f>
        <v>PASS</v>
      </c>
    </row>
    <row r="63" customFormat="false" ht="15" hidden="false" customHeight="false" outlineLevel="0" collapsed="false">
      <c r="B63" s="3" t="s">
        <v>178</v>
      </c>
      <c r="C63" s="25" t="n">
        <v>0.025</v>
      </c>
      <c r="D63" s="39" t="n">
        <f aca="false">ROUND('Three Credits'!E46,4)</f>
        <v>0.025</v>
      </c>
      <c r="E63" s="31" t="n">
        <f aca="false">D63-C63</f>
        <v>0</v>
      </c>
      <c r="F63" s="4" t="str">
        <f aca="false">IF(ABS(E63)&lt;0.00000001,"PASS","FAIL")</f>
        <v>PASS</v>
      </c>
    </row>
    <row r="64" customFormat="false" ht="15" hidden="false" customHeight="false" outlineLevel="0" collapsed="false">
      <c r="B64" s="3" t="s">
        <v>179</v>
      </c>
      <c r="C64" s="25" t="n">
        <v>0.1478</v>
      </c>
      <c r="D64" s="39" t="n">
        <f aca="false">ROUND('Three Credits'!E47,4)</f>
        <v>0.1478</v>
      </c>
      <c r="E64" s="31" t="n">
        <f aca="false">D64-C64</f>
        <v>0</v>
      </c>
      <c r="F64" s="4" t="str">
        <f aca="false">IF(ABS(E64)&lt;0.00000001,"PASS","FAIL")</f>
        <v>PASS</v>
      </c>
    </row>
    <row r="65" customFormat="false" ht="15" hidden="false" customHeight="false" outlineLevel="0" collapsed="false">
      <c r="B65" s="3" t="s">
        <v>317</v>
      </c>
      <c r="C65" s="14" t="n">
        <v>105194</v>
      </c>
      <c r="D65" s="35" t="n">
        <f aca="false">ROUND('Three Credits'!C10-'Three Credits'!E43,0)</f>
        <v>105194</v>
      </c>
      <c r="E65" s="31" t="n">
        <f aca="false">D65-C65</f>
        <v>0</v>
      </c>
      <c r="F65" s="4" t="str">
        <f aca="false">IF(ABS(E65)&lt;0.00000001,"PASS","FAIL")</f>
        <v>PASS</v>
      </c>
    </row>
    <row r="66" customFormat="false" ht="15" hidden="false" customHeight="false" outlineLevel="0" collapsed="false">
      <c r="B66" s="3" t="s">
        <v>320</v>
      </c>
      <c r="C66" s="17" t="n">
        <v>0.070211</v>
      </c>
      <c r="D66" s="36" t="n">
        <f aca="false">ROUND('Three Credits'!E53,6)</f>
        <v>0.070211</v>
      </c>
      <c r="E66" s="31" t="n">
        <f aca="false">D66-C66</f>
        <v>0</v>
      </c>
      <c r="F66" s="4" t="str">
        <f aca="false">IF(ABS(E66)&lt;0.00000001,"PASS","FAIL")</f>
        <v>PASS</v>
      </c>
    </row>
    <row r="67" customFormat="false" ht="15" hidden="false" customHeight="false" outlineLevel="0" collapsed="false">
      <c r="B67" s="3" t="s">
        <v>118</v>
      </c>
      <c r="C67" s="18" t="n">
        <v>12.1</v>
      </c>
      <c r="D67" s="37" t="n">
        <f aca="false">ROUND('Three Credits'!E54,1)</f>
        <v>12.1</v>
      </c>
      <c r="E67" s="31" t="n">
        <f aca="false">D67-C67</f>
        <v>0</v>
      </c>
      <c r="F67" s="4" t="str">
        <f aca="false">IF(ABS(E67)&lt;0.00000001,"PASS","FAIL")</f>
        <v>PASS</v>
      </c>
    </row>
    <row r="68" customFormat="false" ht="15" hidden="false" customHeight="false" outlineLevel="0" collapsed="false">
      <c r="B68" s="5" t="s">
        <v>321</v>
      </c>
      <c r="C68" s="6"/>
      <c r="D68" s="6"/>
      <c r="E68" s="6"/>
      <c r="F68" s="6"/>
    </row>
    <row r="69" customFormat="false" ht="15" hidden="false" customHeight="false" outlineLevel="0" collapsed="false">
      <c r="B69" s="3" t="s">
        <v>322</v>
      </c>
      <c r="C69" s="18" t="n">
        <v>136.8</v>
      </c>
      <c r="D69" s="37" t="n">
        <f aca="false">ROUND('Document Risk'!C11,1)</f>
        <v>136.8</v>
      </c>
      <c r="E69" s="31" t="n">
        <f aca="false">D69-C69</f>
        <v>0</v>
      </c>
      <c r="F69" s="4" t="str">
        <f aca="false">IF(ABS(E69)&lt;0.00000001,"PASS","FAIL")</f>
        <v>PASS</v>
      </c>
    </row>
    <row r="70" customFormat="false" ht="15" hidden="false" customHeight="false" outlineLevel="0" collapsed="false">
      <c r="B70" s="3" t="s">
        <v>239</v>
      </c>
      <c r="C70" s="17" t="n">
        <v>0.011833</v>
      </c>
      <c r="D70" s="36" t="n">
        <f aca="false">ROUND('Document Risk'!C18,6)</f>
        <v>0.011833</v>
      </c>
      <c r="E70" s="31" t="n">
        <f aca="false">D70-C70</f>
        <v>0</v>
      </c>
      <c r="F70" s="4" t="str">
        <f aca="false">IF(ABS(E70)&lt;0.00000001,"PASS","FAIL")</f>
        <v>PASS</v>
      </c>
    </row>
    <row r="71" customFormat="false" ht="15" hidden="false" customHeight="false" outlineLevel="0" collapsed="false">
      <c r="B71" s="3" t="s">
        <v>323</v>
      </c>
      <c r="C71" s="17" t="n">
        <v>0.0372</v>
      </c>
      <c r="D71" s="36" t="n">
        <f aca="false">ROUND('Document Risk'!C23,6)</f>
        <v>0.0372</v>
      </c>
      <c r="E71" s="31" t="n">
        <f aca="false">D71-C71</f>
        <v>0</v>
      </c>
      <c r="F71" s="4" t="str">
        <f aca="false">IF(ABS(E71)&lt;0.00000001,"PASS","FAIL")</f>
        <v>PASS</v>
      </c>
    </row>
    <row r="72" customFormat="false" ht="15" hidden="false" customHeight="false" outlineLevel="0" collapsed="false">
      <c r="B72" s="3" t="s">
        <v>324</v>
      </c>
      <c r="C72" s="18" t="n">
        <v>3.1</v>
      </c>
      <c r="D72" s="37" t="n">
        <f aca="false">ROUND('Document Risk'!C26,1)</f>
        <v>3.1</v>
      </c>
      <c r="E72" s="31" t="n">
        <f aca="false">D72-C72</f>
        <v>0</v>
      </c>
      <c r="F72" s="4" t="str">
        <f aca="false">IF(ABS(E72)&lt;0.00000001,"PASS","FAIL")</f>
        <v>PASS</v>
      </c>
    </row>
    <row r="73" customFormat="false" ht="15" hidden="false" customHeight="false" outlineLevel="0" collapsed="false">
      <c r="B73" s="3" t="s">
        <v>203</v>
      </c>
      <c r="C73" s="22" t="n">
        <v>6.82</v>
      </c>
      <c r="D73" s="40" t="n">
        <f aca="false">ROUND('Document Risk'!C29,2)</f>
        <v>6.82</v>
      </c>
      <c r="E73" s="31" t="n">
        <f aca="false">D73-C73</f>
        <v>0</v>
      </c>
      <c r="F73" s="4" t="str">
        <f aca="false">IF(ABS(E73)&lt;0.00000001,"PASS","FAIL")</f>
        <v>PASS</v>
      </c>
    </row>
    <row r="74" customFormat="false" ht="15" hidden="false" customHeight="false" outlineLevel="0" collapsed="false">
      <c r="B74" s="3" t="s">
        <v>325</v>
      </c>
      <c r="C74" s="14" t="n">
        <v>5447</v>
      </c>
      <c r="D74" s="35" t="n">
        <f aca="false">ROUND('Document Risk'!C31,0)</f>
        <v>5447</v>
      </c>
      <c r="E74" s="31" t="n">
        <f aca="false">D74-C74</f>
        <v>0</v>
      </c>
      <c r="F74" s="4" t="str">
        <f aca="false">IF(ABS(E74)&lt;0.00000001,"PASS","FAIL")</f>
        <v>PASS</v>
      </c>
    </row>
    <row r="75" customFormat="false" ht="15" hidden="false" customHeight="false" outlineLevel="0" collapsed="false">
      <c r="B75" s="3" t="s">
        <v>326</v>
      </c>
      <c r="C75" s="14" t="n">
        <v>30813</v>
      </c>
      <c r="D75" s="35" t="n">
        <f aca="false">ROUND('Document Risk'!C35,0)</f>
        <v>30813</v>
      </c>
      <c r="E75" s="31" t="n">
        <f aca="false">D75-C75</f>
        <v>0</v>
      </c>
      <c r="F75" s="4" t="str">
        <f aca="false">IF(ABS(E75)&lt;0.00000001,"PASS","FAIL")</f>
        <v>PASS</v>
      </c>
    </row>
    <row r="76" customFormat="false" ht="15" hidden="false" customHeight="false" outlineLevel="0" collapsed="false">
      <c r="B76" s="3" t="s">
        <v>327</v>
      </c>
      <c r="C76" s="14" t="n">
        <v>2162</v>
      </c>
      <c r="D76" s="35" t="n">
        <f aca="false">ROUND('Document Risk'!C37,0)</f>
        <v>2162</v>
      </c>
      <c r="E76" s="31" t="n">
        <f aca="false">D76-C76</f>
        <v>0</v>
      </c>
      <c r="F76" s="4" t="str">
        <f aca="false">IF(ABS(E76)&lt;0.00000001,"PASS","FAIL")</f>
        <v>PASS</v>
      </c>
    </row>
    <row r="77" customFormat="false" ht="15" hidden="false" customHeight="false" outlineLevel="0" collapsed="false">
      <c r="B77" s="3" t="s">
        <v>328</v>
      </c>
      <c r="C77" s="18" t="n">
        <v>14.3</v>
      </c>
      <c r="D77" s="37" t="n">
        <f aca="false">ROUND('Document Risk'!C38,1)</f>
        <v>14.3</v>
      </c>
      <c r="E77" s="31" t="n">
        <f aca="false">D77-C77</f>
        <v>0</v>
      </c>
      <c r="F77" s="4" t="str">
        <f aca="false">IF(ABS(E77)&lt;0.00000001,"PASS","FAIL")</f>
        <v>PASS</v>
      </c>
    </row>
    <row r="78" customFormat="false" ht="15" hidden="false" customHeight="false" outlineLevel="0" collapsed="false">
      <c r="B78" s="5" t="s">
        <v>227</v>
      </c>
      <c r="C78" s="6"/>
      <c r="D78" s="6"/>
      <c r="E78" s="6"/>
      <c r="F78" s="6"/>
    </row>
    <row r="79" customFormat="false" ht="15" hidden="false" customHeight="false" outlineLevel="0" collapsed="false">
      <c r="B79" s="3" t="s">
        <v>329</v>
      </c>
      <c r="C79" s="18" t="n">
        <v>125</v>
      </c>
      <c r="D79" s="37" t="n">
        <f aca="false">ROUND(Confirmation!C9,1)</f>
        <v>125</v>
      </c>
      <c r="E79" s="31" t="n">
        <f aca="false">D79-C79</f>
        <v>0</v>
      </c>
      <c r="F79" s="4" t="str">
        <f aca="false">IF(ABS(E79)&lt;0.00000001,"PASS","FAIL")</f>
        <v>PASS</v>
      </c>
    </row>
    <row r="80" customFormat="false" ht="15" hidden="false" customHeight="false" outlineLevel="0" collapsed="false">
      <c r="B80" s="3" t="s">
        <v>330</v>
      </c>
      <c r="C80" s="14" t="n">
        <v>26979</v>
      </c>
      <c r="D80" s="35" t="n">
        <f aca="false">ROUND(Confirmation!C16,0)</f>
        <v>26979</v>
      </c>
      <c r="E80" s="31" t="n">
        <f aca="false">D80-C80</f>
        <v>0</v>
      </c>
      <c r="F80" s="4" t="str">
        <f aca="false">IF(ABS(E80)&lt;0.00000001,"PASS","FAIL")</f>
        <v>PASS</v>
      </c>
    </row>
    <row r="81" customFormat="false" ht="15" hidden="false" customHeight="false" outlineLevel="0" collapsed="false">
      <c r="B81" s="3" t="s">
        <v>331</v>
      </c>
      <c r="C81" s="14" t="n">
        <v>28166</v>
      </c>
      <c r="D81" s="35" t="n">
        <f aca="false">ROUND(Confirmation!C23,0)</f>
        <v>28166</v>
      </c>
      <c r="E81" s="31" t="n">
        <f aca="false">D81-C81</f>
        <v>0</v>
      </c>
      <c r="F81" s="4" t="str">
        <f aca="false">IF(ABS(E81)&lt;0.00000001,"PASS","FAIL")</f>
        <v>PASS</v>
      </c>
    </row>
    <row r="82" customFormat="false" ht="15" hidden="false" customHeight="false" outlineLevel="0" collapsed="false">
      <c r="B82" s="3" t="s">
        <v>241</v>
      </c>
      <c r="C82" s="14" t="n">
        <v>-1187</v>
      </c>
      <c r="D82" s="35" t="n">
        <f aca="false">ROUND(Confirmation!C24,0)</f>
        <v>-1187</v>
      </c>
      <c r="E82" s="31" t="n">
        <f aca="false">D82-C82</f>
        <v>0</v>
      </c>
      <c r="F82" s="4" t="str">
        <f aca="false">IF(ABS(E82)&lt;0.00000001,"PASS","FAIL")</f>
        <v>PASS</v>
      </c>
    </row>
    <row r="83" customFormat="false" ht="15" hidden="false" customHeight="false" outlineLevel="0" collapsed="false">
      <c r="B83" s="3" t="s">
        <v>332</v>
      </c>
      <c r="C83" s="17" t="n">
        <v>0.012172</v>
      </c>
      <c r="D83" s="36" t="n">
        <f aca="false">ROUND(Confirmation!C33,6)</f>
        <v>0.012172</v>
      </c>
      <c r="E83" s="31" t="n">
        <f aca="false">D83-C83</f>
        <v>0</v>
      </c>
      <c r="F83" s="4" t="str">
        <f aca="false">IF(ABS(E83)&lt;0.00000001,"PASS","FAIL")</f>
        <v>PASS</v>
      </c>
    </row>
    <row r="84" customFormat="false" ht="15" hidden="false" customHeight="false" outlineLevel="0" collapsed="false">
      <c r="B84" s="3" t="s">
        <v>251</v>
      </c>
      <c r="C84" s="17" t="n">
        <v>0.0135</v>
      </c>
      <c r="D84" s="36" t="n">
        <f aca="false">ROUND(Confirmation!C34,4)</f>
        <v>0.0135</v>
      </c>
      <c r="E84" s="31" t="n">
        <f aca="false">D84-C84</f>
        <v>0</v>
      </c>
      <c r="F84" s="4" t="str">
        <f aca="false">IF(ABS(E84)&lt;0.00000001,"PASS","FAIL")</f>
        <v>PASS</v>
      </c>
    </row>
    <row r="85" customFormat="false" ht="15" hidden="false" customHeight="false" outlineLevel="0" collapsed="false">
      <c r="B85" s="3" t="s">
        <v>333</v>
      </c>
      <c r="C85" s="31" t="n">
        <v>0</v>
      </c>
      <c r="D85" s="41" t="n">
        <f aca="false">ROUND(Confirmation!C41,6)</f>
        <v>0</v>
      </c>
      <c r="E85" s="31" t="n">
        <f aca="false">D85-C85</f>
        <v>0</v>
      </c>
      <c r="F85" s="4" t="str">
        <f aca="false">IF(ABS(E85)&lt;0.00000001,"PASS","FAIL")</f>
        <v>PASS</v>
      </c>
    </row>
    <row r="86" customFormat="false" ht="15" hidden="false" customHeight="false" outlineLevel="0" collapsed="false">
      <c r="B86" s="3" t="s">
        <v>334</v>
      </c>
      <c r="C86" s="14" t="n">
        <v>29161</v>
      </c>
      <c r="D86" s="35" t="n">
        <f aca="false">ROUND(Confirmation!C53,0)</f>
        <v>29161</v>
      </c>
      <c r="E86" s="31" t="n">
        <f aca="false">D86-C86</f>
        <v>0</v>
      </c>
      <c r="F86" s="4" t="str">
        <f aca="false">IF(ABS(E86)&lt;0.00000001,"PASS","FAIL")</f>
        <v>PASS</v>
      </c>
    </row>
    <row r="87" customFormat="false" ht="15" hidden="false" customHeight="false" outlineLevel="0" collapsed="false">
      <c r="B87" s="3" t="s">
        <v>335</v>
      </c>
      <c r="C87" s="14" t="n">
        <v>995</v>
      </c>
      <c r="D87" s="35" t="n">
        <f aca="false">ROUND(Confirmation!C55,0)</f>
        <v>995</v>
      </c>
      <c r="E87" s="31" t="n">
        <f aca="false">D87-C87</f>
        <v>0</v>
      </c>
      <c r="F87" s="4" t="str">
        <f aca="false">IF(ABS(E87)&lt;0.00000001,"PASS","FAIL")</f>
        <v>PASS</v>
      </c>
    </row>
    <row r="88" customFormat="false" ht="15" hidden="false" customHeight="false" outlineLevel="0" collapsed="false">
      <c r="B88" s="5" t="s">
        <v>336</v>
      </c>
      <c r="C88" s="6"/>
      <c r="D88" s="6"/>
      <c r="E88" s="6"/>
      <c r="F88" s="6"/>
    </row>
    <row r="89" customFormat="false" ht="15" hidden="false" customHeight="false" outlineLevel="0" collapsed="false">
      <c r="B89" s="3" t="s">
        <v>337</v>
      </c>
      <c r="C89" s="14" t="n">
        <v>1500</v>
      </c>
      <c r="D89" s="35" t="n">
        <f aca="false">ROUND('Confirmation Sensitivity'!E6,0)</f>
        <v>1500</v>
      </c>
      <c r="E89" s="31" t="n">
        <f aca="false">D89-C89</f>
        <v>0</v>
      </c>
      <c r="F89" s="4" t="str">
        <f aca="false">IF(ABS(E89)&lt;0.00000001,"PASS","FAIL")</f>
        <v>PASS</v>
      </c>
    </row>
    <row r="90" customFormat="false" ht="15" hidden="false" customHeight="false" outlineLevel="0" collapsed="false">
      <c r="B90" s="3" t="s">
        <v>338</v>
      </c>
      <c r="C90" s="14" t="n">
        <v>1979</v>
      </c>
      <c r="D90" s="35" t="n">
        <f aca="false">ROUND('Confirmation Sensitivity'!I6,0)</f>
        <v>1979</v>
      </c>
      <c r="E90" s="31" t="n">
        <f aca="false">D90-C90</f>
        <v>0</v>
      </c>
      <c r="F90" s="4" t="str">
        <f aca="false">IF(ABS(E90)&lt;0.00000001,"PASS","FAIL")</f>
        <v>PASS</v>
      </c>
    </row>
    <row r="91" customFormat="false" ht="15" hidden="false" customHeight="false" outlineLevel="0" collapsed="false">
      <c r="B91" s="3" t="s">
        <v>339</v>
      </c>
      <c r="C91" s="14" t="n">
        <v>200404</v>
      </c>
      <c r="D91" s="35" t="n">
        <f aca="false">ROUND('Confirmation Sensitivity'!J6,0)</f>
        <v>200404</v>
      </c>
      <c r="E91" s="31" t="n">
        <f aca="false">D91-C91</f>
        <v>0</v>
      </c>
      <c r="F91" s="4" t="str">
        <f aca="false">IF(ABS(E91)&lt;0.00000001,"PASS","FAIL")</f>
        <v>PASS</v>
      </c>
    </row>
    <row r="92" customFormat="false" ht="15" hidden="false" customHeight="false" outlineLevel="0" collapsed="false">
      <c r="B92" s="3" t="s">
        <v>340</v>
      </c>
      <c r="C92" s="14" t="n">
        <v>106196</v>
      </c>
      <c r="D92" s="35" t="n">
        <f aca="false">ROUND('Confirmation Sensitivity'!K6,0)</f>
        <v>106196</v>
      </c>
      <c r="E92" s="31" t="n">
        <f aca="false">D92-C92</f>
        <v>0</v>
      </c>
      <c r="F92" s="4" t="str">
        <f aca="false">IF(ABS(E92)&lt;0.00000001,"PASS","FAIL")</f>
        <v>PASS</v>
      </c>
    </row>
    <row r="93" customFormat="false" ht="15" hidden="false" customHeight="false" outlineLevel="0" collapsed="false">
      <c r="B93" s="3" t="s">
        <v>341</v>
      </c>
      <c r="C93" s="25" t="n">
        <v>0.147</v>
      </c>
      <c r="D93" s="39" t="n">
        <f aca="false">ROUND('Confirmation Sensitivity'!N6,4)</f>
        <v>0.147</v>
      </c>
      <c r="E93" s="31" t="n">
        <f aca="false">D93-C93</f>
        <v>0</v>
      </c>
      <c r="F93" s="4" t="str">
        <f aca="false">IF(ABS(E93)&lt;0.00000001,"PASS","FAIL")</f>
        <v>PASS</v>
      </c>
    </row>
    <row r="94" customFormat="false" ht="15" hidden="false" customHeight="false" outlineLevel="0" collapsed="false">
      <c r="B94" s="3" t="s">
        <v>342</v>
      </c>
      <c r="C94" s="14" t="n">
        <v>216987</v>
      </c>
      <c r="D94" s="35" t="n">
        <f aca="false">ROUND('Confirmation Sensitivity'!J7,0)</f>
        <v>216987</v>
      </c>
      <c r="E94" s="31" t="n">
        <f aca="false">D94-C94</f>
        <v>0</v>
      </c>
      <c r="F94" s="4" t="str">
        <f aca="false">IF(ABS(E94)&lt;0.00000001,"PASS","FAIL")</f>
        <v>PASS</v>
      </c>
    </row>
    <row r="95" customFormat="false" ht="15" hidden="false" customHeight="false" outlineLevel="0" collapsed="false">
      <c r="B95" s="3" t="s">
        <v>343</v>
      </c>
      <c r="C95" s="14" t="n">
        <v>89613</v>
      </c>
      <c r="D95" s="35" t="n">
        <f aca="false">ROUND('Confirmation Sensitivity'!K7,0)</f>
        <v>89613</v>
      </c>
      <c r="E95" s="31" t="n">
        <f aca="false">D95-C95</f>
        <v>0</v>
      </c>
      <c r="F95" s="4" t="str">
        <f aca="false">IF(ABS(E95)&lt;0.00000001,"PASS","FAIL")</f>
        <v>PASS</v>
      </c>
    </row>
    <row r="96" customFormat="false" ht="15" hidden="false" customHeight="false" outlineLevel="0" collapsed="false">
      <c r="B96" s="3" t="s">
        <v>344</v>
      </c>
      <c r="C96" s="25" t="n">
        <v>0.1592</v>
      </c>
      <c r="D96" s="39" t="n">
        <f aca="false">ROUND('Confirmation Sensitivity'!N7,4)</f>
        <v>0.1592</v>
      </c>
      <c r="E96" s="31" t="n">
        <f aca="false">D96-C96</f>
        <v>0</v>
      </c>
      <c r="F96" s="4" t="str">
        <f aca="false">IF(ABS(E96)&lt;0.00000001,"PASS","FAIL")</f>
        <v>PASS</v>
      </c>
    </row>
    <row r="97" customFormat="false" ht="15" hidden="false" customHeight="false" outlineLevel="0" collapsed="false">
      <c r="B97" s="3" t="s">
        <v>345</v>
      </c>
      <c r="C97" s="14" t="n">
        <v>232358</v>
      </c>
      <c r="D97" s="35" t="n">
        <f aca="false">ROUND('Confirmation Sensitivity'!J8,0)</f>
        <v>232358</v>
      </c>
      <c r="E97" s="31" t="n">
        <f aca="false">D97-C97</f>
        <v>0</v>
      </c>
      <c r="F97" s="4" t="str">
        <f aca="false">IF(ABS(E97)&lt;0.00000001,"PASS","FAIL")</f>
        <v>PASS</v>
      </c>
    </row>
    <row r="98" customFormat="false" ht="15" hidden="false" customHeight="false" outlineLevel="0" collapsed="false">
      <c r="B98" s="3" t="s">
        <v>346</v>
      </c>
      <c r="C98" s="14" t="n">
        <v>74242</v>
      </c>
      <c r="D98" s="35" t="n">
        <f aca="false">ROUND('Confirmation Sensitivity'!K8,0)</f>
        <v>74242</v>
      </c>
      <c r="E98" s="31" t="n">
        <f aca="false">D98-C98</f>
        <v>0</v>
      </c>
      <c r="F98" s="4" t="str">
        <f aca="false">IF(ABS(E98)&lt;0.00000001,"PASS","FAIL")</f>
        <v>PASS</v>
      </c>
    </row>
    <row r="99" customFormat="false" ht="15" hidden="false" customHeight="false" outlineLevel="0" collapsed="false">
      <c r="B99" s="3" t="s">
        <v>347</v>
      </c>
      <c r="C99" s="25" t="n">
        <v>0.0177</v>
      </c>
      <c r="D99" s="39" t="n">
        <f aca="false">ROUND('Confirmation Sensitivity'!L8,4)</f>
        <v>0.0177</v>
      </c>
      <c r="E99" s="31" t="n">
        <f aca="false">D99-C99</f>
        <v>0</v>
      </c>
      <c r="F99" s="4" t="str">
        <f aca="false">IF(ABS(E99)&lt;0.00000001,"PASS","FAIL")</f>
        <v>PASS</v>
      </c>
    </row>
    <row r="100" customFormat="false" ht="15" hidden="false" customHeight="false" outlineLevel="0" collapsed="false">
      <c r="B100" s="3" t="s">
        <v>348</v>
      </c>
      <c r="C100" s="18" t="n">
        <v>116.8</v>
      </c>
      <c r="D100" s="37" t="n">
        <f aca="false">ROUND('Confirmation Sensitivity'!M8,1)</f>
        <v>116.8</v>
      </c>
      <c r="E100" s="31" t="n">
        <f aca="false">D100-C100</f>
        <v>0</v>
      </c>
      <c r="F100" s="4" t="str">
        <f aca="false">IF(ABS(E100)&lt;0.00000001,"PASS","FAIL")</f>
        <v>PASS</v>
      </c>
    </row>
    <row r="101" customFormat="false" ht="15" hidden="false" customHeight="false" outlineLevel="0" collapsed="false">
      <c r="B101" s="3" t="s">
        <v>349</v>
      </c>
      <c r="C101" s="25" t="n">
        <v>0.1705</v>
      </c>
      <c r="D101" s="39" t="n">
        <f aca="false">ROUND('Confirmation Sensitivity'!N8,4)</f>
        <v>0.1705</v>
      </c>
      <c r="E101" s="31" t="n">
        <f aca="false">D101-C101</f>
        <v>0</v>
      </c>
      <c r="F101" s="4" t="str">
        <f aca="false">IF(ABS(E101)&lt;0.00000001,"PASS","FAIL")</f>
        <v>PASS</v>
      </c>
    </row>
    <row r="102" customFormat="false" ht="15" hidden="false" customHeight="false" outlineLevel="0" collapsed="false">
      <c r="B102" s="3" t="s">
        <v>350</v>
      </c>
      <c r="C102" s="14" t="n">
        <v>253154</v>
      </c>
      <c r="D102" s="35" t="n">
        <f aca="false">ROUND('Confirmation Sensitivity'!J9,0)</f>
        <v>253154</v>
      </c>
      <c r="E102" s="31" t="n">
        <f aca="false">D102-C102</f>
        <v>0</v>
      </c>
      <c r="F102" s="4" t="str">
        <f aca="false">IF(ABS(E102)&lt;0.00000001,"PASS","FAIL")</f>
        <v>PASS</v>
      </c>
    </row>
    <row r="103" customFormat="false" ht="15" hidden="false" customHeight="false" outlineLevel="0" collapsed="false">
      <c r="B103" s="3" t="s">
        <v>351</v>
      </c>
      <c r="C103" s="14" t="n">
        <v>53446</v>
      </c>
      <c r="D103" s="35" t="n">
        <f aca="false">ROUND('Confirmation Sensitivity'!K9,0)</f>
        <v>53446</v>
      </c>
      <c r="E103" s="31" t="n">
        <f aca="false">D103-C103</f>
        <v>0</v>
      </c>
      <c r="F103" s="4" t="str">
        <f aca="false">IF(ABS(E103)&lt;0.00000001,"PASS","FAIL")</f>
        <v>PASS</v>
      </c>
    </row>
    <row r="104" customFormat="false" ht="15" hidden="false" customHeight="false" outlineLevel="0" collapsed="false">
      <c r="B104" s="3" t="s">
        <v>352</v>
      </c>
      <c r="C104" s="25" t="n">
        <v>0.1857</v>
      </c>
      <c r="D104" s="39" t="n">
        <f aca="false">ROUND('Confirmation Sensitivity'!N9,4)</f>
        <v>0.1857</v>
      </c>
      <c r="E104" s="31" t="n">
        <f aca="false">D104-C104</f>
        <v>0</v>
      </c>
      <c r="F104" s="4" t="str">
        <f aca="false">IF(ABS(E104)&lt;0.00000001,"PASS","FAIL")</f>
        <v>PASS</v>
      </c>
    </row>
    <row r="105" customFormat="false" ht="15" hidden="false" customHeight="false" outlineLevel="0" collapsed="false">
      <c r="B105" s="3" t="s">
        <v>353</v>
      </c>
      <c r="C105" s="14" t="n">
        <v>280279</v>
      </c>
      <c r="D105" s="35" t="n">
        <f aca="false">ROUND('Confirmation Sensitivity'!J10,0)</f>
        <v>280279</v>
      </c>
      <c r="E105" s="31" t="n">
        <f aca="false">D105-C105</f>
        <v>0</v>
      </c>
      <c r="F105" s="4" t="str">
        <f aca="false">IF(ABS(E105)&lt;0.00000001,"PASS","FAIL")</f>
        <v>PASS</v>
      </c>
    </row>
    <row r="106" customFormat="false" ht="15" hidden="false" customHeight="false" outlineLevel="0" collapsed="false">
      <c r="B106" s="3" t="s">
        <v>354</v>
      </c>
      <c r="C106" s="14" t="n">
        <v>26321</v>
      </c>
      <c r="D106" s="35" t="n">
        <f aca="false">ROUND('Confirmation Sensitivity'!K10,0)</f>
        <v>26321</v>
      </c>
      <c r="E106" s="31" t="n">
        <f aca="false">D106-C106</f>
        <v>0</v>
      </c>
      <c r="F106" s="4" t="str">
        <f aca="false">IF(ABS(E106)&lt;0.00000001,"PASS","FAIL")</f>
        <v>PASS</v>
      </c>
    </row>
    <row r="107" customFormat="false" ht="15" hidden="false" customHeight="false" outlineLevel="0" collapsed="false">
      <c r="B107" s="3" t="s">
        <v>355</v>
      </c>
      <c r="C107" s="25" t="n">
        <v>0.2056</v>
      </c>
      <c r="D107" s="39" t="n">
        <f aca="false">ROUND('Confirmation Sensitivity'!N10,4)</f>
        <v>0.2056</v>
      </c>
      <c r="E107" s="31" t="n">
        <f aca="false">D107-C107</f>
        <v>0</v>
      </c>
      <c r="F107" s="4" t="str">
        <f aca="false">IF(ABS(E107)&lt;0.00000001,"PASS","FAIL")</f>
        <v>PASS</v>
      </c>
    </row>
    <row r="108" customFormat="false" ht="15" hidden="false" customHeight="false" outlineLevel="0" collapsed="false">
      <c r="B108" s="3" t="s">
        <v>356</v>
      </c>
      <c r="C108" s="14" t="n">
        <v>79875</v>
      </c>
      <c r="D108" s="35" t="n">
        <f aca="false">ROUND('Confirmation Sensitivity'!J12,0)</f>
        <v>79875</v>
      </c>
      <c r="E108" s="31" t="n">
        <f aca="false">D108-C108</f>
        <v>0</v>
      </c>
      <c r="F108" s="4" t="str">
        <f aca="false">IF(ABS(E108)&lt;0.00000001,"PASS","FAIL")</f>
        <v>PASS</v>
      </c>
    </row>
    <row r="109" customFormat="false" ht="15" hidden="false" customHeight="false" outlineLevel="0" collapsed="false">
      <c r="B109" s="3" t="s">
        <v>357</v>
      </c>
      <c r="C109" s="14" t="n">
        <v>106196</v>
      </c>
      <c r="D109" s="35" t="n">
        <f aca="false">ROUND('Three Credits'!C10-'Confirmation Sensitivity'!J6,0)</f>
        <v>106196</v>
      </c>
      <c r="E109" s="31" t="n">
        <f aca="false">D109-C109</f>
        <v>0</v>
      </c>
      <c r="F109" s="4" t="str">
        <f aca="false">IF(ABS(E109)&lt;0.00000001,"PASS","FAIL")</f>
        <v>PASS</v>
      </c>
    </row>
    <row r="110" customFormat="false" ht="15" hidden="false" customHeight="false" outlineLevel="0" collapsed="false">
      <c r="B110" s="3" t="s">
        <v>358</v>
      </c>
      <c r="C110" s="14" t="n">
        <v>74242</v>
      </c>
      <c r="D110" s="35" t="n">
        <f aca="false">ROUND('Three Credits'!C10-'Confirmation Sensitivity'!J8,0)</f>
        <v>74242</v>
      </c>
      <c r="E110" s="31" t="n">
        <f aca="false">D110-C110</f>
        <v>0</v>
      </c>
      <c r="F110" s="4" t="str">
        <f aca="false">IF(ABS(E110)&lt;0.00000001,"PASS","FAIL")</f>
        <v>PASS</v>
      </c>
    </row>
    <row r="111" customFormat="false" ht="15" hidden="false" customHeight="false" outlineLevel="0" collapsed="false">
      <c r="B111" s="3" t="s">
        <v>359</v>
      </c>
      <c r="C111" s="14" t="n">
        <v>26321</v>
      </c>
      <c r="D111" s="35" t="n">
        <f aca="false">ROUND('Three Credits'!C10-'Confirmation Sensitivity'!J10,0)</f>
        <v>26321</v>
      </c>
      <c r="E111" s="31" t="n">
        <f aca="false">D111-C111</f>
        <v>0</v>
      </c>
      <c r="F111" s="4" t="str">
        <f aca="false">IF(ABS(E111)&lt;0.00000001,"PASS","FAIL")</f>
        <v>PASS</v>
      </c>
    </row>
    <row r="113" customFormat="false" ht="15" hidden="false" customHeight="false" outlineLevel="0" collapsed="false">
      <c r="B113" s="4" t="s">
        <v>360</v>
      </c>
      <c r="C113" s="4" t="n">
        <f aca="false">COUNTIF(F7:F111,"PASS")+COUNTIF(F7:F111,"FAIL")</f>
        <v>97</v>
      </c>
    </row>
    <row r="114" customFormat="false" ht="15" hidden="false" customHeight="false" outlineLevel="0" collapsed="false">
      <c r="B114" s="4" t="s">
        <v>361</v>
      </c>
      <c r="C114" s="4" t="n">
        <f aca="false">COUNTIF(F7:F111,"PASS")</f>
        <v>97</v>
      </c>
    </row>
    <row r="115" customFormat="false" ht="15" hidden="false" customHeight="false" outlineLevel="0" collapsed="false">
      <c r="B115" s="4" t="s">
        <v>362</v>
      </c>
      <c r="C115" s="4" t="n">
        <f aca="false">COUNTIF(F7:F111,"FAIL")</f>
        <v>0</v>
      </c>
    </row>
    <row r="117" customFormat="false" ht="15" hidden="false" customHeight="false" outlineLevel="0" collapsed="false">
      <c r="B117" s="3" t="s">
        <v>363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2026-09-11T08:16:18Z</dcterms:created>
  <dc:creator>openpyxl</dc:creator>
  <dc:description/>
  <dc:language>en-US</dc:language>
  <cp:lastModifiedBy/>
  <dcterms:modified xsi:type="dcterms:W3CDTF">2026-09-11T08:16:18Z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