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The Order" sheetId="3" state="visible" r:id="rId5"/>
    <sheet name="Days to Cash" sheetId="4" state="visible" r:id="rId6"/>
    <sheet name="Six Routes at 90 Days" sheetId="5" state="visible" r:id="rId7"/>
    <sheet name="The Naive Table" sheetId="6" state="visible" r:id="rId8"/>
    <sheet name="Check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<sst xmlns="http://schemas.openxmlformats.org/spreadsheetml/2006/main" count="565" uniqueCount="417">
  <si>
    <t xml:space="preserve">Trade Finance -- Workbook 1 of 4</t>
  </si>
  <si>
    <t xml:space="preserve">The Order and the Six Routes: one export order, six ways to be paid</t>
  </si>
  <si>
    <t xml:space="preserve">Julian R. Sterling. Companion files: julianrsterling.com/tradefinance</t>
  </si>
  <si>
    <t xml:space="preserve">What this workbook does</t>
  </si>
  <si>
    <t xml:space="preserve">Rebuilds the economics of a single 4,200,000 export order from its inputs -- price, cost,</t>
  </si>
  <si>
    <t xml:space="preserve">overhead, calendar -- and then prices all six routes to payment at ONE held set of buyer</t>
  </si>
  <si>
    <t xml:space="preserve">terms, so that the instrument is the only thing that moves between the rows.</t>
  </si>
  <si>
    <t xml:space="preserve">It then prints the table everyone actually builds, in which each instrument carries its own</t>
  </si>
  <si>
    <t xml:space="preserve">natural terms, and shows why that table misleads.</t>
  </si>
  <si>
    <t xml:space="preserve">Chapters 1, 2 and 3 of the book are reproduced here in full.</t>
  </si>
  <si>
    <t xml:space="preserve">Conventions</t>
  </si>
  <si>
    <t xml:space="preserve">Blue text is an input. Change it and everything recomputes.</t>
  </si>
  <si>
    <t xml:space="preserve">A yellow fill marks an assumption that decides the answer rather than merely feeding it.</t>
  </si>
  <si>
    <t xml:space="preserve">Black text is a formula. Do not overtype it.</t>
  </si>
  <si>
    <t xml:space="preserve">Green text on the Checks sheet is a link to a computed cell.</t>
  </si>
  <si>
    <t xml:space="preserve">A blank cell in a build-up means the component does not bear on that route at all.</t>
  </si>
  <si>
    <t xml:space="preserve">Three conventions that decide the arithmetic</t>
  </si>
  <si>
    <t xml:space="preserve">Money is charged on the exporter's COST, not on the price. The exporter's own facility funds</t>
  </si>
  <si>
    <t xml:space="preserve">3,423,000 of goods, not 4,200,000 of invoice. This is the book's central point and the line</t>
  </si>
  <si>
    <t xml:space="preserve">most often got wrong in practice.</t>
  </si>
  <si>
    <t xml:space="preserve">A bank discount is computed on the FACE and earned on the PROCEEDS. It is not a yield.</t>
  </si>
  <si>
    <t xml:space="preserve">Money is actual/360. Probability is annualised on 365: a one-year default probability over a</t>
  </si>
  <si>
    <t xml:space="preserve">period of d days is 1-(1-pd)^(d/365).</t>
  </si>
  <si>
    <t xml:space="preserve">The Checks sheet</t>
  </si>
  <si>
    <t xml:space="preserve">Every figure the book prints from this workbook's scope appears there beside the figure this</t>
  </si>
  <si>
    <t xml:space="preserve">workbook computes, with the difference and PASS or FAIL. If a check ever reads FAIL, the</t>
  </si>
  <si>
    <t xml:space="preserve">workbook is wrong, not the book. The tolerance on each row is half the last digit the book</t>
  </si>
  <si>
    <t xml:space="preserve">prints, so a PASS means the computed figure rounds to the printed one.</t>
  </si>
  <si>
    <t xml:space="preserve">Six of the checks are identities: on every route, the margin after finance must equal the</t>
  </si>
  <si>
    <t xml:space="preserve">operating margin before finance less the total cost of the route. They are built from the</t>
  </si>
  <si>
    <t xml:space="preserve">two sides computed independently, so they are a test and not a tautology.</t>
  </si>
  <si>
    <t xml:space="preserve">There are no macros, no external links, no protection and no circular references.</t>
  </si>
  <si>
    <t xml:space="preserve">The file behaves identically in Excel, LibreOffice and Google Sheets.</t>
  </si>
  <si>
    <t xml:space="preserve">Inputs</t>
  </si>
  <si>
    <t xml:space="preserve">Every number the workbook is allowed to start from. Nothing else is typed.</t>
  </si>
  <si>
    <t xml:space="preserve">Value</t>
  </si>
  <si>
    <t xml:space="preserve">What it is</t>
  </si>
  <si>
    <t xml:space="preserve">The order</t>
  </si>
  <si>
    <t xml:space="preserve">Contract value</t>
  </si>
  <si>
    <t xml:space="preserve">What Meridian Process Holdings agrees to pay Harrowgate Instruments</t>
  </si>
  <si>
    <t xml:space="preserve">Cost of goods sold, share of the price</t>
  </si>
  <si>
    <t xml:space="preserve">Competitive export instrumentation. It decides how much the exporter must finance</t>
  </si>
  <si>
    <t xml:space="preserve">Selling, general and administrative, share of the price</t>
  </si>
  <si>
    <t xml:space="preserve">Commission, freight forwarding, documentation and the sales overhead carried by this order</t>
  </si>
  <si>
    <t xml:space="preserve">Production, order to ship-ready, days</t>
  </si>
  <si>
    <t xml:space="preserve">Working capital is out from day one</t>
  </si>
  <si>
    <t xml:space="preserve">Transit, port to port and inland, days</t>
  </si>
  <si>
    <t xml:space="preserve">Sailing, discharge and inland haulage to the buyer</t>
  </si>
  <si>
    <t xml:space="preserve">Shipment to presentation of documents, days</t>
  </si>
  <si>
    <t xml:space="preserve">Bill of lading issued, documents assembled and lodged</t>
  </si>
  <si>
    <t xml:space="preserve">Exporter's own cost of funds, a year</t>
  </si>
  <si>
    <t xml:space="preserve">The rate on the exporter's own working-capital facility, actual/360</t>
  </si>
  <si>
    <t xml:space="preserve">The counterparty, its bank and the country</t>
  </si>
  <si>
    <t xml:space="preserve">Buyer one-year probability of default</t>
  </si>
  <si>
    <t xml:space="preserve">Meridian's own credit. It drives the expected loss on every unsecured route</t>
  </si>
  <si>
    <t xml:space="preserve">Loss given default on an unsecured trade claim</t>
  </si>
  <si>
    <t xml:space="preserve">What is not recovered once a trade debtor fails</t>
  </si>
  <si>
    <t xml:space="preserve">Issuing bank one-year probability of default</t>
  </si>
  <si>
    <t xml:space="preserve">The bank is stronger than the buyer, but it is not riskless</t>
  </si>
  <si>
    <t xml:space="preserve">Country transfer and convertibility event, one year</t>
  </si>
  <si>
    <t xml:space="preserve">The money exists and cannot leave</t>
  </si>
  <si>
    <t xml:space="preserve">What the instruments are priced at</t>
  </si>
  <si>
    <t xml:space="preserve">Advising fee, flat</t>
  </si>
  <si>
    <t xml:space="preserve">Charged once per credit by the advising bank</t>
  </si>
  <si>
    <t xml:space="preserve">Document examination, share of the drawing</t>
  </si>
  <si>
    <t xml:space="preserve">Charged by the nominated bank on each presentation</t>
  </si>
  <si>
    <t xml:space="preserve">Document examination, minimum</t>
  </si>
  <si>
    <t xml:space="preserve">The floor. On this order the percentage bites, not the floor</t>
  </si>
  <si>
    <t xml:space="preserve">Confirmation, a year</t>
  </si>
  <si>
    <t xml:space="preserve">Charged on the confirmed amount for the period the confirmation runs</t>
  </si>
  <si>
    <t xml:space="preserve">Confirmation, minimum</t>
  </si>
  <si>
    <t xml:space="preserve">The floor under the confirmation fee</t>
  </si>
  <si>
    <t xml:space="preserve">Discount, a year</t>
  </si>
  <si>
    <t xml:space="preserve">The confirming bank's discount rate. A BANK DISCOUNT on the face, not a yield</t>
  </si>
  <si>
    <t xml:space="preserve">Collection fee, share of the bill</t>
  </si>
  <si>
    <t xml:space="preserve">The remitting and collecting banks' handling charge</t>
  </si>
  <si>
    <t xml:space="preserve">Collection fee, minimum</t>
  </si>
  <si>
    <t xml:space="preserve">The floor under the collection fee</t>
  </si>
  <si>
    <t xml:space="preserve">Receivables purchase discount, a year</t>
  </si>
  <si>
    <t xml:space="preserve">The purchaser's discount rate, again taken on the face</t>
  </si>
  <si>
    <t xml:space="preserve">Receivables purchase commission, share of the invoice</t>
  </si>
  <si>
    <t xml:space="preserve">The purchaser's fee for taking the name and the administration</t>
  </si>
  <si>
    <t xml:space="preserve">Credit insurance premium, share of the invoice</t>
  </si>
  <si>
    <t xml:space="preserve">The policy premium on this order</t>
  </si>
  <si>
    <t xml:space="preserve">Credit insurance cover, share of a loss</t>
  </si>
  <si>
    <t xml:space="preserve">The policy pays this share. The exporter keeps the rest</t>
  </si>
  <si>
    <t xml:space="preserve">Couriers, legalisation and certificates</t>
  </si>
  <si>
    <t xml:space="preserve">The documents themselves: courier, consular legalisation, certificates of origin</t>
  </si>
  <si>
    <t xml:space="preserve">Amendment fee, and there is always one</t>
  </si>
  <si>
    <t xml:space="preserve">One amendment per credit is the working assumption</t>
  </si>
  <si>
    <t xml:space="preserve">The bank machinery, in days</t>
  </si>
  <si>
    <t xml:space="preserve">Collection cycle, presentation to remittance</t>
  </si>
  <si>
    <t xml:space="preserve">D/P and D/A: lodging, payment or acceptance, remittance of funds</t>
  </si>
  <si>
    <t xml:space="preserve">Handling under a credit, examination to settlement</t>
  </si>
  <si>
    <t xml:space="preserve">The nominated bank's five banking days to examine and settle</t>
  </si>
  <si>
    <t xml:space="preserve">Settlement of a receivables purchase after documents</t>
  </si>
  <si>
    <t xml:space="preserve">The purchaser pays four days after the documents are delivered</t>
  </si>
  <si>
    <t xml:space="preserve">The document mechanics of a credit</t>
  </si>
  <si>
    <t xml:space="preserve">First presentations refused on a discrepancy</t>
  </si>
  <si>
    <t xml:space="preserve">The industry's own figure, and it decides how long a credit really takes</t>
  </si>
  <si>
    <t xml:space="preserve">Of those refused, share the applicant waives</t>
  </si>
  <si>
    <t xml:space="preserve">A refusal almost always ends in payment. What it destroys is the schedule</t>
  </si>
  <si>
    <t xml:space="preserve">Days lost per correction cycle</t>
  </si>
  <si>
    <t xml:space="preserve">Refusal, correction, re-presentation</t>
  </si>
  <si>
    <t xml:space="preserve">Correction cycles expected on a refusal</t>
  </si>
  <si>
    <t xml:space="preserve">One correction round is assumed on a refused presentation</t>
  </si>
  <si>
    <t xml:space="preserve">The five judgement inputs</t>
  </si>
  <si>
    <t xml:space="preserve">These are judgements, not measurements, and no sensitivity table in the book stresses them.</t>
  </si>
  <si>
    <t xml:space="preserve">Refusal multiple on D/P, against the buyer's default probability</t>
  </si>
  <si>
    <t xml:space="preserve">A buyer refuses to take up documents more readily than it defaults outright</t>
  </si>
  <si>
    <t xml:space="preserve">Loss on a refused D/P consignment, share of contract value</t>
  </si>
  <si>
    <t xml:space="preserve">Goods at a foreign port, sold under duress in the wrong market</t>
  </si>
  <si>
    <t xml:space="preserve">D/A expected loss as a share of the open-account loss</t>
  </si>
  <si>
    <t xml:space="preserve">An accepted bill is worth something only where it is quickly enforceable</t>
  </si>
  <si>
    <t xml:space="preserve">Dispute rate on a purchased receivable</t>
  </si>
  <si>
    <t xml:space="preserve">Dilution. A commercial dispute is not a credit event, so non-recourse does not cover it</t>
  </si>
  <si>
    <t xml:space="preserve">Loss on a disputed receivable, share of contract value</t>
  </si>
  <si>
    <t xml:space="preserve">What the dispute costs when it lands</t>
  </si>
  <si>
    <t xml:space="preserve">Extra days of buyer exposure on an unwaived refusal</t>
  </si>
  <si>
    <t xml:space="preserve">The time an unwaived refusal takes to argue out</t>
  </si>
  <si>
    <t xml:space="preserve">The terms</t>
  </si>
  <si>
    <t xml:space="preserve">Days of buyer credit, HELD across all six routes</t>
  </si>
  <si>
    <t xml:space="preserve">The held-terms comparison. The instrument is the only thing that moves</t>
  </si>
  <si>
    <t xml:space="preserve">Days of buyer credit on the confirmed credit at its natural term</t>
  </si>
  <si>
    <t xml:space="preserve">Used only in the naive table, where each instrument keeps its own terms</t>
  </si>
  <si>
    <t xml:space="preserve">Day-count conventions</t>
  </si>
  <si>
    <t xml:space="preserve">Days in a year for money, actual/360</t>
  </si>
  <si>
    <t xml:space="preserve">The money-market convention trade finance actually uses</t>
  </si>
  <si>
    <t xml:space="preserve">Days in a year for annualising a probability</t>
  </si>
  <si>
    <t xml:space="preserve">A one-year PD over d days is 1-(1-pd)^(d/365)</t>
  </si>
  <si>
    <t xml:space="preserve">Harrowgate Instruments to Meridian Process Holdings. Every cell below is a formula off Inputs.</t>
  </si>
  <si>
    <t xml:space="preserve">Price, cost and margin</t>
  </si>
  <si>
    <t xml:space="preserve">Cost of goods sold</t>
  </si>
  <si>
    <t xml:space="preserve">The price times the cost percentage. This is what the facility funds</t>
  </si>
  <si>
    <t xml:space="preserve">GROSS MARGIN</t>
  </si>
  <si>
    <t xml:space="preserve">Gross margin, share of the price</t>
  </si>
  <si>
    <t xml:space="preserve">Selling, general and administrative on this order</t>
  </si>
  <si>
    <t xml:space="preserve">SG&amp;A, share of the price</t>
  </si>
  <si>
    <t xml:space="preserve">OPERATING MARGIN BEFORE ANY FINANCE COST</t>
  </si>
  <si>
    <t xml:space="preserve">The number every route is measured against. Finance has not been charged yet</t>
  </si>
  <si>
    <t xml:space="preserve">Operating margin, share of the price</t>
  </si>
  <si>
    <t xml:space="preserve">The calendar, before the buyer's payment period even starts</t>
  </si>
  <si>
    <t xml:space="preserve">Production, order to ship-ready</t>
  </si>
  <si>
    <t xml:space="preserve">Transit, port to port and inland</t>
  </si>
  <si>
    <t xml:space="preserve">Shipment to presentation of documents</t>
  </si>
  <si>
    <t xml:space="preserve">DAYS GONE BEFORE THE BUYER'S PERIOD CAN START</t>
  </si>
  <si>
    <t xml:space="preserve">The order is a hundred and five days old before a single day of buyer credit is granted</t>
  </si>
  <si>
    <t xml:space="preserve">Days of buyer credit, held terms</t>
  </si>
  <si>
    <t xml:space="preserve">Order to cash on open account at those terms</t>
  </si>
  <si>
    <t xml:space="preserve">Documents never reach a bank on open account, so the nine days do not add</t>
  </si>
  <si>
    <t xml:space="preserve">What the exporter's own facility funds</t>
  </si>
  <si>
    <t xml:space="preserve">Amount financed -- the COST, not the price</t>
  </si>
  <si>
    <t xml:space="preserve">Money goes out to make the goods. It does not go out at the invoice value</t>
  </si>
  <si>
    <t xml:space="preserve">Cost of the facility, a day</t>
  </si>
  <si>
    <t xml:space="preserve">Cost as a share of the price</t>
  </si>
  <si>
    <t xml:space="preserve">Break-even discount rate: own funds times cost over price</t>
  </si>
  <si>
    <t xml:space="preserve">Below this rate a discount on the price is cheaper than the facility on the cost</t>
  </si>
  <si>
    <t xml:space="preserve">The bank machinery this order will meet</t>
  </si>
  <si>
    <t xml:space="preserve">Discrepancy delay, probability-weighted</t>
  </si>
  <si>
    <t xml:space="preserve">62 per cent of presentations are refused, and a correction round costs eleven days</t>
  </si>
  <si>
    <t xml:space="preserve">Probability of a refusal the applicant does not waive</t>
  </si>
  <si>
    <t xml:space="preserve">The only way a confirmed credit still fails to pay</t>
  </si>
  <si>
    <t xml:space="preserve">Cost of the discrepancy delay in money</t>
  </si>
  <si>
    <t xml:space="preserve">Rounded, as the prose uses them</t>
  </si>
  <si>
    <t xml:space="preserve">The order, in millions</t>
  </si>
  <si>
    <t xml:space="preserve">The operating margin, in thousands</t>
  </si>
  <si>
    <t xml:space="preserve">Days to cash, route by route</t>
  </si>
  <si>
    <t xml:space="preserve">The buyer's terms are held at the same number on every row. The days are not the same, because each instrument carries its own machinery.</t>
  </si>
  <si>
    <t xml:space="preserve">Route</t>
  </si>
  <si>
    <t xml:space="preserve">Stated term</t>
  </si>
  <si>
    <t xml:space="preserve">Production</t>
  </si>
  <si>
    <t xml:space="preserve">Transit</t>
  </si>
  <si>
    <t xml:space="preserve">Document prep</t>
  </si>
  <si>
    <t xml:space="preserve">Bank machinery</t>
  </si>
  <si>
    <t xml:space="preserve">Discrepancy delay</t>
  </si>
  <si>
    <t xml:space="preserve">Buyer credit financed</t>
  </si>
  <si>
    <t xml:space="preserve">DAYS TO CASH</t>
  </si>
  <si>
    <t xml:space="preserve">Exposure days</t>
  </si>
  <si>
    <t xml:space="preserve">B/L to start of terms</t>
  </si>
  <si>
    <t xml:space="preserve">Buyer credit from the B/L</t>
  </si>
  <si>
    <t xml:space="preserve">Open account, 90 days</t>
  </si>
  <si>
    <t xml:space="preserve">Terms run from the bill of lading. No bank touches the documents</t>
  </si>
  <si>
    <t xml:space="preserve">Open account, 90 days, credit insured</t>
  </si>
  <si>
    <t xml:space="preserve">The policy changes the loss, not the calendar</t>
  </si>
  <si>
    <t xml:space="preserve">Documents against acceptance (D/A)</t>
  </si>
  <si>
    <t xml:space="preserve">Terms run from acceptance, which is sixteen days after the bill of lading</t>
  </si>
  <si>
    <t xml:space="preserve">Usance credit, unconfirmed, held to maturity</t>
  </si>
  <si>
    <t xml:space="preserve">Terms run from a complying presentation, and 62 per cent of them are not complying</t>
  </si>
  <si>
    <t xml:space="preserve">Confirmed usance credit, 90 days, discounted</t>
  </si>
  <si>
    <t xml:space="preserve">The bank pays at presentation. The buyer's ninety days are the bank's problem</t>
  </si>
  <si>
    <t xml:space="preserve">Receivables purchase, non-recourse, 90-day receivable</t>
  </si>
  <si>
    <t xml:space="preserve">The receivable is sold four days after the documents are delivered</t>
  </si>
  <si>
    <t xml:space="preserve">Notes</t>
  </si>
  <si>
    <t xml:space="preserve">Days to cash is the sum of the six components to its left. Nothing is typed into it.</t>
  </si>
  <si>
    <t xml:space="preserve">Exposure days is the period over which the risk actually runs, and it is not days to cash: production is the exporter's own money, not the buyer's credit.</t>
  </si>
  <si>
    <t xml:space="preserve">Buyer credit from the bill of lading is the stated term plus the delay before the term starts running. A stated ninety days is ninety days on open account, a hundred and six on D/A and a hundred and eleven on an unconfirmed usance credit.</t>
  </si>
  <si>
    <t xml:space="preserve">On the confirmed discounted credit and the receivables purchase the exporter is paid before the buyer's period runs, so the exporter finances none of it. The buyer still gets ninety days.</t>
  </si>
  <si>
    <t xml:space="preserve">Six routes at ninety days of buyer credit</t>
  </si>
  <si>
    <t xml:space="preserve">The buyer gets ninety days in every row. Only the instrument moves. This is the honest table.</t>
  </si>
  <si>
    <t xml:space="preserve">Working one -- the expected loss</t>
  </si>
  <si>
    <t xml:space="preserve">Buyer PD over the exposure</t>
  </si>
  <si>
    <t xml:space="preserve">Bank or country PD over the exposure</t>
  </si>
  <si>
    <t xml:space="preserve">Refusal not waived</t>
  </si>
  <si>
    <t xml:space="preserve">Days behind an unwaived refusal</t>
  </si>
  <si>
    <t xml:space="preserve">Buyer PD over those days</t>
  </si>
  <si>
    <t xml:space="preserve">Bank and country loss</t>
  </si>
  <si>
    <t xml:space="preserve">Document loss</t>
  </si>
  <si>
    <t xml:space="preserve">EXPECTED LOSS</t>
  </si>
  <si>
    <t xml:space="preserve">Working two -- fees and the discount</t>
  </si>
  <si>
    <t xml:space="preserve">Advising</t>
  </si>
  <si>
    <t xml:space="preserve">Document examination</t>
  </si>
  <si>
    <t xml:space="preserve">Collection fee</t>
  </si>
  <si>
    <t xml:space="preserve">Confirmation</t>
  </si>
  <si>
    <t xml:space="preserve">Credit insurance premium</t>
  </si>
  <si>
    <t xml:space="preserve">Receivables commission</t>
  </si>
  <si>
    <t xml:space="preserve">Couriers and documents</t>
  </si>
  <si>
    <t xml:space="preserve">Amendment</t>
  </si>
  <si>
    <t xml:space="preserve">Discount on the face</t>
  </si>
  <si>
    <t xml:space="preserve">FEES AND DISCOUNT</t>
  </si>
  <si>
    <t xml:space="preserve">Cash received</t>
  </si>
  <si>
    <t xml:space="preserve">Working three -- financing, charged on the COST</t>
  </si>
  <si>
    <t xml:space="preserve">Days to cash</t>
  </si>
  <si>
    <t xml:space="preserve">Amount financed (the cost)</t>
  </si>
  <si>
    <t xml:space="preserve">Rate a year</t>
  </si>
  <si>
    <t xml:space="preserve">Day-count divisor</t>
  </si>
  <si>
    <t xml:space="preserve">FINANCING</t>
  </si>
  <si>
    <t xml:space="preserve">Ninety days of buyer credit, six routes</t>
  </si>
  <si>
    <t xml:space="preserve">Financing</t>
  </si>
  <si>
    <t xml:space="preserve">Fees and discount</t>
  </si>
  <si>
    <t xml:space="preserve">Expected loss</t>
  </si>
  <si>
    <t xml:space="preserve">TOTAL COST</t>
  </si>
  <si>
    <t xml:space="preserve">Cost as share of the operating margin</t>
  </si>
  <si>
    <t xml:space="preserve">Margin after finance</t>
  </si>
  <si>
    <t xml:space="preserve">Margin per cent</t>
  </si>
  <si>
    <t xml:space="preserve">Effective cost a year</t>
  </si>
  <si>
    <t xml:space="preserve">Identity check</t>
  </si>
  <si>
    <t xml:space="preserve">Margin after finance is built from the cash the exporter keeps, not from the operating margin, so column M is a test and not a tautology.</t>
  </si>
  <si>
    <t xml:space="preserve">What the table says</t>
  </si>
  <si>
    <t xml:space="preserve">Cheapest instrument at ninety days</t>
  </si>
  <si>
    <t xml:space="preserve">Its total cost</t>
  </si>
  <si>
    <t xml:space="preserve">Dearest instrument at ninety days</t>
  </si>
  <si>
    <t xml:space="preserve">Spread between them</t>
  </si>
  <si>
    <t xml:space="preserve">Spread as a share of the operating margin</t>
  </si>
  <si>
    <t xml:space="preserve">Best margin after finance</t>
  </si>
  <si>
    <t xml:space="preserve">Worst margin after finance</t>
  </si>
  <si>
    <t xml:space="preserve">Routes that turn the order into a loss</t>
  </si>
  <si>
    <t xml:space="preserve">What a credit removes, against what it introduces</t>
  </si>
  <si>
    <t xml:space="preserve">Exposure period on the unconfirmed credit, days</t>
  </si>
  <si>
    <t xml:space="preserve">The period the issuing bank and the country are on risk</t>
  </si>
  <si>
    <t xml:space="preserve">Probability the issuing bank or the country fails</t>
  </si>
  <si>
    <t xml:space="preserve">Probability the presentation is refused AND not waived</t>
  </si>
  <si>
    <t xml:space="preserve">The document risk as a multiple of the bank and country risk</t>
  </si>
  <si>
    <t xml:space="preserve">More LIKELY, and an order of magnitude less COSTLY. Never print it without the two losses below</t>
  </si>
  <si>
    <t xml:space="preserve">Expected loss attributed to bank and country</t>
  </si>
  <si>
    <t xml:space="preserve">Expected loss attributed to documents</t>
  </si>
  <si>
    <t xml:space="preserve">Expected delay from discrepancies, days</t>
  </si>
  <si>
    <t xml:space="preserve">Cost of that delay</t>
  </si>
  <si>
    <t xml:space="preserve">The table everyone actually builds, and why it misleads</t>
  </si>
  <si>
    <t xml:space="preserve">Each instrument at the terms it is naturally quoted with, so the buyer's payment period is DIFFERENT in every row. A sight credit looks cheap because it also declines to lend the buyer anything.</t>
  </si>
  <si>
    <t xml:space="preserve">Working one -- the calendar, each route on its own terms</t>
  </si>
  <si>
    <t xml:space="preserve">Documentary collection (D/P)</t>
  </si>
  <si>
    <t xml:space="preserve">Sight. The buyer gets no credit at all, which is why the row looks cheap</t>
  </si>
  <si>
    <t xml:space="preserve">Sight credit, unconfirmed</t>
  </si>
  <si>
    <t xml:space="preserve">Sight. Same concession withheld, dressed as an instrument</t>
  </si>
  <si>
    <t xml:space="preserve">Confirmed usance credit, 120 days, discounted</t>
  </si>
  <si>
    <t xml:space="preserve">Working two -- the expected loss</t>
  </si>
  <si>
    <t xml:space="preserve">Working three -- fees and the discount</t>
  </si>
  <si>
    <t xml:space="preserve">Each instrument at its own natural terms</t>
  </si>
  <si>
    <t xml:space="preserve">Why the table misleads</t>
  </si>
  <si>
    <t xml:space="preserve">Days of buyer credit in the cheapest row</t>
  </si>
  <si>
    <t xml:space="preserve">Nothing. The D/P row is cheap because the buyer is lent nothing</t>
  </si>
  <si>
    <t xml:space="preserve">Days of buyer credit in the dearest row</t>
  </si>
  <si>
    <t xml:space="preserve">A hundred and twenty days, folded into what is presented as an instrument charge</t>
  </si>
  <si>
    <t xml:space="preserve">Total cost, cheapest row</t>
  </si>
  <si>
    <t xml:space="preserve">Total cost, dearest row</t>
  </si>
  <si>
    <t xml:space="preserve">Apparent spread</t>
  </si>
  <si>
    <t xml:space="preserve">Almost all of it is the commercial concession, not the instrument</t>
  </si>
  <si>
    <t xml:space="preserve">Spread on the honest table, where the terms are held</t>
  </si>
  <si>
    <t xml:space="preserve">The instrument's real range once the buyer's terms stop moving</t>
  </si>
  <si>
    <t xml:space="preserve">How much of the apparent spread is the concession</t>
  </si>
  <si>
    <t xml:space="preserve">Checks</t>
  </si>
  <si>
    <t xml:space="preserve">Every figure the book prints from this workbook's scope, beside the figure this workbook computes.</t>
  </si>
  <si>
    <t xml:space="preserve">A FAIL means the workbook is wrong, not the book. The tolerance is half the last digit the book prints.</t>
  </si>
  <si>
    <t xml:space="preserve">Figure</t>
  </si>
  <si>
    <t xml:space="preserve">As printed</t>
  </si>
  <si>
    <t xml:space="preserve">Computed</t>
  </si>
  <si>
    <t xml:space="preserve">Difference</t>
  </si>
  <si>
    <t xml:space="preserve">Verdict</t>
  </si>
  <si>
    <t xml:space="preserve">Chapter 1 -- the order</t>
  </si>
  <si>
    <t xml:space="preserve">Gross margin</t>
  </si>
  <si>
    <t xml:space="preserve">Selling, general and administrative</t>
  </si>
  <si>
    <t xml:space="preserve">Production, days</t>
  </si>
  <si>
    <t xml:space="preserve">Transit, days</t>
  </si>
  <si>
    <t xml:space="preserve">Days gone before the buyer's period can start</t>
  </si>
  <si>
    <t xml:space="preserve">Break-even discount rate</t>
  </si>
  <si>
    <t xml:space="preserve">Chapter 2 -- the bank machinery</t>
  </si>
  <si>
    <t xml:space="preserve">Collection cycle, days</t>
  </si>
  <si>
    <t xml:space="preserve">Handling under a credit, days</t>
  </si>
  <si>
    <t xml:space="preserve">Discrepancy delay, probability-weighted, days</t>
  </si>
  <si>
    <t xml:space="preserve">Cost of the discrepancy delay</t>
  </si>
  <si>
    <t xml:space="preserve">Chapter 2 -- days to cash at ninety days of buyer credit</t>
  </si>
  <si>
    <t xml:space="preserve">Days to cash: Open account, 90 days</t>
  </si>
  <si>
    <t xml:space="preserve">Days to cash: Open account, 90 days, credit insured</t>
  </si>
  <si>
    <t xml:space="preserve">Days to cash: Documents against acceptance (D/A)</t>
  </si>
  <si>
    <t xml:space="preserve">Days to cash: Usance credit, unconfirmed, held to maturity</t>
  </si>
  <si>
    <t xml:space="preserve">Days to cash: Confirmed usance credit, 90 days, discounted</t>
  </si>
  <si>
    <t xml:space="preserve">Days to cash: Receivables purchase, non-recourse, 90-day receivable</t>
  </si>
  <si>
    <t xml:space="preserve">Buyer credit from the B/L: Open account, 90 days</t>
  </si>
  <si>
    <t xml:space="preserve">Buyer credit from the B/L: Open account, 90 days, credit insured</t>
  </si>
  <si>
    <t xml:space="preserve">Buyer credit from the B/L: Documents against acceptance (D/A)</t>
  </si>
  <si>
    <t xml:space="preserve">Buyer credit from the B/L: Usance credit, unconfirmed, held to maturity</t>
  </si>
  <si>
    <t xml:space="preserve">Buyer credit from the B/L: Confirmed usance credit, 90 days, discounted</t>
  </si>
  <si>
    <t xml:space="preserve">Buyer credit from the B/L: Receivables purchase, non-recourse, 90-day receivable</t>
  </si>
  <si>
    <t xml:space="preserve">Chapter 2 -- exposure and the risk a credit introduces</t>
  </si>
  <si>
    <t xml:space="preserve">Probability the presentation is refused and not waived</t>
  </si>
  <si>
    <t xml:space="preserve">Document risk as a multiple of bank and country risk</t>
  </si>
  <si>
    <t xml:space="preserve">Chapter 3 -- ninety days of buyer credit, six routes</t>
  </si>
  <si>
    <t xml:space="preserve">Open account, 90 days -- days to cash</t>
  </si>
  <si>
    <t xml:space="preserve">Open account, 90 days -- financing</t>
  </si>
  <si>
    <t xml:space="preserve">Open account, 90 days -- fees and discount</t>
  </si>
  <si>
    <t xml:space="preserve">Open account, 90 days -- expected loss</t>
  </si>
  <si>
    <t xml:space="preserve">Open account, 90 days -- total cost</t>
  </si>
  <si>
    <t xml:space="preserve">Open account, 90 days -- cost as share of the operating margin</t>
  </si>
  <si>
    <t xml:space="preserve">Open account, 90 days -- margin after finance</t>
  </si>
  <si>
    <t xml:space="preserve">Open account, 90 days -- margin per cent</t>
  </si>
  <si>
    <t xml:space="preserve">Open account, 90 days -- effective cost a year</t>
  </si>
  <si>
    <t xml:space="preserve">Open account, 90 days, credit insured -- days to cash</t>
  </si>
  <si>
    <t xml:space="preserve">Open account, 90 days, credit insured -- financing</t>
  </si>
  <si>
    <t xml:space="preserve">Open account, 90 days, credit insured -- fees and discount</t>
  </si>
  <si>
    <t xml:space="preserve">Open account, 90 days, credit insured -- expected loss</t>
  </si>
  <si>
    <t xml:space="preserve">Open account, 90 days, credit insured -- total cost</t>
  </si>
  <si>
    <t xml:space="preserve">Open account, 90 days, credit insured -- cost as share of the operating margin</t>
  </si>
  <si>
    <t xml:space="preserve">Open account, 90 days, credit insured -- margin after finance</t>
  </si>
  <si>
    <t xml:space="preserve">Open account, 90 days, credit insured -- margin per cent</t>
  </si>
  <si>
    <t xml:space="preserve">Open account, 90 days, credit insured -- effective cost a year</t>
  </si>
  <si>
    <t xml:space="preserve">Documents against acceptance (D/A) -- days to cash</t>
  </si>
  <si>
    <t xml:space="preserve">Documents against acceptance (D/A) -- financing</t>
  </si>
  <si>
    <t xml:space="preserve">Documents against acceptance (D/A) -- fees and discount</t>
  </si>
  <si>
    <t xml:space="preserve">Documents against acceptance (D/A) -- expected loss</t>
  </si>
  <si>
    <t xml:space="preserve">Documents against acceptance (D/A) -- total cost</t>
  </si>
  <si>
    <t xml:space="preserve">Documents against acceptance (D/A) -- cost as share of the operating margin</t>
  </si>
  <si>
    <t xml:space="preserve">Documents against acceptance (D/A) -- margin after finance</t>
  </si>
  <si>
    <t xml:space="preserve">Documents against acceptance (D/A) -- margin per cent</t>
  </si>
  <si>
    <t xml:space="preserve">Documents against acceptance (D/A) -- effective cost a year</t>
  </si>
  <si>
    <t xml:space="preserve">Usance credit, unconfirmed, held to maturity -- days to cash</t>
  </si>
  <si>
    <t xml:space="preserve">Usance credit, unconfirmed, held to maturity -- financing</t>
  </si>
  <si>
    <t xml:space="preserve">Usance credit, unconfirmed, held to maturity -- fees and discount</t>
  </si>
  <si>
    <t xml:space="preserve">Usance credit, unconfirmed, held to maturity -- expected loss</t>
  </si>
  <si>
    <t xml:space="preserve">Usance credit, unconfirmed, held to maturity -- total cost</t>
  </si>
  <si>
    <t xml:space="preserve">Usance credit, unconfirmed, held to maturity -- cost as share of the operating margin</t>
  </si>
  <si>
    <t xml:space="preserve">Usance credit, unconfirmed, held to maturity -- margin after finance</t>
  </si>
  <si>
    <t xml:space="preserve">Usance credit, unconfirmed, held to maturity -- margin per cent</t>
  </si>
  <si>
    <t xml:space="preserve">Usance credit, unconfirmed, held to maturity -- effective cost a year</t>
  </si>
  <si>
    <t xml:space="preserve">Confirmed usance credit, 90 days, discounted -- days to cash</t>
  </si>
  <si>
    <t xml:space="preserve">Confirmed usance credit, 90 days, discounted -- financing</t>
  </si>
  <si>
    <t xml:space="preserve">Confirmed usance credit, 90 days, discounted -- fees and discount</t>
  </si>
  <si>
    <t xml:space="preserve">Confirmed usance credit, 90 days, discounted -- expected loss</t>
  </si>
  <si>
    <t xml:space="preserve">Confirmed usance credit, 90 days, discounted -- total cost</t>
  </si>
  <si>
    <t xml:space="preserve">Confirmed usance credit, 90 days, discounted -- cost as share of the operating margin</t>
  </si>
  <si>
    <t xml:space="preserve">Confirmed usance credit, 90 days, discounted -- margin after finance</t>
  </si>
  <si>
    <t xml:space="preserve">Confirmed usance credit, 90 days, discounted -- margin per cent</t>
  </si>
  <si>
    <t xml:space="preserve">Confirmed usance credit, 90 days, discounted -- effective cost a year</t>
  </si>
  <si>
    <t xml:space="preserve">Receivables purchase, non-recourse, 90-day receivable -- days to cash</t>
  </si>
  <si>
    <t xml:space="preserve">Receivables purchase, non-recourse, 90-day receivable -- financing</t>
  </si>
  <si>
    <t xml:space="preserve">Receivables purchase, non-recourse, 90-day receivable -- fees and discount</t>
  </si>
  <si>
    <t xml:space="preserve">Receivables purchase, non-recourse, 90-day receivable -- expected loss</t>
  </si>
  <si>
    <t xml:space="preserve">Receivables purchase, non-recourse, 90-day receivable -- total cost</t>
  </si>
  <si>
    <t xml:space="preserve">Receivables purchase, non-recourse, 90-day receivable -- cost as share of the operating margin</t>
  </si>
  <si>
    <t xml:space="preserve">Receivables purchase, non-recourse, 90-day receivable -- margin after finance</t>
  </si>
  <si>
    <t xml:space="preserve">Receivables purchase, non-recourse, 90-day receivable -- margin per cent</t>
  </si>
  <si>
    <t xml:space="preserve">Receivables purchase, non-recourse, 90-day receivable -- effective cost a year</t>
  </si>
  <si>
    <t xml:space="preserve">Chapter 3 -- the identity on every route: margin after finance = 306,600 less total cost</t>
  </si>
  <si>
    <t xml:space="preserve">Identity: Open account, 90 days</t>
  </si>
  <si>
    <t xml:space="preserve">Identity: Open account, 90 days, credit insured</t>
  </si>
  <si>
    <t xml:space="preserve">Identity: Documents against acceptance (D/A)</t>
  </si>
  <si>
    <t xml:space="preserve">Identity: Usance credit, unconfirmed, held to maturity</t>
  </si>
  <si>
    <t xml:space="preserve">Identity: Confirmed usance credit, 90 days, discounted</t>
  </si>
  <si>
    <t xml:space="preserve">Identity: Receivables purchase, non-recourse, 90-day receivable</t>
  </si>
  <si>
    <t xml:space="preserve">Chapter 3 -- what the held table says</t>
  </si>
  <si>
    <t xml:space="preserve">Cheapest instrument, total cost</t>
  </si>
  <si>
    <t xml:space="preserve">Dearest instrument, total cost</t>
  </si>
  <si>
    <t xml:space="preserve">Chapter 3 -- each instrument at its own natural terms</t>
  </si>
  <si>
    <t xml:space="preserve">Documentary collection (D/P) -- days to cash</t>
  </si>
  <si>
    <t xml:space="preserve">Documentary collection (D/P) -- financing</t>
  </si>
  <si>
    <t xml:space="preserve">Documentary collection (D/P) -- fees and discount</t>
  </si>
  <si>
    <t xml:space="preserve">Documentary collection (D/P) -- expected loss</t>
  </si>
  <si>
    <t xml:space="preserve">Documentary collection (D/P) -- total cost</t>
  </si>
  <si>
    <t xml:space="preserve">Documentary collection (D/P) -- cost as share of the operating margin</t>
  </si>
  <si>
    <t xml:space="preserve">Documentary collection (D/P) -- margin after finance</t>
  </si>
  <si>
    <t xml:space="preserve">Documentary collection (D/P) -- margin per cent</t>
  </si>
  <si>
    <t xml:space="preserve">Documentary collection (D/P) -- effective cost a year</t>
  </si>
  <si>
    <t xml:space="preserve">Sight credit, unconfirmed -- days to cash</t>
  </si>
  <si>
    <t xml:space="preserve">Sight credit, unconfirmed -- financing</t>
  </si>
  <si>
    <t xml:space="preserve">Sight credit, unconfirmed -- fees and discount</t>
  </si>
  <si>
    <t xml:space="preserve">Sight credit, unconfirmed -- expected loss</t>
  </si>
  <si>
    <t xml:space="preserve">Sight credit, unconfirmed -- total cost</t>
  </si>
  <si>
    <t xml:space="preserve">Sight credit, unconfirmed -- cost as share of the operating margin</t>
  </si>
  <si>
    <t xml:space="preserve">Sight credit, unconfirmed -- margin after finance</t>
  </si>
  <si>
    <t xml:space="preserve">Sight credit, unconfirmed -- margin per cent</t>
  </si>
  <si>
    <t xml:space="preserve">Sight credit, unconfirmed -- effective cost a year</t>
  </si>
  <si>
    <t xml:space="preserve">Confirmed usance credit, 120 days, discounted -- days to cash</t>
  </si>
  <si>
    <t xml:space="preserve">Confirmed usance credit, 120 days, discounted -- financing</t>
  </si>
  <si>
    <t xml:space="preserve">Confirmed usance credit, 120 days, discounted -- fees and discount</t>
  </si>
  <si>
    <t xml:space="preserve">Confirmed usance credit, 120 days, discounted -- expected loss</t>
  </si>
  <si>
    <t xml:space="preserve">Confirmed usance credit, 120 days, discounted -- total cost</t>
  </si>
  <si>
    <t xml:space="preserve">Confirmed usance credit, 120 days, discounted -- cost as share of the operating margin</t>
  </si>
  <si>
    <t xml:space="preserve">Confirmed usance credit, 120 days, discounted -- margin after finance</t>
  </si>
  <si>
    <t xml:space="preserve">Confirmed usance credit, 120 days, discounted -- margin per cent</t>
  </si>
  <si>
    <t xml:space="preserve">Confirmed usance credit, 120 days, discounted -- effective cost a year</t>
  </si>
  <si>
    <t xml:space="preserve">Chapter 3 -- the identity on the naive table too</t>
  </si>
  <si>
    <t xml:space="preserve">Identity: Documentary collection (D/P)</t>
  </si>
  <si>
    <t xml:space="preserve">Identity: Sight credit, unconfirmed</t>
  </si>
  <si>
    <t xml:space="preserve">Identity: Confirmed usance credit, 120 days, discounted</t>
  </si>
  <si>
    <t xml:space="preserve">Checks run</t>
  </si>
  <si>
    <t xml:space="preserve">PASS</t>
  </si>
  <si>
    <t xml:space="preserve">FAIL</t>
  </si>
  <si>
    <t xml:space="preserve">If this reads anything but zero FAIL, the workbook is wrong. Fix the workbook, never the check.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</si>
</sst>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0.0%"/>
    <numFmt numFmtId="167" formatCode="0.00%"/>
    <numFmt numFmtId="168" formatCode="0.0000%"/>
    <numFmt numFmtId="169" formatCode="#,##0.000"/>
    <numFmt numFmtId="170" formatCode="#,##0.00"/>
    <numFmt numFmtId="171" formatCode="#,##0.0"/>
    <numFmt numFmtId="172" formatCode="#,##0.0000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83A"/>
      <name val="Calibri"/>
      <family val="0"/>
      <charset val="1"/>
    </font>
    <font>
      <b val="true"/>
      <sz val="11"/>
      <color rgb="FF14283A"/>
      <name val="Calibri"/>
      <family val="0"/>
      <charset val="1"/>
    </font>
    <font>
      <sz val="10"/>
      <name val="Calibri"/>
      <family val="0"/>
      <charset val="1"/>
    </font>
    <font>
      <sz val="9"/>
      <color rgb="FF666666"/>
      <name val="Calibri"/>
      <family val="0"/>
      <charset val="1"/>
    </font>
    <font>
      <b val="true"/>
      <sz val="10"/>
      <name val="Calibri"/>
      <family val="0"/>
      <charset val="1"/>
    </font>
    <font>
      <sz val="10"/>
      <color rgb="FF0000CC"/>
      <name val="Calibri"/>
      <family val="0"/>
      <charset val="1"/>
    </font>
    <font>
      <sz val="10"/>
      <color rgb="FF0066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BBBBB"/>
      </bottom>
      <diagonal/>
    </border>
    <border diagonalUp="false" diagonalDown="false">
      <left/>
      <right/>
      <top style="thin">
        <color rgb="FF3333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428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5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2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2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 t="s">
        <v>14</v>
      </c>
    </row>
    <row r="20" customFormat="false" ht="1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2" t="s">
        <v>16</v>
      </c>
    </row>
    <row r="23" customFormat="false" ht="15" hidden="false" customHeight="false" outlineLevel="0" collapsed="false">
      <c r="B23" s="3" t="s">
        <v>17</v>
      </c>
    </row>
    <row r="24" customFormat="false" ht="15" hidden="false" customHeight="false" outlineLevel="0" collapsed="false">
      <c r="B24" s="3" t="s">
        <v>18</v>
      </c>
    </row>
    <row r="25" customFormat="false" ht="15" hidden="false" customHeight="false" outlineLevel="0" collapsed="false">
      <c r="B25" s="3" t="s">
        <v>19</v>
      </c>
    </row>
    <row r="26" customFormat="false" ht="15" hidden="false" customHeight="false" outlineLevel="0" collapsed="false">
      <c r="B26" s="3" t="s">
        <v>20</v>
      </c>
    </row>
    <row r="27" customFormat="false" ht="15" hidden="false" customHeight="false" outlineLevel="0" collapsed="false">
      <c r="B27" s="3" t="s">
        <v>21</v>
      </c>
    </row>
    <row r="28" customFormat="false" ht="15" hidden="false" customHeight="false" outlineLevel="0" collapsed="false">
      <c r="B28" s="3" t="s">
        <v>22</v>
      </c>
    </row>
    <row r="29" customFormat="false" ht="15" hidden="false" customHeight="false" outlineLevel="0" collapsed="false">
      <c r="B29" s="3"/>
    </row>
    <row r="30" customFormat="false" ht="15" hidden="false" customHeight="false" outlineLevel="0" collapsed="false">
      <c r="B30" s="2" t="s">
        <v>23</v>
      </c>
    </row>
    <row r="31" customFormat="false" ht="15" hidden="false" customHeight="false" outlineLevel="0" collapsed="false">
      <c r="B31" s="3" t="s">
        <v>24</v>
      </c>
    </row>
    <row r="32" customFormat="false" ht="15" hidden="false" customHeight="false" outlineLevel="0" collapsed="false">
      <c r="B32" s="3" t="s">
        <v>25</v>
      </c>
    </row>
    <row r="33" customFormat="false" ht="15" hidden="false" customHeight="false" outlineLevel="0" collapsed="false">
      <c r="B33" s="3" t="s">
        <v>26</v>
      </c>
    </row>
    <row r="34" customFormat="false" ht="15" hidden="false" customHeight="false" outlineLevel="0" collapsed="false">
      <c r="B34" s="3" t="s">
        <v>27</v>
      </c>
    </row>
    <row r="35" customFormat="false" ht="15" hidden="false" customHeight="false" outlineLevel="0" collapsed="false">
      <c r="B35" s="3" t="s">
        <v>28</v>
      </c>
    </row>
    <row r="36" customFormat="false" ht="15" hidden="false" customHeight="false" outlineLevel="0" collapsed="false">
      <c r="B36" s="3" t="s">
        <v>29</v>
      </c>
    </row>
    <row r="37" customFormat="false" ht="15" hidden="false" customHeight="false" outlineLevel="0" collapsed="false">
      <c r="B37" s="3" t="s">
        <v>30</v>
      </c>
    </row>
    <row r="38" customFormat="false" ht="15" hidden="false" customHeight="false" outlineLevel="0" collapsed="false">
      <c r="B38" s="3"/>
    </row>
    <row r="39" customFormat="false" ht="15" hidden="false" customHeight="false" outlineLevel="0" collapsed="false">
      <c r="B39" s="3" t="s">
        <v>31</v>
      </c>
    </row>
    <row r="40" customFormat="false" ht="15" hidden="false" customHeight="false" outlineLevel="0" collapsed="false">
      <c r="B40" s="3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3" min="3" style="0" width="15"/>
    <col collapsed="false" customWidth="true" hidden="false" outlineLevel="0" max="4" min="4" style="0" width="76"/>
  </cols>
  <sheetData>
    <row r="2" customFormat="false" ht="17.35" hidden="false" customHeight="false" outlineLevel="0" collapsed="false">
      <c r="B2" s="1" t="s">
        <v>33</v>
      </c>
    </row>
    <row r="3" customFormat="false" ht="15" hidden="false" customHeight="false" outlineLevel="0" collapsed="false">
      <c r="B3" s="4" t="s">
        <v>34</v>
      </c>
    </row>
    <row r="4" customFormat="false" ht="15" hidden="false" customHeight="false" outlineLevel="0" collapsed="false">
      <c r="C4" s="5" t="s">
        <v>35</v>
      </c>
      <c r="D4" s="5" t="s">
        <v>36</v>
      </c>
    </row>
    <row r="5" customFormat="false" ht="15" hidden="false" customHeight="false" outlineLevel="0" collapsed="false">
      <c r="B5" s="6" t="s">
        <v>37</v>
      </c>
      <c r="C5" s="7"/>
      <c r="D5" s="7"/>
      <c r="E5" s="7"/>
    </row>
    <row r="6" customFormat="false" ht="15" hidden="false" customHeight="false" outlineLevel="0" collapsed="false">
      <c r="B6" s="3" t="s">
        <v>38</v>
      </c>
      <c r="C6" s="8" t="n">
        <v>4200000</v>
      </c>
      <c r="D6" s="4" t="s">
        <v>39</v>
      </c>
    </row>
    <row r="7" customFormat="false" ht="15" hidden="false" customHeight="false" outlineLevel="0" collapsed="false">
      <c r="B7" s="3" t="s">
        <v>40</v>
      </c>
      <c r="C7" s="9" t="n">
        <v>0.815</v>
      </c>
      <c r="D7" s="4" t="s">
        <v>41</v>
      </c>
    </row>
    <row r="8" customFormat="false" ht="15" hidden="false" customHeight="false" outlineLevel="0" collapsed="false">
      <c r="B8" s="3" t="s">
        <v>42</v>
      </c>
      <c r="C8" s="10" t="n">
        <v>0.112</v>
      </c>
      <c r="D8" s="4" t="s">
        <v>43</v>
      </c>
    </row>
    <row r="9" customFormat="false" ht="15" hidden="false" customHeight="false" outlineLevel="0" collapsed="false">
      <c r="B9" s="3" t="s">
        <v>44</v>
      </c>
      <c r="C9" s="8" t="n">
        <v>70</v>
      </c>
      <c r="D9" s="4" t="s">
        <v>45</v>
      </c>
    </row>
    <row r="10" customFormat="false" ht="15" hidden="false" customHeight="false" outlineLevel="0" collapsed="false">
      <c r="B10" s="3" t="s">
        <v>46</v>
      </c>
      <c r="C10" s="8" t="n">
        <v>26</v>
      </c>
      <c r="D10" s="4" t="s">
        <v>47</v>
      </c>
    </row>
    <row r="11" customFormat="false" ht="15" hidden="false" customHeight="false" outlineLevel="0" collapsed="false">
      <c r="B11" s="3" t="s">
        <v>48</v>
      </c>
      <c r="C11" s="8" t="n">
        <v>9</v>
      </c>
      <c r="D11" s="4" t="s">
        <v>49</v>
      </c>
    </row>
    <row r="12" customFormat="false" ht="15" hidden="false" customHeight="false" outlineLevel="0" collapsed="false">
      <c r="B12" s="3" t="s">
        <v>50</v>
      </c>
      <c r="C12" s="11" t="n">
        <v>0.084</v>
      </c>
      <c r="D12" s="4" t="s">
        <v>51</v>
      </c>
    </row>
    <row r="14" customFormat="false" ht="15" hidden="false" customHeight="false" outlineLevel="0" collapsed="false">
      <c r="B14" s="6" t="s">
        <v>52</v>
      </c>
      <c r="C14" s="7"/>
      <c r="D14" s="7"/>
      <c r="E14" s="7"/>
    </row>
    <row r="15" customFormat="false" ht="15" hidden="false" customHeight="false" outlineLevel="0" collapsed="false">
      <c r="B15" s="3" t="s">
        <v>53</v>
      </c>
      <c r="C15" s="12" t="n">
        <v>0.041</v>
      </c>
      <c r="D15" s="4" t="s">
        <v>54</v>
      </c>
    </row>
    <row r="16" customFormat="false" ht="15" hidden="false" customHeight="false" outlineLevel="0" collapsed="false">
      <c r="B16" s="3" t="s">
        <v>55</v>
      </c>
      <c r="C16" s="10" t="n">
        <v>0.62</v>
      </c>
      <c r="D16" s="4" t="s">
        <v>56</v>
      </c>
    </row>
    <row r="17" customFormat="false" ht="15" hidden="false" customHeight="false" outlineLevel="0" collapsed="false">
      <c r="B17" s="3" t="s">
        <v>57</v>
      </c>
      <c r="C17" s="11" t="n">
        <v>0.0135</v>
      </c>
      <c r="D17" s="4" t="s">
        <v>58</v>
      </c>
    </row>
    <row r="18" customFormat="false" ht="15" hidden="false" customHeight="false" outlineLevel="0" collapsed="false">
      <c r="B18" s="3" t="s">
        <v>59</v>
      </c>
      <c r="C18" s="11" t="n">
        <v>0.018</v>
      </c>
      <c r="D18" s="4" t="s">
        <v>60</v>
      </c>
    </row>
    <row r="20" customFormat="false" ht="15" hidden="false" customHeight="false" outlineLevel="0" collapsed="false">
      <c r="B20" s="6" t="s">
        <v>61</v>
      </c>
      <c r="C20" s="7"/>
      <c r="D20" s="7"/>
      <c r="E20" s="7"/>
    </row>
    <row r="21" customFormat="false" ht="15" hidden="false" customHeight="false" outlineLevel="0" collapsed="false">
      <c r="B21" s="3" t="s">
        <v>62</v>
      </c>
      <c r="C21" s="8" t="n">
        <v>350</v>
      </c>
      <c r="D21" s="4" t="s">
        <v>63</v>
      </c>
    </row>
    <row r="22" customFormat="false" ht="15" hidden="false" customHeight="false" outlineLevel="0" collapsed="false">
      <c r="B22" s="3" t="s">
        <v>64</v>
      </c>
      <c r="C22" s="13" t="n">
        <v>0.00125</v>
      </c>
      <c r="D22" s="4" t="s">
        <v>65</v>
      </c>
    </row>
    <row r="23" customFormat="false" ht="15" hidden="false" customHeight="false" outlineLevel="0" collapsed="false">
      <c r="B23" s="3" t="s">
        <v>66</v>
      </c>
      <c r="C23" s="8" t="n">
        <v>425</v>
      </c>
      <c r="D23" s="4" t="s">
        <v>67</v>
      </c>
    </row>
    <row r="24" customFormat="false" ht="15" hidden="false" customHeight="false" outlineLevel="0" collapsed="false">
      <c r="B24" s="3" t="s">
        <v>68</v>
      </c>
      <c r="C24" s="11" t="n">
        <v>0.0185</v>
      </c>
      <c r="D24" s="4" t="s">
        <v>69</v>
      </c>
    </row>
    <row r="25" customFormat="false" ht="15" hidden="false" customHeight="false" outlineLevel="0" collapsed="false">
      <c r="B25" s="3" t="s">
        <v>70</v>
      </c>
      <c r="C25" s="8" t="n">
        <v>1500</v>
      </c>
      <c r="D25" s="4" t="s">
        <v>71</v>
      </c>
    </row>
    <row r="26" customFormat="false" ht="15" hidden="false" customHeight="false" outlineLevel="0" collapsed="false">
      <c r="B26" s="3" t="s">
        <v>72</v>
      </c>
      <c r="C26" s="11" t="n">
        <v>0.069</v>
      </c>
      <c r="D26" s="4" t="s">
        <v>73</v>
      </c>
    </row>
    <row r="27" customFormat="false" ht="15" hidden="false" customHeight="false" outlineLevel="0" collapsed="false">
      <c r="B27" s="3" t="s">
        <v>74</v>
      </c>
      <c r="C27" s="13" t="n">
        <v>0.0009</v>
      </c>
      <c r="D27" s="4" t="s">
        <v>75</v>
      </c>
    </row>
    <row r="28" customFormat="false" ht="15" hidden="false" customHeight="false" outlineLevel="0" collapsed="false">
      <c r="B28" s="3" t="s">
        <v>76</v>
      </c>
      <c r="C28" s="8" t="n">
        <v>260</v>
      </c>
      <c r="D28" s="4" t="s">
        <v>77</v>
      </c>
    </row>
    <row r="29" customFormat="false" ht="15" hidden="false" customHeight="false" outlineLevel="0" collapsed="false">
      <c r="B29" s="3" t="s">
        <v>78</v>
      </c>
      <c r="C29" s="11" t="n">
        <v>0.076</v>
      </c>
      <c r="D29" s="4" t="s">
        <v>79</v>
      </c>
    </row>
    <row r="30" customFormat="false" ht="15" hidden="false" customHeight="false" outlineLevel="0" collapsed="false">
      <c r="B30" s="3" t="s">
        <v>80</v>
      </c>
      <c r="C30" s="11" t="n">
        <v>0.0055</v>
      </c>
      <c r="D30" s="4" t="s">
        <v>81</v>
      </c>
    </row>
    <row r="31" customFormat="false" ht="15" hidden="false" customHeight="false" outlineLevel="0" collapsed="false">
      <c r="B31" s="3" t="s">
        <v>82</v>
      </c>
      <c r="C31" s="11" t="n">
        <v>0.0062</v>
      </c>
      <c r="D31" s="4" t="s">
        <v>83</v>
      </c>
    </row>
    <row r="32" customFormat="false" ht="15" hidden="false" customHeight="false" outlineLevel="0" collapsed="false">
      <c r="B32" s="3" t="s">
        <v>84</v>
      </c>
      <c r="C32" s="10" t="n">
        <v>0.9</v>
      </c>
      <c r="D32" s="4" t="s">
        <v>85</v>
      </c>
    </row>
    <row r="33" customFormat="false" ht="15" hidden="false" customHeight="false" outlineLevel="0" collapsed="false">
      <c r="B33" s="3" t="s">
        <v>86</v>
      </c>
      <c r="C33" s="8" t="n">
        <v>1180</v>
      </c>
      <c r="D33" s="4" t="s">
        <v>87</v>
      </c>
    </row>
    <row r="34" customFormat="false" ht="15" hidden="false" customHeight="false" outlineLevel="0" collapsed="false">
      <c r="B34" s="3" t="s">
        <v>88</v>
      </c>
      <c r="C34" s="8" t="n">
        <v>240</v>
      </c>
      <c r="D34" s="4" t="s">
        <v>89</v>
      </c>
    </row>
    <row r="36" customFormat="false" ht="15" hidden="false" customHeight="false" outlineLevel="0" collapsed="false">
      <c r="B36" s="6" t="s">
        <v>90</v>
      </c>
      <c r="C36" s="7"/>
      <c r="D36" s="7"/>
      <c r="E36" s="7"/>
    </row>
    <row r="37" customFormat="false" ht="15" hidden="false" customHeight="false" outlineLevel="0" collapsed="false">
      <c r="B37" s="3" t="s">
        <v>91</v>
      </c>
      <c r="C37" s="8" t="n">
        <v>7</v>
      </c>
      <c r="D37" s="4" t="s">
        <v>92</v>
      </c>
    </row>
    <row r="38" customFormat="false" ht="15" hidden="false" customHeight="false" outlineLevel="0" collapsed="false">
      <c r="B38" s="3" t="s">
        <v>93</v>
      </c>
      <c r="C38" s="8" t="n">
        <v>5</v>
      </c>
      <c r="D38" s="4" t="s">
        <v>94</v>
      </c>
    </row>
    <row r="39" customFormat="false" ht="15" hidden="false" customHeight="false" outlineLevel="0" collapsed="false">
      <c r="B39" s="3" t="s">
        <v>95</v>
      </c>
      <c r="C39" s="8" t="n">
        <v>4</v>
      </c>
      <c r="D39" s="4" t="s">
        <v>96</v>
      </c>
    </row>
    <row r="41" customFormat="false" ht="15" hidden="false" customHeight="false" outlineLevel="0" collapsed="false">
      <c r="B41" s="6" t="s">
        <v>97</v>
      </c>
      <c r="C41" s="7"/>
      <c r="D41" s="7"/>
      <c r="E41" s="7"/>
    </row>
    <row r="42" customFormat="false" ht="15" hidden="false" customHeight="false" outlineLevel="0" collapsed="false">
      <c r="B42" s="3" t="s">
        <v>98</v>
      </c>
      <c r="C42" s="9" t="n">
        <v>0.62</v>
      </c>
      <c r="D42" s="4" t="s">
        <v>99</v>
      </c>
    </row>
    <row r="43" customFormat="false" ht="15" hidden="false" customHeight="false" outlineLevel="0" collapsed="false">
      <c r="B43" s="3" t="s">
        <v>100</v>
      </c>
      <c r="C43" s="10" t="n">
        <v>0.94</v>
      </c>
      <c r="D43" s="4" t="s">
        <v>101</v>
      </c>
    </row>
    <row r="44" customFormat="false" ht="15" hidden="false" customHeight="false" outlineLevel="0" collapsed="false">
      <c r="B44" s="3" t="s">
        <v>102</v>
      </c>
      <c r="C44" s="8" t="n">
        <v>11</v>
      </c>
      <c r="D44" s="4" t="s">
        <v>103</v>
      </c>
    </row>
    <row r="45" customFormat="false" ht="15" hidden="false" customHeight="false" outlineLevel="0" collapsed="false">
      <c r="B45" s="3" t="s">
        <v>104</v>
      </c>
      <c r="C45" s="14" t="n">
        <v>1</v>
      </c>
      <c r="D45" s="4" t="s">
        <v>105</v>
      </c>
    </row>
    <row r="47" customFormat="false" ht="15" hidden="false" customHeight="false" outlineLevel="0" collapsed="false">
      <c r="B47" s="6" t="s">
        <v>106</v>
      </c>
      <c r="C47" s="7"/>
      <c r="D47" s="7"/>
      <c r="E47" s="7"/>
    </row>
    <row r="48" customFormat="false" ht="15" hidden="false" customHeight="false" outlineLevel="0" collapsed="false">
      <c r="B48" s="4" t="s">
        <v>107</v>
      </c>
    </row>
    <row r="49" customFormat="false" ht="15" hidden="false" customHeight="false" outlineLevel="0" collapsed="false">
      <c r="B49" s="3" t="s">
        <v>108</v>
      </c>
      <c r="C49" s="14" t="n">
        <v>1.45</v>
      </c>
      <c r="D49" s="4" t="s">
        <v>109</v>
      </c>
    </row>
    <row r="50" customFormat="false" ht="15" hidden="false" customHeight="false" outlineLevel="0" collapsed="false">
      <c r="B50" s="3" t="s">
        <v>110</v>
      </c>
      <c r="C50" s="10" t="n">
        <v>0.29</v>
      </c>
      <c r="D50" s="4" t="s">
        <v>111</v>
      </c>
    </row>
    <row r="51" customFormat="false" ht="15" hidden="false" customHeight="false" outlineLevel="0" collapsed="false">
      <c r="B51" s="3" t="s">
        <v>112</v>
      </c>
      <c r="C51" s="10" t="n">
        <v>0.9</v>
      </c>
      <c r="D51" s="4" t="s">
        <v>113</v>
      </c>
    </row>
    <row r="52" customFormat="false" ht="15" hidden="false" customHeight="false" outlineLevel="0" collapsed="false">
      <c r="B52" s="3" t="s">
        <v>114</v>
      </c>
      <c r="C52" s="11" t="n">
        <v>0.0225</v>
      </c>
      <c r="D52" s="4" t="s">
        <v>115</v>
      </c>
    </row>
    <row r="53" customFormat="false" ht="15" hidden="false" customHeight="false" outlineLevel="0" collapsed="false">
      <c r="B53" s="3" t="s">
        <v>116</v>
      </c>
      <c r="C53" s="10" t="n">
        <v>0.34</v>
      </c>
      <c r="D53" s="4" t="s">
        <v>117</v>
      </c>
    </row>
    <row r="54" customFormat="false" ht="15" hidden="false" customHeight="false" outlineLevel="0" collapsed="false">
      <c r="B54" s="3" t="s">
        <v>118</v>
      </c>
      <c r="C54" s="8" t="n">
        <v>60</v>
      </c>
      <c r="D54" s="4" t="s">
        <v>119</v>
      </c>
    </row>
    <row r="56" customFormat="false" ht="15" hidden="false" customHeight="false" outlineLevel="0" collapsed="false">
      <c r="B56" s="6" t="s">
        <v>120</v>
      </c>
      <c r="C56" s="7"/>
      <c r="D56" s="7"/>
      <c r="E56" s="7"/>
    </row>
    <row r="57" customFormat="false" ht="15" hidden="false" customHeight="false" outlineLevel="0" collapsed="false">
      <c r="B57" s="3" t="s">
        <v>121</v>
      </c>
      <c r="C57" s="8" t="n">
        <v>90</v>
      </c>
      <c r="D57" s="4" t="s">
        <v>122</v>
      </c>
    </row>
    <row r="58" customFormat="false" ht="15" hidden="false" customHeight="false" outlineLevel="0" collapsed="false">
      <c r="B58" s="3" t="s">
        <v>123</v>
      </c>
      <c r="C58" s="8" t="n">
        <v>120</v>
      </c>
      <c r="D58" s="4" t="s">
        <v>124</v>
      </c>
    </row>
    <row r="60" customFormat="false" ht="15" hidden="false" customHeight="false" outlineLevel="0" collapsed="false">
      <c r="B60" s="6" t="s">
        <v>125</v>
      </c>
      <c r="C60" s="7"/>
      <c r="D60" s="7"/>
      <c r="E60" s="7"/>
    </row>
    <row r="61" customFormat="false" ht="15" hidden="false" customHeight="false" outlineLevel="0" collapsed="false">
      <c r="B61" s="3" t="s">
        <v>126</v>
      </c>
      <c r="C61" s="8" t="n">
        <v>360</v>
      </c>
      <c r="D61" s="4" t="s">
        <v>127</v>
      </c>
    </row>
    <row r="62" customFormat="false" ht="15" hidden="false" customHeight="false" outlineLevel="0" collapsed="false">
      <c r="B62" s="3" t="s">
        <v>128</v>
      </c>
      <c r="C62" s="8" t="n">
        <v>365</v>
      </c>
      <c r="D62" s="4" t="s">
        <v>129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3" min="3" style="0" width="16"/>
    <col collapsed="false" customWidth="true" hidden="false" outlineLevel="0" max="4" min="4" style="0" width="76"/>
  </cols>
  <sheetData>
    <row r="2" customFormat="false" ht="17.35" hidden="false" customHeight="false" outlineLevel="0" collapsed="false">
      <c r="B2" s="1" t="s">
        <v>37</v>
      </c>
    </row>
    <row r="3" customFormat="false" ht="15" hidden="false" customHeight="false" outlineLevel="0" collapsed="false">
      <c r="B3" s="4" t="s">
        <v>130</v>
      </c>
    </row>
    <row r="5" customFormat="false" ht="15" hidden="false" customHeight="false" outlineLevel="0" collapsed="false">
      <c r="B5" s="6" t="s">
        <v>131</v>
      </c>
      <c r="C5" s="7"/>
      <c r="D5" s="7"/>
    </row>
    <row r="6" customFormat="false" ht="15" hidden="false" customHeight="false" outlineLevel="0" collapsed="false">
      <c r="B6" s="3" t="s">
        <v>38</v>
      </c>
      <c r="C6" s="15" t="n">
        <f aca="false">Inputs!$C$6</f>
        <v>4200000</v>
      </c>
    </row>
    <row r="7" customFormat="false" ht="15" hidden="false" customHeight="false" outlineLevel="0" collapsed="false">
      <c r="B7" s="3" t="s">
        <v>132</v>
      </c>
      <c r="C7" s="15" t="n">
        <f aca="false">C6*Inputs!$C$7</f>
        <v>3423000</v>
      </c>
      <c r="D7" s="4" t="s">
        <v>133</v>
      </c>
    </row>
    <row r="8" customFormat="false" ht="15" hidden="false" customHeight="false" outlineLevel="0" collapsed="false">
      <c r="B8" s="16" t="s">
        <v>134</v>
      </c>
      <c r="C8" s="17" t="n">
        <f aca="false">C6-C7</f>
        <v>777000</v>
      </c>
    </row>
    <row r="9" customFormat="false" ht="15" hidden="false" customHeight="false" outlineLevel="0" collapsed="false">
      <c r="B9" s="3" t="s">
        <v>135</v>
      </c>
      <c r="C9" s="18" t="n">
        <f aca="false">C8/C6</f>
        <v>0.185</v>
      </c>
    </row>
    <row r="10" customFormat="false" ht="15" hidden="false" customHeight="false" outlineLevel="0" collapsed="false">
      <c r="B10" s="3" t="s">
        <v>136</v>
      </c>
      <c r="C10" s="15" t="n">
        <f aca="false">C6*Inputs!$C$8</f>
        <v>470400</v>
      </c>
    </row>
    <row r="11" customFormat="false" ht="15" hidden="false" customHeight="false" outlineLevel="0" collapsed="false">
      <c r="B11" s="3" t="s">
        <v>137</v>
      </c>
      <c r="C11" s="18" t="n">
        <f aca="false">C10/C6</f>
        <v>0.112</v>
      </c>
    </row>
    <row r="12" customFormat="false" ht="15" hidden="false" customHeight="false" outlineLevel="0" collapsed="false">
      <c r="B12" s="16" t="s">
        <v>138</v>
      </c>
      <c r="C12" s="17" t="n">
        <f aca="false">C8-C10</f>
        <v>306600</v>
      </c>
      <c r="D12" s="4" t="s">
        <v>139</v>
      </c>
    </row>
    <row r="13" customFormat="false" ht="15" hidden="false" customHeight="false" outlineLevel="0" collapsed="false">
      <c r="B13" s="3" t="s">
        <v>140</v>
      </c>
      <c r="C13" s="18" t="n">
        <f aca="false">C12/C6</f>
        <v>0.073</v>
      </c>
    </row>
    <row r="15" customFormat="false" ht="15" hidden="false" customHeight="false" outlineLevel="0" collapsed="false">
      <c r="B15" s="6" t="s">
        <v>141</v>
      </c>
      <c r="C15" s="7"/>
      <c r="D15" s="7"/>
    </row>
    <row r="16" customFormat="false" ht="15" hidden="false" customHeight="false" outlineLevel="0" collapsed="false">
      <c r="B16" s="3" t="s">
        <v>142</v>
      </c>
      <c r="C16" s="15" t="n">
        <f aca="false">Inputs!$C$9</f>
        <v>70</v>
      </c>
    </row>
    <row r="17" customFormat="false" ht="15" hidden="false" customHeight="false" outlineLevel="0" collapsed="false">
      <c r="B17" s="3" t="s">
        <v>143</v>
      </c>
      <c r="C17" s="15" t="n">
        <f aca="false">Inputs!$C$10</f>
        <v>26</v>
      </c>
    </row>
    <row r="18" customFormat="false" ht="15" hidden="false" customHeight="false" outlineLevel="0" collapsed="false">
      <c r="B18" s="3" t="s">
        <v>144</v>
      </c>
      <c r="C18" s="15" t="n">
        <f aca="false">Inputs!$C$11</f>
        <v>9</v>
      </c>
    </row>
    <row r="19" customFormat="false" ht="15" hidden="false" customHeight="false" outlineLevel="0" collapsed="false">
      <c r="B19" s="16" t="s">
        <v>145</v>
      </c>
      <c r="C19" s="17" t="n">
        <f aca="false">SUM(C16:C18)</f>
        <v>105</v>
      </c>
      <c r="D19" s="4" t="s">
        <v>146</v>
      </c>
    </row>
    <row r="20" customFormat="false" ht="15" hidden="false" customHeight="false" outlineLevel="0" collapsed="false">
      <c r="B20" s="3" t="s">
        <v>147</v>
      </c>
      <c r="C20" s="15" t="n">
        <f aca="false">Inputs!$C$57</f>
        <v>90</v>
      </c>
    </row>
    <row r="21" customFormat="false" ht="15" hidden="false" customHeight="false" outlineLevel="0" collapsed="false">
      <c r="B21" s="3" t="s">
        <v>148</v>
      </c>
      <c r="C21" s="15" t="n">
        <f aca="false">C16+C17+C20</f>
        <v>186</v>
      </c>
      <c r="D21" s="4" t="s">
        <v>149</v>
      </c>
    </row>
    <row r="23" customFormat="false" ht="15" hidden="false" customHeight="false" outlineLevel="0" collapsed="false">
      <c r="B23" s="6" t="s">
        <v>150</v>
      </c>
      <c r="C23" s="7"/>
      <c r="D23" s="7"/>
    </row>
    <row r="24" customFormat="false" ht="15" hidden="false" customHeight="false" outlineLevel="0" collapsed="false">
      <c r="B24" s="3" t="s">
        <v>151</v>
      </c>
      <c r="C24" s="15" t="n">
        <f aca="false">C7</f>
        <v>3423000</v>
      </c>
      <c r="D24" s="4" t="s">
        <v>152</v>
      </c>
    </row>
    <row r="25" customFormat="false" ht="15" hidden="false" customHeight="false" outlineLevel="0" collapsed="false">
      <c r="B25" s="3" t="s">
        <v>50</v>
      </c>
      <c r="C25" s="19" t="n">
        <f aca="false">Inputs!$C$12</f>
        <v>0.084</v>
      </c>
    </row>
    <row r="26" customFormat="false" ht="15" hidden="false" customHeight="false" outlineLevel="0" collapsed="false">
      <c r="B26" s="3" t="s">
        <v>153</v>
      </c>
      <c r="C26" s="20" t="n">
        <f aca="false">C24*C25/Inputs!$C$61</f>
        <v>798.7</v>
      </c>
    </row>
    <row r="27" customFormat="false" ht="15" hidden="false" customHeight="false" outlineLevel="0" collapsed="false">
      <c r="B27" s="3" t="s">
        <v>154</v>
      </c>
      <c r="C27" s="18" t="n">
        <f aca="false">C7/C6</f>
        <v>0.815</v>
      </c>
    </row>
    <row r="28" customFormat="false" ht="15" hidden="false" customHeight="false" outlineLevel="0" collapsed="false">
      <c r="B28" s="3" t="s">
        <v>155</v>
      </c>
      <c r="C28" s="21" t="n">
        <f aca="false">C25*C27</f>
        <v>0.06846</v>
      </c>
      <c r="D28" s="4" t="s">
        <v>156</v>
      </c>
    </row>
    <row r="30" customFormat="false" ht="15" hidden="false" customHeight="false" outlineLevel="0" collapsed="false">
      <c r="B30" s="6" t="s">
        <v>157</v>
      </c>
      <c r="C30" s="7"/>
      <c r="D30" s="7"/>
    </row>
    <row r="31" customFormat="false" ht="15" hidden="false" customHeight="false" outlineLevel="0" collapsed="false">
      <c r="B31" s="3" t="s">
        <v>91</v>
      </c>
      <c r="C31" s="15" t="n">
        <f aca="false">Inputs!$C$37</f>
        <v>7</v>
      </c>
    </row>
    <row r="32" customFormat="false" ht="15" hidden="false" customHeight="false" outlineLevel="0" collapsed="false">
      <c r="B32" s="3" t="s">
        <v>93</v>
      </c>
      <c r="C32" s="15" t="n">
        <f aca="false">Inputs!$C$38</f>
        <v>5</v>
      </c>
    </row>
    <row r="33" customFormat="false" ht="15" hidden="false" customHeight="false" outlineLevel="0" collapsed="false">
      <c r="B33" s="3" t="s">
        <v>158</v>
      </c>
      <c r="C33" s="22" t="n">
        <f aca="false">Inputs!$C$42*Inputs!$C$45*Inputs!$C$44</f>
        <v>6.82</v>
      </c>
      <c r="D33" s="4" t="s">
        <v>159</v>
      </c>
    </row>
    <row r="34" customFormat="false" ht="15" hidden="false" customHeight="false" outlineLevel="0" collapsed="false">
      <c r="B34" s="3" t="s">
        <v>160</v>
      </c>
      <c r="C34" s="21" t="n">
        <f aca="false">Inputs!$C$42*(1-Inputs!$C$43)</f>
        <v>0.0372</v>
      </c>
      <c r="D34" s="4" t="s">
        <v>161</v>
      </c>
    </row>
    <row r="35" customFormat="false" ht="15" hidden="false" customHeight="false" outlineLevel="0" collapsed="false">
      <c r="B35" s="3" t="s">
        <v>162</v>
      </c>
      <c r="C35" s="15" t="n">
        <f aca="false">C24*C25*C33/Inputs!$C$61</f>
        <v>5447.134</v>
      </c>
    </row>
    <row r="37" customFormat="false" ht="15" hidden="false" customHeight="false" outlineLevel="0" collapsed="false">
      <c r="B37" s="6" t="s">
        <v>163</v>
      </c>
      <c r="C37" s="7"/>
      <c r="D37" s="7"/>
    </row>
    <row r="38" customFormat="false" ht="15" hidden="false" customHeight="false" outlineLevel="0" collapsed="false">
      <c r="B38" s="3" t="s">
        <v>164</v>
      </c>
      <c r="C38" s="23" t="n">
        <f aca="false">C6/1000000</f>
        <v>4.2</v>
      </c>
    </row>
    <row r="39" customFormat="false" ht="15" hidden="false" customHeight="false" outlineLevel="0" collapsed="false">
      <c r="B39" s="3" t="s">
        <v>165</v>
      </c>
      <c r="C39" s="22" t="n">
        <f aca="false">C12/1000</f>
        <v>306.6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9"/>
    <col collapsed="false" customWidth="true" hidden="false" outlineLevel="0" max="12" min="6" style="0" width="12"/>
    <col collapsed="false" customWidth="true" hidden="false" outlineLevel="0" max="13" min="13" style="0" width="13"/>
    <col collapsed="false" customWidth="true" hidden="false" outlineLevel="0" max="14" min="14" style="0" width="2"/>
    <col collapsed="false" customWidth="true" hidden="false" outlineLevel="0" max="15" min="15" style="0" width="80"/>
  </cols>
  <sheetData>
    <row r="2" customFormat="false" ht="17.35" hidden="false" customHeight="false" outlineLevel="0" collapsed="false">
      <c r="B2" s="1" t="s">
        <v>166</v>
      </c>
    </row>
    <row r="3" customFormat="false" ht="15" hidden="false" customHeight="false" outlineLevel="0" collapsed="false">
      <c r="B3" s="4" t="s">
        <v>167</v>
      </c>
    </row>
    <row r="5" customFormat="false" ht="30" hidden="false" customHeight="true" outlineLevel="0" collapsed="false">
      <c r="B5" s="24" t="s">
        <v>168</v>
      </c>
      <c r="C5" s="24" t="s">
        <v>169</v>
      </c>
      <c r="D5" s="24" t="s">
        <v>170</v>
      </c>
      <c r="E5" s="24" t="s">
        <v>171</v>
      </c>
      <c r="F5" s="24" t="s">
        <v>172</v>
      </c>
      <c r="G5" s="24" t="s">
        <v>173</v>
      </c>
      <c r="H5" s="24" t="s">
        <v>174</v>
      </c>
      <c r="I5" s="24" t="s">
        <v>175</v>
      </c>
      <c r="J5" s="24" t="s">
        <v>176</v>
      </c>
      <c r="K5" s="24" t="s">
        <v>177</v>
      </c>
      <c r="L5" s="24" t="s">
        <v>178</v>
      </c>
      <c r="M5" s="24" t="s">
        <v>179</v>
      </c>
    </row>
    <row r="6" customFormat="false" ht="15" hidden="false" customHeight="false" outlineLevel="0" collapsed="false">
      <c r="B6" s="3" t="s">
        <v>180</v>
      </c>
      <c r="C6" s="15" t="n">
        <f aca="false">Inputs!$C$57</f>
        <v>90</v>
      </c>
      <c r="D6" s="15" t="n">
        <f aca="false">Inputs!$C$9</f>
        <v>70</v>
      </c>
      <c r="E6" s="15" t="n">
        <f aca="false">Inputs!$C$10</f>
        <v>26</v>
      </c>
      <c r="I6" s="15" t="n">
        <f aca="false">C6</f>
        <v>90</v>
      </c>
      <c r="J6" s="25" t="n">
        <f aca="false">SUM(D6:I6)</f>
        <v>186</v>
      </c>
      <c r="K6" s="22" t="n">
        <f aca="false">C6+E6</f>
        <v>116</v>
      </c>
      <c r="L6" s="22" t="n">
        <f aca="false">C6*0</f>
        <v>0</v>
      </c>
      <c r="M6" s="25" t="n">
        <f aca="false">C6+L6</f>
        <v>90</v>
      </c>
      <c r="O6" s="4" t="s">
        <v>181</v>
      </c>
    </row>
    <row r="7" customFormat="false" ht="15" hidden="false" customHeight="false" outlineLevel="0" collapsed="false">
      <c r="B7" s="3" t="s">
        <v>182</v>
      </c>
      <c r="C7" s="15" t="n">
        <f aca="false">Inputs!$C$57</f>
        <v>90</v>
      </c>
      <c r="D7" s="15" t="n">
        <f aca="false">Inputs!$C$9</f>
        <v>70</v>
      </c>
      <c r="E7" s="15" t="n">
        <f aca="false">Inputs!$C$10</f>
        <v>26</v>
      </c>
      <c r="I7" s="15" t="n">
        <f aca="false">C7</f>
        <v>90</v>
      </c>
      <c r="J7" s="25" t="n">
        <f aca="false">SUM(D7:I7)</f>
        <v>186</v>
      </c>
      <c r="K7" s="22" t="n">
        <f aca="false">C7+E7</f>
        <v>116</v>
      </c>
      <c r="L7" s="22" t="n">
        <f aca="false">C7*0</f>
        <v>0</v>
      </c>
      <c r="M7" s="25" t="n">
        <f aca="false">C7+L7</f>
        <v>90</v>
      </c>
      <c r="O7" s="4" t="s">
        <v>183</v>
      </c>
    </row>
    <row r="8" customFormat="false" ht="15" hidden="false" customHeight="false" outlineLevel="0" collapsed="false">
      <c r="B8" s="3" t="s">
        <v>184</v>
      </c>
      <c r="C8" s="15" t="n">
        <f aca="false">Inputs!$C$57</f>
        <v>90</v>
      </c>
      <c r="D8" s="15" t="n">
        <f aca="false">Inputs!$C$9</f>
        <v>70</v>
      </c>
      <c r="E8" s="15" t="n">
        <f aca="false">Inputs!$C$10</f>
        <v>26</v>
      </c>
      <c r="F8" s="15" t="n">
        <f aca="false">Inputs!$C$11</f>
        <v>9</v>
      </c>
      <c r="G8" s="15" t="n">
        <f aca="false">Inputs!$C$37</f>
        <v>7</v>
      </c>
      <c r="I8" s="15" t="n">
        <f aca="false">C8</f>
        <v>90</v>
      </c>
      <c r="J8" s="25" t="n">
        <f aca="false">SUM(D8:I8)</f>
        <v>202</v>
      </c>
      <c r="K8" s="22" t="n">
        <f aca="false">E8+F8+G8+C8</f>
        <v>132</v>
      </c>
      <c r="L8" s="22" t="n">
        <f aca="false">F8+G8</f>
        <v>16</v>
      </c>
      <c r="M8" s="25" t="n">
        <f aca="false">C8+L8</f>
        <v>106</v>
      </c>
      <c r="O8" s="4" t="s">
        <v>185</v>
      </c>
    </row>
    <row r="9" customFormat="false" ht="15" hidden="false" customHeight="false" outlineLevel="0" collapsed="false">
      <c r="B9" s="3" t="s">
        <v>186</v>
      </c>
      <c r="C9" s="15" t="n">
        <f aca="false">Inputs!$C$57</f>
        <v>90</v>
      </c>
      <c r="D9" s="15" t="n">
        <f aca="false">Inputs!$C$9</f>
        <v>70</v>
      </c>
      <c r="E9" s="15" t="n">
        <f aca="false">Inputs!$C$10</f>
        <v>26</v>
      </c>
      <c r="F9" s="15" t="n">
        <f aca="false">Inputs!$C$11</f>
        <v>9</v>
      </c>
      <c r="G9" s="15" t="n">
        <f aca="false">Inputs!$C$38</f>
        <v>5</v>
      </c>
      <c r="H9" s="22" t="n">
        <f aca="false">Inputs!$C$42*Inputs!$C$45*Inputs!$C$44</f>
        <v>6.82</v>
      </c>
      <c r="I9" s="15" t="n">
        <f aca="false">C9</f>
        <v>90</v>
      </c>
      <c r="J9" s="25" t="n">
        <f aca="false">SUM(D9:I9)</f>
        <v>206.82</v>
      </c>
      <c r="K9" s="22" t="n">
        <f aca="false">E9+F9+G9+H9+C9</f>
        <v>136.82</v>
      </c>
      <c r="L9" s="22" t="n">
        <f aca="false">F9+G9+H9</f>
        <v>20.82</v>
      </c>
      <c r="M9" s="25" t="n">
        <f aca="false">C9+L9</f>
        <v>110.82</v>
      </c>
      <c r="O9" s="4" t="s">
        <v>187</v>
      </c>
    </row>
    <row r="10" customFormat="false" ht="15" hidden="false" customHeight="false" outlineLevel="0" collapsed="false">
      <c r="B10" s="3" t="s">
        <v>188</v>
      </c>
      <c r="C10" s="15" t="n">
        <f aca="false">Inputs!$C$57</f>
        <v>90</v>
      </c>
      <c r="D10" s="15" t="n">
        <f aca="false">Inputs!$C$9</f>
        <v>70</v>
      </c>
      <c r="E10" s="15" t="n">
        <f aca="false">Inputs!$C$10</f>
        <v>26</v>
      </c>
      <c r="F10" s="15" t="n">
        <f aca="false">Inputs!$C$11</f>
        <v>9</v>
      </c>
      <c r="G10" s="15" t="n">
        <f aca="false">Inputs!$C$38</f>
        <v>5</v>
      </c>
      <c r="H10" s="22" t="n">
        <f aca="false">Inputs!$C$42*Inputs!$C$45*Inputs!$C$44</f>
        <v>6.82</v>
      </c>
      <c r="J10" s="25" t="n">
        <f aca="false">SUM(D10:I10)</f>
        <v>116.82</v>
      </c>
      <c r="K10" s="22" t="n">
        <f aca="false">C10+E10+F10</f>
        <v>125</v>
      </c>
      <c r="L10" s="22" t="n">
        <f aca="false">C10*0</f>
        <v>0</v>
      </c>
      <c r="M10" s="25" t="n">
        <f aca="false">C10+L10</f>
        <v>90</v>
      </c>
      <c r="O10" s="4" t="s">
        <v>189</v>
      </c>
    </row>
    <row r="11" customFormat="false" ht="15" hidden="false" customHeight="false" outlineLevel="0" collapsed="false">
      <c r="B11" s="3" t="s">
        <v>190</v>
      </c>
      <c r="C11" s="15" t="n">
        <f aca="false">Inputs!$C$57</f>
        <v>90</v>
      </c>
      <c r="D11" s="15" t="n">
        <f aca="false">Inputs!$C$9</f>
        <v>70</v>
      </c>
      <c r="E11" s="15" t="n">
        <f aca="false">Inputs!$C$10</f>
        <v>26</v>
      </c>
      <c r="F11" s="15" t="n">
        <f aca="false">Inputs!$C$11</f>
        <v>9</v>
      </c>
      <c r="G11" s="15" t="n">
        <f aca="false">Inputs!$C$39</f>
        <v>4</v>
      </c>
      <c r="J11" s="25" t="n">
        <f aca="false">SUM(D11:I11)</f>
        <v>109</v>
      </c>
      <c r="K11" s="22" t="n">
        <f aca="false">C11*0</f>
        <v>0</v>
      </c>
      <c r="L11" s="22" t="n">
        <f aca="false">C11*0</f>
        <v>0</v>
      </c>
      <c r="M11" s="25" t="n">
        <f aca="false">C11+L11</f>
        <v>90</v>
      </c>
      <c r="O11" s="4" t="s">
        <v>191</v>
      </c>
    </row>
    <row r="13" customFormat="false" ht="15" hidden="false" customHeight="false" outlineLevel="0" collapsed="false">
      <c r="B13" s="2" t="s">
        <v>192</v>
      </c>
    </row>
    <row r="14" customFormat="false" ht="15" hidden="false" customHeight="false" outlineLevel="0" collapsed="false">
      <c r="B14" s="3" t="s">
        <v>193</v>
      </c>
    </row>
    <row r="15" customFormat="false" ht="15" hidden="false" customHeight="false" outlineLevel="0" collapsed="false">
      <c r="B15" s="3" t="s">
        <v>194</v>
      </c>
    </row>
    <row r="16" customFormat="false" ht="15" hidden="false" customHeight="false" outlineLevel="0" collapsed="false">
      <c r="B16" s="3" t="s">
        <v>195</v>
      </c>
    </row>
    <row r="17" customFormat="false" ht="15" hidden="false" customHeight="false" outlineLevel="0" collapsed="false">
      <c r="B17" s="3" t="s">
        <v>196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22"/>
    <col collapsed="false" customWidth="true" hidden="false" outlineLevel="0" max="14" min="4" style="0" width="13"/>
  </cols>
  <sheetData>
    <row r="2" customFormat="false" ht="17.35" hidden="false" customHeight="false" outlineLevel="0" collapsed="false">
      <c r="B2" s="1" t="s">
        <v>197</v>
      </c>
    </row>
    <row r="3" customFormat="false" ht="15" hidden="false" customHeight="false" outlineLevel="0" collapsed="false">
      <c r="B3" s="4" t="s">
        <v>198</v>
      </c>
    </row>
    <row r="5" customFormat="false" ht="15" hidden="false" customHeight="false" outlineLevel="0" collapsed="false">
      <c r="B5" s="6" t="s">
        <v>199</v>
      </c>
      <c r="C5" s="7"/>
      <c r="D5" s="7"/>
      <c r="E5" s="7"/>
      <c r="F5" s="7"/>
      <c r="G5" s="7"/>
      <c r="H5" s="7"/>
      <c r="I5" s="7"/>
      <c r="J5" s="7"/>
    </row>
    <row r="6" customFormat="false" ht="42" hidden="false" customHeight="true" outlineLevel="0" collapsed="false">
      <c r="C6" s="24" t="s">
        <v>177</v>
      </c>
      <c r="D6" s="24" t="s">
        <v>200</v>
      </c>
      <c r="E6" s="24" t="s">
        <v>201</v>
      </c>
      <c r="F6" s="24" t="s">
        <v>202</v>
      </c>
      <c r="G6" s="24" t="s">
        <v>203</v>
      </c>
      <c r="H6" s="24" t="s">
        <v>204</v>
      </c>
      <c r="I6" s="24" t="s">
        <v>205</v>
      </c>
      <c r="J6" s="24" t="s">
        <v>206</v>
      </c>
      <c r="K6" s="24" t="s">
        <v>207</v>
      </c>
    </row>
    <row r="7" customFormat="false" ht="15" hidden="false" customHeight="false" outlineLevel="0" collapsed="false">
      <c r="B7" s="3" t="s">
        <v>180</v>
      </c>
      <c r="C7" s="22" t="n">
        <f aca="false">'Days to Cash'!K6</f>
        <v>116</v>
      </c>
      <c r="D7" s="21" t="n">
        <f aca="false">1-(1-Inputs!$C$15)^(C7/Inputs!$C$62)</f>
        <v>0.0132166706856739</v>
      </c>
      <c r="K7" s="26" t="n">
        <f aca="false">'The Order'!$C$6*D7*Inputs!$C$16</f>
        <v>34416.2104654948</v>
      </c>
    </row>
    <row r="8" customFormat="false" ht="15" hidden="false" customHeight="false" outlineLevel="0" collapsed="false">
      <c r="B8" s="3" t="s">
        <v>182</v>
      </c>
      <c r="C8" s="22" t="n">
        <f aca="false">'Days to Cash'!K7</f>
        <v>116</v>
      </c>
      <c r="D8" s="21" t="n">
        <f aca="false">1-(1-Inputs!$C$15)^(C8/Inputs!$C$62)</f>
        <v>0.0132166706856739</v>
      </c>
      <c r="K8" s="26" t="n">
        <f aca="false">'The Order'!$C$6*D8*Inputs!$C$16*(1-Inputs!$C$32)</f>
        <v>3441.62104654948</v>
      </c>
    </row>
    <row r="9" customFormat="false" ht="15" hidden="false" customHeight="false" outlineLevel="0" collapsed="false">
      <c r="B9" s="3" t="s">
        <v>184</v>
      </c>
      <c r="C9" s="22" t="n">
        <f aca="false">'Days to Cash'!K8</f>
        <v>132</v>
      </c>
      <c r="D9" s="21" t="n">
        <f aca="false">1-(1-Inputs!$C$15)^(C9/Inputs!$C$62)</f>
        <v>0.0150258987917193</v>
      </c>
      <c r="K9" s="26" t="n">
        <f aca="false">'The Order'!$C$6*D9*Inputs!$C$16*Inputs!$C$51</f>
        <v>35214.6964082734</v>
      </c>
    </row>
    <row r="10" customFormat="false" ht="15" hidden="false" customHeight="false" outlineLevel="0" collapsed="false">
      <c r="B10" s="3" t="s">
        <v>186</v>
      </c>
      <c r="C10" s="22" t="n">
        <f aca="false">'Days to Cash'!K9</f>
        <v>136.82</v>
      </c>
      <c r="D10" s="21" t="n">
        <f aca="false">1-(1-Inputs!$C$15)^(C10/Inputs!$C$62)</f>
        <v>0.0155702783172029</v>
      </c>
      <c r="E10" s="21" t="n">
        <f aca="false">1-(1-(1-(1-Inputs!$C$17)^(C10/Inputs!$C$62)))*(1-(1-(1-Inputs!$C$18)^(C10/Inputs!$C$62)))</f>
        <v>0.0118331178271022</v>
      </c>
      <c r="F10" s="21" t="n">
        <f aca="false">Inputs!$C$42*(1-Inputs!$C$43)</f>
        <v>0.0372</v>
      </c>
      <c r="G10" s="22" t="n">
        <f aca="false">C10+Inputs!$C$54</f>
        <v>196.82</v>
      </c>
      <c r="H10" s="21" t="n">
        <f aca="false">1-(1-Inputs!$C$15)^(G10/Inputs!$C$62)</f>
        <v>0.022321656535614</v>
      </c>
      <c r="I10" s="15" t="n">
        <f aca="false">'The Order'!$C$6*E10*Inputs!$C$16</f>
        <v>30813.4388217741</v>
      </c>
      <c r="J10" s="15" t="n">
        <f aca="false">'The Order'!$C$6*F10*H10*Inputs!$C$16</f>
        <v>2162.27208261709</v>
      </c>
      <c r="K10" s="26" t="n">
        <f aca="false">I10+J10</f>
        <v>32975.7109043911</v>
      </c>
    </row>
    <row r="11" customFormat="false" ht="15" hidden="false" customHeight="false" outlineLevel="0" collapsed="false">
      <c r="B11" s="3" t="s">
        <v>188</v>
      </c>
      <c r="C11" s="22" t="n">
        <f aca="false">'Days to Cash'!K10</f>
        <v>125</v>
      </c>
      <c r="D11" s="21" t="n">
        <f aca="false">1-(1-Inputs!$C$15)^(C11/Inputs!$C$62)</f>
        <v>0.0142347700190061</v>
      </c>
      <c r="F11" s="21" t="n">
        <f aca="false">Inputs!$C$42*(1-Inputs!$C$43)</f>
        <v>0.0372</v>
      </c>
      <c r="G11" s="22" t="n">
        <f aca="false">'Days to Cash'!C10+Inputs!$C$54</f>
        <v>150</v>
      </c>
      <c r="H11" s="21" t="n">
        <f aca="false">1-(1-Inputs!$C$15)^(G11/Inputs!$C$62)</f>
        <v>0.0170573156855874</v>
      </c>
      <c r="J11" s="15" t="n">
        <f aca="false">'The Order'!$C$6*F11*H11*Inputs!$C$16</f>
        <v>1652.32170168403</v>
      </c>
      <c r="K11" s="26" t="n">
        <f aca="false">J11</f>
        <v>1652.32170168403</v>
      </c>
    </row>
    <row r="12" customFormat="false" ht="15" hidden="false" customHeight="false" outlineLevel="0" collapsed="false">
      <c r="B12" s="3" t="s">
        <v>190</v>
      </c>
      <c r="C12" s="22" t="n">
        <f aca="false">'Days to Cash'!K11</f>
        <v>0</v>
      </c>
      <c r="D12" s="21" t="n">
        <f aca="false">1-(1-Inputs!$C$15)^(C12/Inputs!$C$62)</f>
        <v>0</v>
      </c>
      <c r="K12" s="26" t="n">
        <f aca="false">'The Order'!$C$6*Inputs!$C$52*Inputs!$C$53</f>
        <v>32130</v>
      </c>
    </row>
    <row r="14" customFormat="false" ht="15" hidden="false" customHeight="false" outlineLevel="0" collapsed="false">
      <c r="B14" s="6" t="s">
        <v>208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customFormat="false" ht="42" hidden="false" customHeight="true" outlineLevel="0" collapsed="false">
      <c r="C15" s="24" t="s">
        <v>209</v>
      </c>
      <c r="D15" s="24" t="s">
        <v>210</v>
      </c>
      <c r="E15" s="24" t="s">
        <v>211</v>
      </c>
      <c r="F15" s="24" t="s">
        <v>212</v>
      </c>
      <c r="G15" s="24" t="s">
        <v>213</v>
      </c>
      <c r="H15" s="24" t="s">
        <v>214</v>
      </c>
      <c r="I15" s="24" t="s">
        <v>215</v>
      </c>
      <c r="J15" s="24" t="s">
        <v>216</v>
      </c>
      <c r="K15" s="24" t="s">
        <v>217</v>
      </c>
      <c r="L15" s="24" t="s">
        <v>218</v>
      </c>
      <c r="M15" s="24" t="s">
        <v>219</v>
      </c>
    </row>
    <row r="16" customFormat="false" ht="15" hidden="false" customHeight="false" outlineLevel="0" collapsed="false">
      <c r="B16" s="3" t="s">
        <v>180</v>
      </c>
      <c r="L16" s="26" t="n">
        <f aca="false">SUM(C16:K16)</f>
        <v>0</v>
      </c>
    </row>
    <row r="17" customFormat="false" ht="15" hidden="false" customHeight="false" outlineLevel="0" collapsed="false">
      <c r="B17" s="3" t="s">
        <v>182</v>
      </c>
      <c r="G17" s="15" t="n">
        <f aca="false">'The Order'!$C$6*Inputs!$C$31</f>
        <v>26040</v>
      </c>
      <c r="L17" s="26" t="n">
        <f aca="false">SUM(C17:K17)</f>
        <v>26040</v>
      </c>
    </row>
    <row r="18" customFormat="false" ht="15" hidden="false" customHeight="false" outlineLevel="0" collapsed="false">
      <c r="B18" s="3" t="s">
        <v>184</v>
      </c>
      <c r="E18" s="15" t="n">
        <f aca="false">MAX('The Order'!$C$6*Inputs!$C$27,Inputs!$C$28)</f>
        <v>3780</v>
      </c>
      <c r="I18" s="15" t="n">
        <f aca="false">Inputs!$C$33</f>
        <v>1180</v>
      </c>
      <c r="L18" s="26" t="n">
        <f aca="false">SUM(C18:K18)</f>
        <v>4960</v>
      </c>
    </row>
    <row r="19" customFormat="false" ht="15" hidden="false" customHeight="false" outlineLevel="0" collapsed="false">
      <c r="B19" s="3" t="s">
        <v>186</v>
      </c>
      <c r="C19" s="15" t="n">
        <f aca="false">Inputs!$C$21</f>
        <v>350</v>
      </c>
      <c r="D19" s="15" t="n">
        <f aca="false">MAX('The Order'!$C$6*Inputs!$C$22,Inputs!$C$23)</f>
        <v>5250</v>
      </c>
      <c r="I19" s="15" t="n">
        <f aca="false">Inputs!$C$33</f>
        <v>1180</v>
      </c>
      <c r="J19" s="15" t="n">
        <f aca="false">Inputs!$C$34</f>
        <v>240</v>
      </c>
      <c r="L19" s="26" t="n">
        <f aca="false">SUM(C19:K19)</f>
        <v>7020</v>
      </c>
    </row>
    <row r="20" customFormat="false" ht="15" hidden="false" customHeight="false" outlineLevel="0" collapsed="false">
      <c r="B20" s="3" t="s">
        <v>188</v>
      </c>
      <c r="C20" s="15" t="n">
        <f aca="false">Inputs!$C$21</f>
        <v>350</v>
      </c>
      <c r="D20" s="15" t="n">
        <f aca="false">MAX('The Order'!$C$6*Inputs!$C$22,Inputs!$C$23)</f>
        <v>5250</v>
      </c>
      <c r="F20" s="15" t="n">
        <f aca="false">MAX('The Order'!$C$6*Inputs!$C$24*'Days to Cash'!K10/Inputs!$C$61,Inputs!$C$25)</f>
        <v>26979.1666666667</v>
      </c>
      <c r="I20" s="15" t="n">
        <f aca="false">Inputs!$C$33</f>
        <v>1180</v>
      </c>
      <c r="J20" s="15" t="n">
        <f aca="false">Inputs!$C$34</f>
        <v>240</v>
      </c>
      <c r="K20" s="15" t="n">
        <f aca="false">'The Order'!$C$6*Inputs!$C$26*'Days to Cash'!C10/Inputs!$C$61</f>
        <v>72450</v>
      </c>
      <c r="L20" s="26" t="n">
        <f aca="false">SUM(C20:K20)</f>
        <v>106449.166666667</v>
      </c>
      <c r="M20" s="15" t="n">
        <f aca="false">'The Order'!$C$6-K20</f>
        <v>4127550</v>
      </c>
    </row>
    <row r="21" customFormat="false" ht="15" hidden="false" customHeight="false" outlineLevel="0" collapsed="false">
      <c r="B21" s="3" t="s">
        <v>190</v>
      </c>
      <c r="H21" s="15" t="n">
        <f aca="false">'The Order'!$C$6*Inputs!$C$30</f>
        <v>23100</v>
      </c>
      <c r="I21" s="15" t="n">
        <f aca="false">Inputs!$C$33</f>
        <v>1180</v>
      </c>
      <c r="K21" s="15" t="n">
        <f aca="false">'The Order'!$C$6*Inputs!$C$29*'Days to Cash'!C11/Inputs!$C$61</f>
        <v>79800</v>
      </c>
      <c r="L21" s="26" t="n">
        <f aca="false">SUM(C21:K21)</f>
        <v>104080</v>
      </c>
      <c r="M21" s="15" t="n">
        <f aca="false">'The Order'!$C$6-K21</f>
        <v>4120200</v>
      </c>
    </row>
    <row r="23" customFormat="false" ht="15" hidden="false" customHeight="false" outlineLevel="0" collapsed="false">
      <c r="B23" s="6" t="s">
        <v>220</v>
      </c>
      <c r="C23" s="7"/>
      <c r="D23" s="7"/>
      <c r="E23" s="7"/>
      <c r="F23" s="7"/>
      <c r="G23" s="7"/>
    </row>
    <row r="24" customFormat="false" ht="42" hidden="false" customHeight="true" outlineLevel="0" collapsed="false">
      <c r="C24" s="24" t="s">
        <v>221</v>
      </c>
      <c r="D24" s="24" t="s">
        <v>222</v>
      </c>
      <c r="E24" s="24" t="s">
        <v>223</v>
      </c>
      <c r="F24" s="24" t="s">
        <v>224</v>
      </c>
      <c r="G24" s="24" t="s">
        <v>225</v>
      </c>
    </row>
    <row r="25" customFormat="false" ht="15" hidden="false" customHeight="false" outlineLevel="0" collapsed="false">
      <c r="B25" s="3" t="s">
        <v>180</v>
      </c>
      <c r="C25" s="22" t="n">
        <f aca="false">'Days to Cash'!J6</f>
        <v>186</v>
      </c>
      <c r="D25" s="15" t="n">
        <f aca="false">'The Order'!$C$7</f>
        <v>3423000</v>
      </c>
      <c r="E25" s="19" t="n">
        <f aca="false">Inputs!$C$12</f>
        <v>0.084</v>
      </c>
      <c r="F25" s="15" t="n">
        <f aca="false">Inputs!$C$61</f>
        <v>360</v>
      </c>
      <c r="G25" s="26" t="n">
        <f aca="false">D25*E25*C25/F25</f>
        <v>148558.2</v>
      </c>
    </row>
    <row r="26" customFormat="false" ht="15" hidden="false" customHeight="false" outlineLevel="0" collapsed="false">
      <c r="B26" s="3" t="s">
        <v>182</v>
      </c>
      <c r="C26" s="22" t="n">
        <f aca="false">'Days to Cash'!J7</f>
        <v>186</v>
      </c>
      <c r="D26" s="15" t="n">
        <f aca="false">'The Order'!$C$7</f>
        <v>3423000</v>
      </c>
      <c r="E26" s="19" t="n">
        <f aca="false">Inputs!$C$12</f>
        <v>0.084</v>
      </c>
      <c r="F26" s="15" t="n">
        <f aca="false">Inputs!$C$61</f>
        <v>360</v>
      </c>
      <c r="G26" s="26" t="n">
        <f aca="false">D26*E26*C26/F26</f>
        <v>148558.2</v>
      </c>
    </row>
    <row r="27" customFormat="false" ht="15" hidden="false" customHeight="false" outlineLevel="0" collapsed="false">
      <c r="B27" s="3" t="s">
        <v>184</v>
      </c>
      <c r="C27" s="22" t="n">
        <f aca="false">'Days to Cash'!J8</f>
        <v>202</v>
      </c>
      <c r="D27" s="15" t="n">
        <f aca="false">'The Order'!$C$7</f>
        <v>3423000</v>
      </c>
      <c r="E27" s="19" t="n">
        <f aca="false">Inputs!$C$12</f>
        <v>0.084</v>
      </c>
      <c r="F27" s="15" t="n">
        <f aca="false">Inputs!$C$61</f>
        <v>360</v>
      </c>
      <c r="G27" s="26" t="n">
        <f aca="false">D27*E27*C27/F27</f>
        <v>161337.4</v>
      </c>
    </row>
    <row r="28" customFormat="false" ht="15" hidden="false" customHeight="false" outlineLevel="0" collapsed="false">
      <c r="B28" s="3" t="s">
        <v>186</v>
      </c>
      <c r="C28" s="22" t="n">
        <f aca="false">'Days to Cash'!J9</f>
        <v>206.82</v>
      </c>
      <c r="D28" s="15" t="n">
        <f aca="false">'The Order'!$C$7</f>
        <v>3423000</v>
      </c>
      <c r="E28" s="19" t="n">
        <f aca="false">Inputs!$C$12</f>
        <v>0.084</v>
      </c>
      <c r="F28" s="15" t="n">
        <f aca="false">Inputs!$C$61</f>
        <v>360</v>
      </c>
      <c r="G28" s="26" t="n">
        <f aca="false">D28*E28*C28/F28</f>
        <v>165187.134</v>
      </c>
    </row>
    <row r="29" customFormat="false" ht="15" hidden="false" customHeight="false" outlineLevel="0" collapsed="false">
      <c r="B29" s="3" t="s">
        <v>188</v>
      </c>
      <c r="C29" s="22" t="n">
        <f aca="false">'Days to Cash'!J10</f>
        <v>116.82</v>
      </c>
      <c r="D29" s="15" t="n">
        <f aca="false">'The Order'!$C$7</f>
        <v>3423000</v>
      </c>
      <c r="E29" s="19" t="n">
        <f aca="false">Inputs!$C$12</f>
        <v>0.084</v>
      </c>
      <c r="F29" s="15" t="n">
        <f aca="false">Inputs!$C$61</f>
        <v>360</v>
      </c>
      <c r="G29" s="26" t="n">
        <f aca="false">D29*E29*C29/F29</f>
        <v>93304.134</v>
      </c>
    </row>
    <row r="30" customFormat="false" ht="15" hidden="false" customHeight="false" outlineLevel="0" collapsed="false">
      <c r="B30" s="3" t="s">
        <v>190</v>
      </c>
      <c r="C30" s="22" t="n">
        <f aca="false">'Days to Cash'!J11</f>
        <v>109</v>
      </c>
      <c r="D30" s="15" t="n">
        <f aca="false">'The Order'!$C$7</f>
        <v>3423000</v>
      </c>
      <c r="E30" s="19" t="n">
        <f aca="false">Inputs!$C$12</f>
        <v>0.084</v>
      </c>
      <c r="F30" s="15" t="n">
        <f aca="false">Inputs!$C$61</f>
        <v>360</v>
      </c>
      <c r="G30" s="26" t="n">
        <f aca="false">D30*E30*C30/F30</f>
        <v>87058.3</v>
      </c>
    </row>
    <row r="32" customFormat="false" ht="15" hidden="false" customHeight="false" outlineLevel="0" collapsed="false">
      <c r="B32" s="6" t="s">
        <v>226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customFormat="false" ht="43.5" hidden="false" customHeight="true" outlineLevel="0" collapsed="false">
      <c r="C33" s="24" t="s">
        <v>221</v>
      </c>
      <c r="D33" s="24" t="s">
        <v>227</v>
      </c>
      <c r="E33" s="24" t="s">
        <v>228</v>
      </c>
      <c r="F33" s="24" t="s">
        <v>229</v>
      </c>
      <c r="G33" s="24" t="s">
        <v>230</v>
      </c>
      <c r="H33" s="24" t="s">
        <v>231</v>
      </c>
      <c r="I33" s="24" t="s">
        <v>232</v>
      </c>
      <c r="J33" s="24" t="s">
        <v>233</v>
      </c>
      <c r="K33" s="24" t="s">
        <v>234</v>
      </c>
      <c r="L33" s="24" t="s">
        <v>179</v>
      </c>
      <c r="M33" s="24" t="s">
        <v>235</v>
      </c>
    </row>
    <row r="34" customFormat="false" ht="15" hidden="false" customHeight="false" outlineLevel="0" collapsed="false">
      <c r="B34" s="3" t="s">
        <v>180</v>
      </c>
      <c r="C34" s="22" t="n">
        <f aca="false">'Days to Cash'!J6</f>
        <v>186</v>
      </c>
      <c r="D34" s="15" t="n">
        <f aca="false">G25</f>
        <v>148558.2</v>
      </c>
      <c r="E34" s="15" t="n">
        <f aca="false">L16</f>
        <v>0</v>
      </c>
      <c r="F34" s="15" t="n">
        <f aca="false">K7</f>
        <v>34416.2104654948</v>
      </c>
      <c r="G34" s="26" t="n">
        <f aca="false">D34+E34+F34</f>
        <v>182974.410465495</v>
      </c>
      <c r="H34" s="18" t="n">
        <f aca="false">G34/'The Order'!$C$12</f>
        <v>0.596785422261888</v>
      </c>
      <c r="I34" s="26" t="n">
        <f aca="false">('The Order'!$C$6-E34-F34)-'The Order'!$C$7-'The Order'!$C$10-D34</f>
        <v>123625.589534505</v>
      </c>
      <c r="J34" s="19" t="n">
        <f aca="false">I34/'The Order'!$C$6</f>
        <v>0.0294346641748821</v>
      </c>
      <c r="K34" s="19" t="n">
        <f aca="false">G34/'The Order'!$C$6*Inputs!$C$61/C34</f>
        <v>0.0843200048228087</v>
      </c>
      <c r="L34" s="22" t="n">
        <f aca="false">'Days to Cash'!M6</f>
        <v>90</v>
      </c>
      <c r="M34" s="27" t="n">
        <f aca="false">I34-('The Order'!$C$12-G34)</f>
        <v>0</v>
      </c>
    </row>
    <row r="35" customFormat="false" ht="15" hidden="false" customHeight="false" outlineLevel="0" collapsed="false">
      <c r="B35" s="3" t="s">
        <v>182</v>
      </c>
      <c r="C35" s="22" t="n">
        <f aca="false">'Days to Cash'!J7</f>
        <v>186</v>
      </c>
      <c r="D35" s="15" t="n">
        <f aca="false">G26</f>
        <v>148558.2</v>
      </c>
      <c r="E35" s="15" t="n">
        <f aca="false">L17</f>
        <v>26040</v>
      </c>
      <c r="F35" s="15" t="n">
        <f aca="false">K8</f>
        <v>3441.62104654948</v>
      </c>
      <c r="G35" s="26" t="n">
        <f aca="false">D35+E35+F35</f>
        <v>178039.82104655</v>
      </c>
      <c r="H35" s="18" t="n">
        <f aca="false">G35/'The Order'!$C$12</f>
        <v>0.580690870993312</v>
      </c>
      <c r="I35" s="26" t="n">
        <f aca="false">('The Order'!$C$6-E35-F35)-'The Order'!$C$7-'The Order'!$C$10-D35</f>
        <v>128560.17895345</v>
      </c>
      <c r="J35" s="19" t="n">
        <f aca="false">I35/'The Order'!$C$6</f>
        <v>0.0306095664174882</v>
      </c>
      <c r="K35" s="19" t="n">
        <f aca="false">G35/'The Order'!$C$6*Inputs!$C$61/C35</f>
        <v>0.0820460004822809</v>
      </c>
      <c r="L35" s="22" t="n">
        <f aca="false">'Days to Cash'!M7</f>
        <v>90</v>
      </c>
      <c r="M35" s="27" t="n">
        <f aca="false">I35-('The Order'!$C$12-G35)</f>
        <v>0</v>
      </c>
    </row>
    <row r="36" customFormat="false" ht="15" hidden="false" customHeight="false" outlineLevel="0" collapsed="false">
      <c r="B36" s="3" t="s">
        <v>184</v>
      </c>
      <c r="C36" s="22" t="n">
        <f aca="false">'Days to Cash'!J8</f>
        <v>202</v>
      </c>
      <c r="D36" s="15" t="n">
        <f aca="false">G27</f>
        <v>161337.4</v>
      </c>
      <c r="E36" s="15" t="n">
        <f aca="false">L18</f>
        <v>4960</v>
      </c>
      <c r="F36" s="15" t="n">
        <f aca="false">K9</f>
        <v>35214.6964082734</v>
      </c>
      <c r="G36" s="26" t="n">
        <f aca="false">D36+E36+F36</f>
        <v>201512.096408273</v>
      </c>
      <c r="H36" s="18" t="n">
        <f aca="false">G36/'The Order'!$C$12</f>
        <v>0.657247542101349</v>
      </c>
      <c r="I36" s="26" t="n">
        <f aca="false">('The Order'!$C$6-E36-F36)-'The Order'!$C$7-'The Order'!$C$10-D36</f>
        <v>105087.903591726</v>
      </c>
      <c r="J36" s="19" t="n">
        <f aca="false">I36/'The Order'!$C$6</f>
        <v>0.0250209294266015</v>
      </c>
      <c r="K36" s="19" t="n">
        <f aca="false">G36/'The Order'!$C$6*Inputs!$C$61/C36</f>
        <v>0.0855072544872448</v>
      </c>
      <c r="L36" s="22" t="n">
        <f aca="false">'Days to Cash'!M8</f>
        <v>106</v>
      </c>
      <c r="M36" s="27" t="n">
        <f aca="false">I36-('The Order'!$C$12-G36)</f>
        <v>0</v>
      </c>
    </row>
    <row r="37" customFormat="false" ht="15" hidden="false" customHeight="false" outlineLevel="0" collapsed="false">
      <c r="B37" s="3" t="s">
        <v>186</v>
      </c>
      <c r="C37" s="22" t="n">
        <f aca="false">'Days to Cash'!J9</f>
        <v>206.82</v>
      </c>
      <c r="D37" s="15" t="n">
        <f aca="false">G28</f>
        <v>165187.134</v>
      </c>
      <c r="E37" s="15" t="n">
        <f aca="false">L19</f>
        <v>7020</v>
      </c>
      <c r="F37" s="15" t="n">
        <f aca="false">K10</f>
        <v>32975.7109043911</v>
      </c>
      <c r="G37" s="26" t="n">
        <f aca="false">D37+E37+F37</f>
        <v>205182.844904391</v>
      </c>
      <c r="H37" s="18" t="n">
        <f aca="false">G37/'The Order'!$C$12</f>
        <v>0.669219976857114</v>
      </c>
      <c r="I37" s="26" t="n">
        <f aca="false">('The Order'!$C$6-E37-F37)-'The Order'!$C$7-'The Order'!$C$10-D37</f>
        <v>101417.155095609</v>
      </c>
      <c r="J37" s="19" t="n">
        <f aca="false">I37/'The Order'!$C$6</f>
        <v>0.0241469416894307</v>
      </c>
      <c r="K37" s="19" t="n">
        <f aca="false">G37/'The Order'!$C$6*Inputs!$C$61/C37</f>
        <v>0.0850357847007299</v>
      </c>
      <c r="L37" s="22" t="n">
        <f aca="false">'Days to Cash'!M9</f>
        <v>110.82</v>
      </c>
      <c r="M37" s="27" t="n">
        <f aca="false">I37-('The Order'!$C$12-G37)</f>
        <v>0</v>
      </c>
    </row>
    <row r="38" customFormat="false" ht="15" hidden="false" customHeight="false" outlineLevel="0" collapsed="false">
      <c r="B38" s="3" t="s">
        <v>188</v>
      </c>
      <c r="C38" s="22" t="n">
        <f aca="false">'Days to Cash'!J10</f>
        <v>116.82</v>
      </c>
      <c r="D38" s="15" t="n">
        <f aca="false">G29</f>
        <v>93304.134</v>
      </c>
      <c r="E38" s="15" t="n">
        <f aca="false">L20</f>
        <v>106449.166666667</v>
      </c>
      <c r="F38" s="15" t="n">
        <f aca="false">K11</f>
        <v>1652.32170168403</v>
      </c>
      <c r="G38" s="26" t="n">
        <f aca="false">D38+E38+F38</f>
        <v>201405.622368351</v>
      </c>
      <c r="H38" s="18" t="n">
        <f aca="false">G38/'The Order'!$C$12</f>
        <v>0.65690026865085</v>
      </c>
      <c r="I38" s="26" t="n">
        <f aca="false">('The Order'!$C$6-E38-F38)-'The Order'!$C$7-'The Order'!$C$10-D38</f>
        <v>105194.377631649</v>
      </c>
      <c r="J38" s="19" t="n">
        <f aca="false">I38/'The Order'!$C$6</f>
        <v>0.025046280388488</v>
      </c>
      <c r="K38" s="19" t="n">
        <f aca="false">G38/'The Order'!$C$6*Inputs!$C$61/C38</f>
        <v>0.147777256121763</v>
      </c>
      <c r="L38" s="22" t="n">
        <f aca="false">'Days to Cash'!M10</f>
        <v>90</v>
      </c>
      <c r="M38" s="27" t="n">
        <f aca="false">I38-('The Order'!$C$12-G38)</f>
        <v>0</v>
      </c>
    </row>
    <row r="39" customFormat="false" ht="15" hidden="false" customHeight="false" outlineLevel="0" collapsed="false">
      <c r="B39" s="3" t="s">
        <v>190</v>
      </c>
      <c r="C39" s="22" t="n">
        <f aca="false">'Days to Cash'!J11</f>
        <v>109</v>
      </c>
      <c r="D39" s="15" t="n">
        <f aca="false">G30</f>
        <v>87058.3</v>
      </c>
      <c r="E39" s="15" t="n">
        <f aca="false">L21</f>
        <v>104080</v>
      </c>
      <c r="F39" s="15" t="n">
        <f aca="false">K12</f>
        <v>32130</v>
      </c>
      <c r="G39" s="26" t="n">
        <f aca="false">D39+E39+F39</f>
        <v>223268.3</v>
      </c>
      <c r="H39" s="18" t="n">
        <f aca="false">G39/'The Order'!$C$12</f>
        <v>0.728207110241357</v>
      </c>
      <c r="I39" s="26" t="n">
        <f aca="false">('The Order'!$C$6-E39-F39)-'The Order'!$C$7-'The Order'!$C$10-D39</f>
        <v>83331.7</v>
      </c>
      <c r="J39" s="19" t="n">
        <f aca="false">I39/'The Order'!$C$6</f>
        <v>0.019840880952381</v>
      </c>
      <c r="K39" s="19" t="n">
        <f aca="false">G39/'The Order'!$C$6*Inputs!$C$61/C39</f>
        <v>0.175571402359109</v>
      </c>
      <c r="L39" s="22" t="n">
        <f aca="false">'Days to Cash'!M11</f>
        <v>90</v>
      </c>
      <c r="M39" s="27" t="n">
        <f aca="false">I39-('The Order'!$C$12-G39)</f>
        <v>0</v>
      </c>
    </row>
    <row r="41" customFormat="false" ht="15" hidden="false" customHeight="false" outlineLevel="0" collapsed="false">
      <c r="B41" s="4" t="s">
        <v>236</v>
      </c>
    </row>
    <row r="43" customFormat="false" ht="15" hidden="false" customHeight="false" outlineLevel="0" collapsed="false">
      <c r="B43" s="6" t="s">
        <v>237</v>
      </c>
      <c r="C43" s="7"/>
      <c r="D43" s="7"/>
      <c r="E43" s="7"/>
      <c r="F43" s="7"/>
      <c r="G43" s="7"/>
      <c r="H43" s="7"/>
      <c r="I43" s="7"/>
      <c r="J43" s="7"/>
      <c r="K43" s="7"/>
    </row>
    <row r="44" customFormat="false" ht="15" hidden="false" customHeight="false" outlineLevel="0" collapsed="false">
      <c r="B44" s="3" t="s">
        <v>238</v>
      </c>
      <c r="C44" s="5" t="str">
        <f aca="false">INDEX($B$34:$B$39,MATCH(MIN($G$34:$G$39),$G$34:$G$39,0))</f>
        <v>Open account, 90 days, credit insured</v>
      </c>
    </row>
    <row r="45" customFormat="false" ht="15" hidden="false" customHeight="false" outlineLevel="0" collapsed="false">
      <c r="B45" s="3" t="s">
        <v>239</v>
      </c>
      <c r="C45" s="26" t="n">
        <f aca="false">MIN($G$34:$G$39)</f>
        <v>178039.82104655</v>
      </c>
    </row>
    <row r="46" customFormat="false" ht="15" hidden="false" customHeight="false" outlineLevel="0" collapsed="false">
      <c r="B46" s="3" t="s">
        <v>240</v>
      </c>
      <c r="C46" s="5" t="str">
        <f aca="false">INDEX($B$34:$B$39,MATCH(MAX($G$34:$G$39),$G$34:$G$39,0))</f>
        <v>Receivables purchase, non-recourse, 90-day receivable</v>
      </c>
    </row>
    <row r="47" customFormat="false" ht="15" hidden="false" customHeight="false" outlineLevel="0" collapsed="false">
      <c r="B47" s="3" t="s">
        <v>239</v>
      </c>
      <c r="C47" s="26" t="n">
        <f aca="false">MAX($G$34:$G$39)</f>
        <v>223268.3</v>
      </c>
    </row>
    <row r="48" customFormat="false" ht="15" hidden="false" customHeight="false" outlineLevel="0" collapsed="false">
      <c r="B48" s="3" t="s">
        <v>241</v>
      </c>
      <c r="C48" s="26" t="n">
        <f aca="false">C47-C45</f>
        <v>45228.4789534505</v>
      </c>
    </row>
    <row r="49" customFormat="false" ht="15" hidden="false" customHeight="false" outlineLevel="0" collapsed="false">
      <c r="B49" s="3" t="s">
        <v>242</v>
      </c>
      <c r="C49" s="28" t="n">
        <f aca="false">C48/'The Order'!$C$12</f>
        <v>0.147516239248045</v>
      </c>
    </row>
    <row r="50" customFormat="false" ht="15" hidden="false" customHeight="false" outlineLevel="0" collapsed="false">
      <c r="B50" s="3" t="s">
        <v>243</v>
      </c>
      <c r="C50" s="26" t="n">
        <f aca="false">MAX($I$34:$I$39)</f>
        <v>128560.17895345</v>
      </c>
    </row>
    <row r="51" customFormat="false" ht="15" hidden="false" customHeight="false" outlineLevel="0" collapsed="false">
      <c r="B51" s="3" t="s">
        <v>244</v>
      </c>
      <c r="C51" s="26" t="n">
        <f aca="false">MIN($I$34:$I$39)</f>
        <v>83331.7</v>
      </c>
    </row>
    <row r="52" customFormat="false" ht="15" hidden="false" customHeight="false" outlineLevel="0" collapsed="false">
      <c r="B52" s="3" t="s">
        <v>245</v>
      </c>
      <c r="C52" s="26" t="n">
        <f aca="false">COUNTIF($I$34:$I$39,"&lt;0")</f>
        <v>0</v>
      </c>
    </row>
    <row r="54" customFormat="false" ht="15" hidden="false" customHeight="false" outlineLevel="0" collapsed="false">
      <c r="B54" s="6" t="s">
        <v>246</v>
      </c>
      <c r="C54" s="7"/>
      <c r="D54" s="7"/>
      <c r="E54" s="7"/>
      <c r="F54" s="7"/>
      <c r="G54" s="7"/>
      <c r="H54" s="7"/>
      <c r="I54" s="7"/>
      <c r="J54" s="7"/>
      <c r="K54" s="7"/>
    </row>
    <row r="55" customFormat="false" ht="15" hidden="false" customHeight="false" outlineLevel="0" collapsed="false">
      <c r="B55" s="3" t="s">
        <v>247</v>
      </c>
      <c r="C55" s="22" t="n">
        <f aca="false">C10</f>
        <v>136.82</v>
      </c>
      <c r="E55" s="4" t="s">
        <v>248</v>
      </c>
    </row>
    <row r="56" customFormat="false" ht="15" hidden="false" customHeight="false" outlineLevel="0" collapsed="false">
      <c r="B56" s="3" t="s">
        <v>249</v>
      </c>
      <c r="C56" s="21" t="n">
        <f aca="false">E10</f>
        <v>0.0118331178271022</v>
      </c>
    </row>
    <row r="57" customFormat="false" ht="15" hidden="false" customHeight="false" outlineLevel="0" collapsed="false">
      <c r="B57" s="3" t="s">
        <v>250</v>
      </c>
      <c r="C57" s="21" t="n">
        <f aca="false">F10</f>
        <v>0.0372</v>
      </c>
    </row>
    <row r="58" customFormat="false" ht="15" hidden="false" customHeight="false" outlineLevel="0" collapsed="false">
      <c r="B58" s="3" t="s">
        <v>251</v>
      </c>
      <c r="C58" s="23" t="n">
        <f aca="false">C57/C56</f>
        <v>3.14371922459848</v>
      </c>
      <c r="E58" s="4" t="s">
        <v>252</v>
      </c>
    </row>
    <row r="59" customFormat="false" ht="15" hidden="false" customHeight="false" outlineLevel="0" collapsed="false">
      <c r="B59" s="3" t="s">
        <v>253</v>
      </c>
      <c r="C59" s="15" t="n">
        <f aca="false">I10</f>
        <v>30813.4388217741</v>
      </c>
    </row>
    <row r="60" customFormat="false" ht="15" hidden="false" customHeight="false" outlineLevel="0" collapsed="false">
      <c r="B60" s="3" t="s">
        <v>254</v>
      </c>
      <c r="C60" s="15" t="n">
        <f aca="false">J10</f>
        <v>2162.27208261709</v>
      </c>
    </row>
    <row r="61" customFormat="false" ht="15" hidden="false" customHeight="false" outlineLevel="0" collapsed="false">
      <c r="B61" s="3" t="s">
        <v>255</v>
      </c>
      <c r="C61" s="22" t="n">
        <f aca="false">'Days to Cash'!H9</f>
        <v>6.82</v>
      </c>
    </row>
    <row r="62" customFormat="false" ht="15" hidden="false" customHeight="false" outlineLevel="0" collapsed="false">
      <c r="B62" s="3" t="s">
        <v>256</v>
      </c>
      <c r="C62" s="15" t="n">
        <f aca="false">'The Order'!$C$7*Inputs!$C$12*C61/Inputs!$C$61</f>
        <v>5447.134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13" min="4" style="0" width="13"/>
    <col collapsed="false" customWidth="true" hidden="false" outlineLevel="0" max="14" min="14" style="0" width="70"/>
  </cols>
  <sheetData>
    <row r="2" customFormat="false" ht="17.35" hidden="false" customHeight="false" outlineLevel="0" collapsed="false">
      <c r="B2" s="1" t="s">
        <v>257</v>
      </c>
    </row>
    <row r="3" customFormat="false" ht="15" hidden="false" customHeight="false" outlineLevel="0" collapsed="false">
      <c r="B3" s="4" t="s">
        <v>258</v>
      </c>
    </row>
    <row r="5" customFormat="false" ht="15" hidden="false" customHeight="false" outlineLevel="0" collapsed="false">
      <c r="B5" s="6" t="s">
        <v>259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customFormat="false" ht="42" hidden="false" customHeight="true" outlineLevel="0" collapsed="false">
      <c r="C6" s="24" t="s">
        <v>169</v>
      </c>
      <c r="D6" s="24" t="s">
        <v>170</v>
      </c>
      <c r="E6" s="24" t="s">
        <v>171</v>
      </c>
      <c r="F6" s="24" t="s">
        <v>172</v>
      </c>
      <c r="G6" s="24" t="s">
        <v>173</v>
      </c>
      <c r="H6" s="24" t="s">
        <v>174</v>
      </c>
      <c r="I6" s="24" t="s">
        <v>175</v>
      </c>
      <c r="J6" s="24" t="s">
        <v>176</v>
      </c>
      <c r="K6" s="24" t="s">
        <v>177</v>
      </c>
      <c r="L6" s="24" t="s">
        <v>179</v>
      </c>
    </row>
    <row r="7" customFormat="false" ht="15" hidden="false" customHeight="false" outlineLevel="0" collapsed="false">
      <c r="B7" s="3" t="s">
        <v>180</v>
      </c>
      <c r="C7" s="15" t="n">
        <f aca="false">Inputs!$C$57</f>
        <v>90</v>
      </c>
      <c r="D7" s="15" t="n">
        <f aca="false">Inputs!$C$9</f>
        <v>70</v>
      </c>
      <c r="E7" s="15" t="n">
        <f aca="false">Inputs!$C$10</f>
        <v>26</v>
      </c>
      <c r="I7" s="15" t="n">
        <f aca="false">C7</f>
        <v>90</v>
      </c>
      <c r="J7" s="25" t="n">
        <f aca="false">SUM(D7:I7)</f>
        <v>186</v>
      </c>
      <c r="K7" s="22" t="n">
        <f aca="false">C7+E7</f>
        <v>116</v>
      </c>
      <c r="L7" s="25" t="n">
        <f aca="false">C7</f>
        <v>90</v>
      </c>
    </row>
    <row r="8" customFormat="false" ht="15" hidden="false" customHeight="false" outlineLevel="0" collapsed="false">
      <c r="B8" s="3" t="s">
        <v>182</v>
      </c>
      <c r="C8" s="15" t="n">
        <f aca="false">Inputs!$C$57</f>
        <v>90</v>
      </c>
      <c r="D8" s="15" t="n">
        <f aca="false">Inputs!$C$9</f>
        <v>70</v>
      </c>
      <c r="E8" s="15" t="n">
        <f aca="false">Inputs!$C$10</f>
        <v>26</v>
      </c>
      <c r="I8" s="15" t="n">
        <f aca="false">C8</f>
        <v>90</v>
      </c>
      <c r="J8" s="25" t="n">
        <f aca="false">SUM(D8:I8)</f>
        <v>186</v>
      </c>
      <c r="K8" s="22" t="n">
        <f aca="false">C8+E8</f>
        <v>116</v>
      </c>
      <c r="L8" s="25" t="n">
        <f aca="false">C8</f>
        <v>90</v>
      </c>
    </row>
    <row r="9" customFormat="false" ht="15" hidden="false" customHeight="false" outlineLevel="0" collapsed="false">
      <c r="B9" s="3" t="s">
        <v>260</v>
      </c>
      <c r="D9" s="15" t="n">
        <f aca="false">Inputs!$C$9</f>
        <v>70</v>
      </c>
      <c r="E9" s="15" t="n">
        <f aca="false">Inputs!$C$10</f>
        <v>26</v>
      </c>
      <c r="F9" s="15" t="n">
        <f aca="false">Inputs!$C$11</f>
        <v>9</v>
      </c>
      <c r="G9" s="15" t="n">
        <f aca="false">Inputs!$C$37</f>
        <v>7</v>
      </c>
      <c r="J9" s="25" t="n">
        <f aca="false">SUM(D9:I9)</f>
        <v>112</v>
      </c>
      <c r="K9" s="22" t="n">
        <f aca="false">E9+F9+G9</f>
        <v>42</v>
      </c>
      <c r="L9" s="25" t="n">
        <f aca="false">F9*0</f>
        <v>0</v>
      </c>
      <c r="N9" s="4" t="s">
        <v>261</v>
      </c>
    </row>
    <row r="10" customFormat="false" ht="15" hidden="false" customHeight="false" outlineLevel="0" collapsed="false">
      <c r="B10" s="3" t="s">
        <v>262</v>
      </c>
      <c r="D10" s="15" t="n">
        <f aca="false">Inputs!$C$9</f>
        <v>70</v>
      </c>
      <c r="E10" s="15" t="n">
        <f aca="false">Inputs!$C$10</f>
        <v>26</v>
      </c>
      <c r="F10" s="15" t="n">
        <f aca="false">Inputs!$C$11</f>
        <v>9</v>
      </c>
      <c r="G10" s="15" t="n">
        <f aca="false">Inputs!$C$38</f>
        <v>5</v>
      </c>
      <c r="H10" s="22" t="n">
        <f aca="false">Inputs!$C$42*Inputs!$C$45*Inputs!$C$44</f>
        <v>6.82</v>
      </c>
      <c r="J10" s="25" t="n">
        <f aca="false">SUM(D10:I10)</f>
        <v>116.82</v>
      </c>
      <c r="K10" s="22" t="n">
        <f aca="false">E10+F10+G10+H10</f>
        <v>46.82</v>
      </c>
      <c r="L10" s="25" t="n">
        <f aca="false">F10*0</f>
        <v>0</v>
      </c>
      <c r="N10" s="4" t="s">
        <v>263</v>
      </c>
    </row>
    <row r="11" customFormat="false" ht="15" hidden="false" customHeight="false" outlineLevel="0" collapsed="false">
      <c r="B11" s="3" t="s">
        <v>264</v>
      </c>
      <c r="C11" s="15" t="n">
        <f aca="false">Inputs!$C$58</f>
        <v>120</v>
      </c>
      <c r="D11" s="15" t="n">
        <f aca="false">Inputs!$C$9</f>
        <v>70</v>
      </c>
      <c r="E11" s="15" t="n">
        <f aca="false">Inputs!$C$10</f>
        <v>26</v>
      </c>
      <c r="F11" s="15" t="n">
        <f aca="false">Inputs!$C$11</f>
        <v>9</v>
      </c>
      <c r="G11" s="15" t="n">
        <f aca="false">Inputs!$C$38</f>
        <v>5</v>
      </c>
      <c r="H11" s="22" t="n">
        <f aca="false">Inputs!$C$42*Inputs!$C$45*Inputs!$C$44</f>
        <v>6.82</v>
      </c>
      <c r="J11" s="25" t="n">
        <f aca="false">SUM(D11:I11)</f>
        <v>116.82</v>
      </c>
      <c r="K11" s="22" t="n">
        <f aca="false">C11+E11+F11</f>
        <v>155</v>
      </c>
      <c r="L11" s="25" t="n">
        <f aca="false">C11</f>
        <v>120</v>
      </c>
    </row>
    <row r="12" customFormat="false" ht="15" hidden="false" customHeight="false" outlineLevel="0" collapsed="false">
      <c r="B12" s="3" t="s">
        <v>190</v>
      </c>
      <c r="C12" s="15" t="n">
        <f aca="false">Inputs!$C$57</f>
        <v>90</v>
      </c>
      <c r="D12" s="15" t="n">
        <f aca="false">Inputs!$C$9</f>
        <v>70</v>
      </c>
      <c r="E12" s="15" t="n">
        <f aca="false">Inputs!$C$10</f>
        <v>26</v>
      </c>
      <c r="F12" s="15" t="n">
        <f aca="false">Inputs!$C$11</f>
        <v>9</v>
      </c>
      <c r="G12" s="15" t="n">
        <f aca="false">Inputs!$C$39</f>
        <v>4</v>
      </c>
      <c r="J12" s="25" t="n">
        <f aca="false">SUM(D12:I12)</f>
        <v>109</v>
      </c>
      <c r="K12" s="22" t="n">
        <f aca="false">C12*0</f>
        <v>0</v>
      </c>
      <c r="L12" s="25" t="n">
        <f aca="false">C12</f>
        <v>90</v>
      </c>
    </row>
    <row r="14" customFormat="false" ht="15" hidden="false" customHeight="false" outlineLevel="0" collapsed="false">
      <c r="B14" s="6" t="s">
        <v>265</v>
      </c>
      <c r="C14" s="7"/>
      <c r="D14" s="7"/>
      <c r="E14" s="7"/>
      <c r="F14" s="7"/>
      <c r="G14" s="7"/>
      <c r="H14" s="7"/>
      <c r="I14" s="7"/>
      <c r="J14" s="7"/>
      <c r="K14" s="7"/>
    </row>
    <row r="15" customFormat="false" ht="42" hidden="false" customHeight="true" outlineLevel="0" collapsed="false">
      <c r="C15" s="24" t="s">
        <v>177</v>
      </c>
      <c r="D15" s="24" t="s">
        <v>200</v>
      </c>
      <c r="E15" s="24" t="s">
        <v>201</v>
      </c>
      <c r="F15" s="24" t="s">
        <v>202</v>
      </c>
      <c r="G15" s="24" t="s">
        <v>203</v>
      </c>
      <c r="H15" s="24" t="s">
        <v>204</v>
      </c>
      <c r="I15" s="24" t="s">
        <v>205</v>
      </c>
      <c r="J15" s="24" t="s">
        <v>206</v>
      </c>
      <c r="K15" s="24" t="s">
        <v>207</v>
      </c>
    </row>
    <row r="16" customFormat="false" ht="15" hidden="false" customHeight="false" outlineLevel="0" collapsed="false">
      <c r="B16" s="3" t="s">
        <v>180</v>
      </c>
      <c r="C16" s="22" t="n">
        <f aca="false">K7</f>
        <v>116</v>
      </c>
      <c r="D16" s="21" t="n">
        <f aca="false">1-(1-Inputs!$C$15)^(C16/Inputs!$C$62)</f>
        <v>0.0132166706856739</v>
      </c>
      <c r="K16" s="26" t="n">
        <f aca="false">'The Order'!$C$6*D16*Inputs!$C$16</f>
        <v>34416.2104654948</v>
      </c>
    </row>
    <row r="17" customFormat="false" ht="15" hidden="false" customHeight="false" outlineLevel="0" collapsed="false">
      <c r="B17" s="3" t="s">
        <v>182</v>
      </c>
      <c r="C17" s="22" t="n">
        <f aca="false">K8</f>
        <v>116</v>
      </c>
      <c r="D17" s="21" t="n">
        <f aca="false">1-(1-Inputs!$C$15)^(C17/Inputs!$C$62)</f>
        <v>0.0132166706856739</v>
      </c>
      <c r="K17" s="26" t="n">
        <f aca="false">'The Order'!$C$6*D17*Inputs!$C$16*(1-Inputs!$C$32)</f>
        <v>3441.62104654948</v>
      </c>
    </row>
    <row r="18" customFormat="false" ht="15" hidden="false" customHeight="false" outlineLevel="0" collapsed="false">
      <c r="B18" s="3" t="s">
        <v>260</v>
      </c>
      <c r="C18" s="22" t="n">
        <f aca="false">K9</f>
        <v>42</v>
      </c>
      <c r="D18" s="21" t="n">
        <f aca="false">1-(1-Inputs!$C$15)^(C18/Inputs!$C$62)</f>
        <v>0.00480566653858583</v>
      </c>
      <c r="K18" s="26" t="n">
        <f aca="false">'The Order'!$C$6*D18*Inputs!$C$49*Inputs!$C$50</f>
        <v>8487.28767379643</v>
      </c>
    </row>
    <row r="19" customFormat="false" ht="15" hidden="false" customHeight="false" outlineLevel="0" collapsed="false">
      <c r="B19" s="3" t="s">
        <v>262</v>
      </c>
      <c r="C19" s="22" t="n">
        <f aca="false">K10</f>
        <v>46.82</v>
      </c>
      <c r="D19" s="21" t="n">
        <f aca="false">1-(1-Inputs!$C$15)^(C19/Inputs!$C$62)</f>
        <v>0.00535569462394281</v>
      </c>
      <c r="E19" s="21" t="n">
        <f aca="false">1-(1-(1-(1-Inputs!$C$17)^(C19/Inputs!$C$62)))*(1-(1-(1-Inputs!$C$18)^(C19/Inputs!$C$62)))</f>
        <v>0.00406517326550049</v>
      </c>
      <c r="F19" s="21" t="n">
        <f aca="false">Inputs!$C$42*(1-Inputs!$C$43)</f>
        <v>0.0372</v>
      </c>
      <c r="G19" s="22" t="n">
        <f aca="false">C19+Inputs!$C$54</f>
        <v>106.82</v>
      </c>
      <c r="H19" s="21" t="n">
        <f aca="false">1-(1-Inputs!$C$15)^(G19/Inputs!$C$62)</f>
        <v>0.0121771261090705</v>
      </c>
      <c r="I19" s="15" t="n">
        <f aca="false">'The Order'!$C$6*E19*Inputs!$C$16</f>
        <v>10585.7111833633</v>
      </c>
      <c r="J19" s="15" t="n">
        <f aca="false">'The Order'!$C$6*F19*H19*Inputs!$C$16</f>
        <v>1179.58359363433</v>
      </c>
      <c r="K19" s="26" t="n">
        <f aca="false">I19+J19</f>
        <v>11765.2947769976</v>
      </c>
    </row>
    <row r="20" customFormat="false" ht="15" hidden="false" customHeight="false" outlineLevel="0" collapsed="false">
      <c r="B20" s="3" t="s">
        <v>264</v>
      </c>
      <c r="C20" s="22" t="n">
        <f aca="false">K11</f>
        <v>155</v>
      </c>
      <c r="D20" s="21" t="n">
        <f aca="false">1-(1-Inputs!$C$15)^(C20/Inputs!$C$62)</f>
        <v>0.0176208542606426</v>
      </c>
      <c r="F20" s="21" t="n">
        <f aca="false">Inputs!$C$42*(1-Inputs!$C$43)</f>
        <v>0.0372</v>
      </c>
      <c r="G20" s="22" t="n">
        <f aca="false">'The Naive Table'!C11+Inputs!$C$54</f>
        <v>180</v>
      </c>
      <c r="H20" s="21" t="n">
        <f aca="false">1-(1-Inputs!$C$15)^(G20/Inputs!$C$62)</f>
        <v>0.0204337045381879</v>
      </c>
      <c r="J20" s="15" t="n">
        <f aca="false">'The Order'!$C$6*F20*H20*Inputs!$C$16</f>
        <v>1979.38843816882</v>
      </c>
      <c r="K20" s="26" t="n">
        <f aca="false">J20</f>
        <v>1979.38843816882</v>
      </c>
    </row>
    <row r="21" customFormat="false" ht="15" hidden="false" customHeight="false" outlineLevel="0" collapsed="false">
      <c r="B21" s="3" t="s">
        <v>190</v>
      </c>
      <c r="C21" s="22" t="n">
        <f aca="false">K12</f>
        <v>0</v>
      </c>
      <c r="D21" s="21" t="n">
        <f aca="false">1-(1-Inputs!$C$15)^(C21/Inputs!$C$62)</f>
        <v>0</v>
      </c>
      <c r="K21" s="26" t="n">
        <f aca="false">'The Order'!$C$6*Inputs!$C$52*Inputs!$C$53</f>
        <v>32130</v>
      </c>
    </row>
    <row r="23" customFormat="false" ht="15" hidden="false" customHeight="false" outlineLevel="0" collapsed="false">
      <c r="B23" s="6" t="s">
        <v>266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customFormat="false" ht="42" hidden="false" customHeight="true" outlineLevel="0" collapsed="false">
      <c r="C24" s="24" t="s">
        <v>209</v>
      </c>
      <c r="D24" s="24" t="s">
        <v>210</v>
      </c>
      <c r="E24" s="24" t="s">
        <v>211</v>
      </c>
      <c r="F24" s="24" t="s">
        <v>212</v>
      </c>
      <c r="G24" s="24" t="s">
        <v>213</v>
      </c>
      <c r="H24" s="24" t="s">
        <v>214</v>
      </c>
      <c r="I24" s="24" t="s">
        <v>215</v>
      </c>
      <c r="J24" s="24" t="s">
        <v>216</v>
      </c>
      <c r="K24" s="24" t="s">
        <v>217</v>
      </c>
      <c r="L24" s="24" t="s">
        <v>218</v>
      </c>
      <c r="M24" s="24" t="s">
        <v>219</v>
      </c>
    </row>
    <row r="25" customFormat="false" ht="15" hidden="false" customHeight="false" outlineLevel="0" collapsed="false">
      <c r="B25" s="3" t="s">
        <v>180</v>
      </c>
      <c r="L25" s="26" t="n">
        <f aca="false">SUM(C25:K25)</f>
        <v>0</v>
      </c>
    </row>
    <row r="26" customFormat="false" ht="15" hidden="false" customHeight="false" outlineLevel="0" collapsed="false">
      <c r="B26" s="3" t="s">
        <v>182</v>
      </c>
      <c r="G26" s="15" t="n">
        <f aca="false">'The Order'!$C$6*Inputs!$C$31</f>
        <v>26040</v>
      </c>
      <c r="L26" s="26" t="n">
        <f aca="false">SUM(C26:K26)</f>
        <v>26040</v>
      </c>
    </row>
    <row r="27" customFormat="false" ht="15" hidden="false" customHeight="false" outlineLevel="0" collapsed="false">
      <c r="B27" s="3" t="s">
        <v>260</v>
      </c>
      <c r="E27" s="15" t="n">
        <f aca="false">MAX('The Order'!$C$6*Inputs!$C$27,Inputs!$C$28)</f>
        <v>3780</v>
      </c>
      <c r="I27" s="15" t="n">
        <f aca="false">Inputs!$C$33</f>
        <v>1180</v>
      </c>
      <c r="L27" s="26" t="n">
        <f aca="false">SUM(C27:K27)</f>
        <v>4960</v>
      </c>
    </row>
    <row r="28" customFormat="false" ht="15" hidden="false" customHeight="false" outlineLevel="0" collapsed="false">
      <c r="B28" s="3" t="s">
        <v>262</v>
      </c>
      <c r="C28" s="15" t="n">
        <f aca="false">Inputs!$C$21</f>
        <v>350</v>
      </c>
      <c r="D28" s="15" t="n">
        <f aca="false">MAX('The Order'!$C$6*Inputs!$C$22,Inputs!$C$23)</f>
        <v>5250</v>
      </c>
      <c r="I28" s="15" t="n">
        <f aca="false">Inputs!$C$33</f>
        <v>1180</v>
      </c>
      <c r="J28" s="15" t="n">
        <f aca="false">Inputs!$C$34</f>
        <v>240</v>
      </c>
      <c r="L28" s="26" t="n">
        <f aca="false">SUM(C28:K28)</f>
        <v>7020</v>
      </c>
    </row>
    <row r="29" customFormat="false" ht="15" hidden="false" customHeight="false" outlineLevel="0" collapsed="false">
      <c r="B29" s="3" t="s">
        <v>264</v>
      </c>
      <c r="C29" s="15" t="n">
        <f aca="false">Inputs!$C$21</f>
        <v>350</v>
      </c>
      <c r="D29" s="15" t="n">
        <f aca="false">MAX('The Order'!$C$6*Inputs!$C$22,Inputs!$C$23)</f>
        <v>5250</v>
      </c>
      <c r="F29" s="15" t="n">
        <f aca="false">MAX('The Order'!$C$6*Inputs!$C$24*'The Naive Table'!K11/Inputs!$C$61,Inputs!$C$25)</f>
        <v>33454.1666666667</v>
      </c>
      <c r="I29" s="15" t="n">
        <f aca="false">Inputs!$C$33</f>
        <v>1180</v>
      </c>
      <c r="J29" s="15" t="n">
        <f aca="false">Inputs!$C$34</f>
        <v>240</v>
      </c>
      <c r="K29" s="15" t="n">
        <f aca="false">'The Order'!$C$6*Inputs!$C$26*'The Naive Table'!C11/Inputs!$C$61</f>
        <v>96600</v>
      </c>
      <c r="L29" s="26" t="n">
        <f aca="false">SUM(C29:K29)</f>
        <v>137074.166666667</v>
      </c>
      <c r="M29" s="15" t="n">
        <f aca="false">'The Order'!$C$6-K29</f>
        <v>4103400</v>
      </c>
    </row>
    <row r="30" customFormat="false" ht="15" hidden="false" customHeight="false" outlineLevel="0" collapsed="false">
      <c r="B30" s="3" t="s">
        <v>190</v>
      </c>
      <c r="H30" s="15" t="n">
        <f aca="false">'The Order'!$C$6*Inputs!$C$30</f>
        <v>23100</v>
      </c>
      <c r="I30" s="15" t="n">
        <f aca="false">Inputs!$C$33</f>
        <v>1180</v>
      </c>
      <c r="K30" s="15" t="n">
        <f aca="false">'The Order'!$C$6*Inputs!$C$29*'The Naive Table'!C12/Inputs!$C$61</f>
        <v>79800</v>
      </c>
      <c r="L30" s="26" t="n">
        <f aca="false">SUM(C30:K30)</f>
        <v>104080</v>
      </c>
      <c r="M30" s="15" t="n">
        <f aca="false">'The Order'!$C$6-K30</f>
        <v>4120200</v>
      </c>
    </row>
    <row r="32" customFormat="false" ht="15" hidden="false" customHeight="false" outlineLevel="0" collapsed="false">
      <c r="B32" s="6" t="s">
        <v>267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customFormat="false" ht="43.5" hidden="false" customHeight="true" outlineLevel="0" collapsed="false">
      <c r="C33" s="24" t="s">
        <v>221</v>
      </c>
      <c r="D33" s="24" t="s">
        <v>227</v>
      </c>
      <c r="E33" s="24" t="s">
        <v>228</v>
      </c>
      <c r="F33" s="24" t="s">
        <v>229</v>
      </c>
      <c r="G33" s="24" t="s">
        <v>230</v>
      </c>
      <c r="H33" s="24" t="s">
        <v>231</v>
      </c>
      <c r="I33" s="24" t="s">
        <v>232</v>
      </c>
      <c r="J33" s="24" t="s">
        <v>233</v>
      </c>
      <c r="K33" s="24" t="s">
        <v>234</v>
      </c>
      <c r="L33" s="24" t="s">
        <v>179</v>
      </c>
      <c r="M33" s="24" t="s">
        <v>235</v>
      </c>
    </row>
    <row r="34" customFormat="false" ht="15" hidden="false" customHeight="false" outlineLevel="0" collapsed="false">
      <c r="B34" s="3" t="s">
        <v>180</v>
      </c>
      <c r="C34" s="22" t="n">
        <f aca="false">J7</f>
        <v>186</v>
      </c>
      <c r="D34" s="15" t="n">
        <f aca="false">'The Order'!$C$7*Inputs!$C$12*C34/Inputs!$C$61</f>
        <v>148558.2</v>
      </c>
      <c r="E34" s="15" t="n">
        <f aca="false">L25</f>
        <v>0</v>
      </c>
      <c r="F34" s="15" t="n">
        <f aca="false">K16</f>
        <v>34416.2104654948</v>
      </c>
      <c r="G34" s="26" t="n">
        <f aca="false">D34+E34+F34</f>
        <v>182974.410465495</v>
      </c>
      <c r="H34" s="18" t="n">
        <f aca="false">G34/'The Order'!$C$12</f>
        <v>0.596785422261888</v>
      </c>
      <c r="I34" s="26" t="n">
        <f aca="false">('The Order'!$C$6-E34-F34)-'The Order'!$C$7-'The Order'!$C$10-D34</f>
        <v>123625.589534505</v>
      </c>
      <c r="J34" s="19" t="n">
        <f aca="false">I34/'The Order'!$C$6</f>
        <v>0.0294346641748821</v>
      </c>
      <c r="K34" s="19" t="n">
        <f aca="false">G34/'The Order'!$C$6*Inputs!$C$61/C34</f>
        <v>0.0843200048228087</v>
      </c>
      <c r="L34" s="22" t="n">
        <f aca="false">L7</f>
        <v>90</v>
      </c>
      <c r="M34" s="27" t="n">
        <f aca="false">I34-('The Order'!$C$12-G34)</f>
        <v>0</v>
      </c>
    </row>
    <row r="35" customFormat="false" ht="15" hidden="false" customHeight="false" outlineLevel="0" collapsed="false">
      <c r="B35" s="3" t="s">
        <v>182</v>
      </c>
      <c r="C35" s="22" t="n">
        <f aca="false">J8</f>
        <v>186</v>
      </c>
      <c r="D35" s="15" t="n">
        <f aca="false">'The Order'!$C$7*Inputs!$C$12*C35/Inputs!$C$61</f>
        <v>148558.2</v>
      </c>
      <c r="E35" s="15" t="n">
        <f aca="false">L26</f>
        <v>26040</v>
      </c>
      <c r="F35" s="15" t="n">
        <f aca="false">K17</f>
        <v>3441.62104654948</v>
      </c>
      <c r="G35" s="26" t="n">
        <f aca="false">D35+E35+F35</f>
        <v>178039.82104655</v>
      </c>
      <c r="H35" s="18" t="n">
        <f aca="false">G35/'The Order'!$C$12</f>
        <v>0.580690870993312</v>
      </c>
      <c r="I35" s="26" t="n">
        <f aca="false">('The Order'!$C$6-E35-F35)-'The Order'!$C$7-'The Order'!$C$10-D35</f>
        <v>128560.17895345</v>
      </c>
      <c r="J35" s="19" t="n">
        <f aca="false">I35/'The Order'!$C$6</f>
        <v>0.0306095664174882</v>
      </c>
      <c r="K35" s="19" t="n">
        <f aca="false">G35/'The Order'!$C$6*Inputs!$C$61/C35</f>
        <v>0.0820460004822809</v>
      </c>
      <c r="L35" s="22" t="n">
        <f aca="false">L8</f>
        <v>90</v>
      </c>
      <c r="M35" s="27" t="n">
        <f aca="false">I35-('The Order'!$C$12-G35)</f>
        <v>0</v>
      </c>
    </row>
    <row r="36" customFormat="false" ht="15" hidden="false" customHeight="false" outlineLevel="0" collapsed="false">
      <c r="B36" s="3" t="s">
        <v>260</v>
      </c>
      <c r="C36" s="22" t="n">
        <f aca="false">J9</f>
        <v>112</v>
      </c>
      <c r="D36" s="15" t="n">
        <f aca="false">'The Order'!$C$7*Inputs!$C$12*C36/Inputs!$C$61</f>
        <v>89454.4</v>
      </c>
      <c r="E36" s="15" t="n">
        <f aca="false">L27</f>
        <v>4960</v>
      </c>
      <c r="F36" s="15" t="n">
        <f aca="false">K18</f>
        <v>8487.28767379643</v>
      </c>
      <c r="G36" s="26" t="n">
        <f aca="false">D36+E36+F36</f>
        <v>102901.687673796</v>
      </c>
      <c r="H36" s="18" t="n">
        <f aca="false">G36/'The Order'!$C$12</f>
        <v>0.335621942836909</v>
      </c>
      <c r="I36" s="26" t="n">
        <f aca="false">('The Order'!$C$6-E36-F36)-'The Order'!$C$7-'The Order'!$C$10-D36</f>
        <v>203698.312326203</v>
      </c>
      <c r="J36" s="19" t="n">
        <f aca="false">I36/'The Order'!$C$6</f>
        <v>0.0484995981729056</v>
      </c>
      <c r="K36" s="19" t="n">
        <f aca="false">G36/'The Order'!$C$6*Inputs!$C$61/C36</f>
        <v>0.0787512915870891</v>
      </c>
      <c r="L36" s="22" t="n">
        <f aca="false">L9</f>
        <v>0</v>
      </c>
      <c r="M36" s="27" t="n">
        <f aca="false">I36-('The Order'!$C$12-G36)</f>
        <v>0</v>
      </c>
    </row>
    <row r="37" customFormat="false" ht="15" hidden="false" customHeight="false" outlineLevel="0" collapsed="false">
      <c r="B37" s="3" t="s">
        <v>262</v>
      </c>
      <c r="C37" s="22" t="n">
        <f aca="false">J10</f>
        <v>116.82</v>
      </c>
      <c r="D37" s="15" t="n">
        <f aca="false">'The Order'!$C$7*Inputs!$C$12*C37/Inputs!$C$61</f>
        <v>93304.134</v>
      </c>
      <c r="E37" s="15" t="n">
        <f aca="false">L28</f>
        <v>7020</v>
      </c>
      <c r="F37" s="15" t="n">
        <f aca="false">K19</f>
        <v>11765.2947769976</v>
      </c>
      <c r="G37" s="26" t="n">
        <f aca="false">D37+E37+F37</f>
        <v>112089.428776998</v>
      </c>
      <c r="H37" s="18" t="n">
        <f aca="false">G37/'The Order'!$C$12</f>
        <v>0.365588482638609</v>
      </c>
      <c r="I37" s="26" t="n">
        <f aca="false">('The Order'!$C$6-E37-F37)-'The Order'!$C$7-'The Order'!$C$10-D37</f>
        <v>194510.571223002</v>
      </c>
      <c r="J37" s="19" t="n">
        <f aca="false">I37/'The Order'!$C$6</f>
        <v>0.0463120407673815</v>
      </c>
      <c r="K37" s="19" t="n">
        <f aca="false">G37/'The Order'!$C$6*Inputs!$C$61/C37</f>
        <v>0.0822433258324144</v>
      </c>
      <c r="L37" s="22" t="n">
        <f aca="false">L10</f>
        <v>0</v>
      </c>
      <c r="M37" s="27" t="n">
        <f aca="false">I37-('The Order'!$C$12-G37)</f>
        <v>0</v>
      </c>
    </row>
    <row r="38" customFormat="false" ht="15" hidden="false" customHeight="false" outlineLevel="0" collapsed="false">
      <c r="B38" s="3" t="s">
        <v>264</v>
      </c>
      <c r="C38" s="22" t="n">
        <f aca="false">J11</f>
        <v>116.82</v>
      </c>
      <c r="D38" s="15" t="n">
        <f aca="false">'The Order'!$C$7*Inputs!$C$12*C38/Inputs!$C$61</f>
        <v>93304.134</v>
      </c>
      <c r="E38" s="15" t="n">
        <f aca="false">L29</f>
        <v>137074.166666667</v>
      </c>
      <c r="F38" s="15" t="n">
        <f aca="false">K20</f>
        <v>1979.38843816882</v>
      </c>
      <c r="G38" s="26" t="n">
        <f aca="false">D38+E38+F38</f>
        <v>232357.689104835</v>
      </c>
      <c r="H38" s="18" t="n">
        <f aca="false">G38/'The Order'!$C$12</f>
        <v>0.757852867269522</v>
      </c>
      <c r="I38" s="26" t="n">
        <f aca="false">('The Order'!$C$6-E38-F38)-'The Order'!$C$7-'The Order'!$C$10-D38</f>
        <v>74242.3108951646</v>
      </c>
      <c r="J38" s="19" t="n">
        <f aca="false">I38/'The Order'!$C$6</f>
        <v>0.0176767406893249</v>
      </c>
      <c r="K38" s="19" t="n">
        <f aca="false">G38/'The Order'!$C$6*Inputs!$C$61/C38</f>
        <v>0.170487702035979</v>
      </c>
      <c r="L38" s="22" t="n">
        <f aca="false">L11</f>
        <v>120</v>
      </c>
      <c r="M38" s="27" t="n">
        <f aca="false">I38-('The Order'!$C$12-G38)</f>
        <v>0</v>
      </c>
    </row>
    <row r="39" customFormat="false" ht="15" hidden="false" customHeight="false" outlineLevel="0" collapsed="false">
      <c r="B39" s="3" t="s">
        <v>190</v>
      </c>
      <c r="C39" s="22" t="n">
        <f aca="false">J12</f>
        <v>109</v>
      </c>
      <c r="D39" s="15" t="n">
        <f aca="false">'The Order'!$C$7*Inputs!$C$12*C39/Inputs!$C$61</f>
        <v>87058.3</v>
      </c>
      <c r="E39" s="15" t="n">
        <f aca="false">L30</f>
        <v>104080</v>
      </c>
      <c r="F39" s="15" t="n">
        <f aca="false">K21</f>
        <v>32130</v>
      </c>
      <c r="G39" s="26" t="n">
        <f aca="false">D39+E39+F39</f>
        <v>223268.3</v>
      </c>
      <c r="H39" s="18" t="n">
        <f aca="false">G39/'The Order'!$C$12</f>
        <v>0.728207110241357</v>
      </c>
      <c r="I39" s="26" t="n">
        <f aca="false">('The Order'!$C$6-E39-F39)-'The Order'!$C$7-'The Order'!$C$10-D39</f>
        <v>83331.7</v>
      </c>
      <c r="J39" s="19" t="n">
        <f aca="false">I39/'The Order'!$C$6</f>
        <v>0.019840880952381</v>
      </c>
      <c r="K39" s="19" t="n">
        <f aca="false">G39/'The Order'!$C$6*Inputs!$C$61/C39</f>
        <v>0.175571402359109</v>
      </c>
      <c r="L39" s="22" t="n">
        <f aca="false">L12</f>
        <v>90</v>
      </c>
      <c r="M39" s="27" t="n">
        <f aca="false">I39-('The Order'!$C$12-G39)</f>
        <v>0</v>
      </c>
    </row>
    <row r="42" customFormat="false" ht="15" hidden="false" customHeight="false" outlineLevel="0" collapsed="false">
      <c r="B42" s="6" t="s">
        <v>268</v>
      </c>
      <c r="C42" s="7"/>
      <c r="D42" s="7"/>
      <c r="E42" s="7"/>
      <c r="F42" s="7"/>
      <c r="G42" s="7"/>
      <c r="H42" s="7"/>
      <c r="I42" s="7"/>
      <c r="J42" s="7"/>
      <c r="K42" s="7"/>
    </row>
    <row r="43" customFormat="false" ht="15" hidden="false" customHeight="false" outlineLevel="0" collapsed="false">
      <c r="B43" s="3" t="s">
        <v>269</v>
      </c>
      <c r="C43" s="25" t="n">
        <f aca="false">L36</f>
        <v>0</v>
      </c>
      <c r="E43" s="4" t="s">
        <v>270</v>
      </c>
    </row>
    <row r="44" customFormat="false" ht="15" hidden="false" customHeight="false" outlineLevel="0" collapsed="false">
      <c r="B44" s="3" t="s">
        <v>271</v>
      </c>
      <c r="C44" s="25" t="n">
        <f aca="false">L38</f>
        <v>120</v>
      </c>
      <c r="E44" s="4" t="s">
        <v>272</v>
      </c>
    </row>
    <row r="45" customFormat="false" ht="15" hidden="false" customHeight="false" outlineLevel="0" collapsed="false">
      <c r="B45" s="3" t="s">
        <v>273</v>
      </c>
      <c r="C45" s="26" t="n">
        <f aca="false">MIN($G$34:$G$39)</f>
        <v>102901.687673796</v>
      </c>
    </row>
    <row r="46" customFormat="false" ht="15" hidden="false" customHeight="false" outlineLevel="0" collapsed="false">
      <c r="B46" s="3" t="s">
        <v>274</v>
      </c>
      <c r="C46" s="26" t="n">
        <f aca="false">MAX($G$34:$G$39)</f>
        <v>232357.689104835</v>
      </c>
    </row>
    <row r="47" customFormat="false" ht="15" hidden="false" customHeight="false" outlineLevel="0" collapsed="false">
      <c r="B47" s="3" t="s">
        <v>275</v>
      </c>
      <c r="C47" s="26" t="n">
        <f aca="false">C46-C45</f>
        <v>129456.001431039</v>
      </c>
      <c r="E47" s="4" t="s">
        <v>276</v>
      </c>
    </row>
    <row r="48" customFormat="false" ht="15" hidden="false" customHeight="false" outlineLevel="0" collapsed="false">
      <c r="B48" s="3" t="s">
        <v>277</v>
      </c>
      <c r="C48" s="26" t="n">
        <f aca="false">'Six Routes at 90 Days'!C48</f>
        <v>45228.4789534505</v>
      </c>
      <c r="E48" s="4" t="s">
        <v>278</v>
      </c>
    </row>
    <row r="49" customFormat="false" ht="15" hidden="false" customHeight="false" outlineLevel="0" collapsed="false">
      <c r="B49" s="3" t="s">
        <v>279</v>
      </c>
      <c r="C49" s="28" t="n">
        <f aca="false">1-C48/C47</f>
        <v>0.650626634119056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0"/>
  </cols>
  <sheetData>
    <row r="2" customFormat="false" ht="17.35" hidden="false" customHeight="false" outlineLevel="0" collapsed="false">
      <c r="B2" s="1" t="s">
        <v>280</v>
      </c>
    </row>
    <row r="3" customFormat="false" ht="15" hidden="false" customHeight="false" outlineLevel="0" collapsed="false">
      <c r="B3" s="3" t="s">
        <v>281</v>
      </c>
    </row>
    <row r="4" customFormat="false" ht="15" hidden="false" customHeight="false" outlineLevel="0" collapsed="false">
      <c r="B4" s="3" t="s">
        <v>282</v>
      </c>
    </row>
    <row r="6" customFormat="false" ht="15" hidden="false" customHeight="false" outlineLevel="0" collapsed="false">
      <c r="B6" s="29" t="s">
        <v>283</v>
      </c>
      <c r="C6" s="29" t="s">
        <v>284</v>
      </c>
      <c r="D6" s="29" t="s">
        <v>285</v>
      </c>
      <c r="E6" s="29" t="s">
        <v>286</v>
      </c>
      <c r="F6" s="29" t="s">
        <v>287</v>
      </c>
    </row>
    <row r="7" customFormat="false" ht="15" hidden="false" customHeight="false" outlineLevel="0" collapsed="false">
      <c r="B7" s="6" t="s">
        <v>288</v>
      </c>
      <c r="C7" s="7"/>
      <c r="D7" s="7"/>
      <c r="E7" s="7"/>
      <c r="F7" s="7"/>
    </row>
    <row r="8" customFormat="false" ht="15" hidden="false" customHeight="false" outlineLevel="0" collapsed="false">
      <c r="B8" s="3" t="s">
        <v>38</v>
      </c>
      <c r="C8" s="15" t="n">
        <v>4200000</v>
      </c>
      <c r="D8" s="30" t="n">
        <f aca="false">'The Order'!C6</f>
        <v>4200000</v>
      </c>
      <c r="E8" s="31" t="n">
        <f aca="false">D8-C8</f>
        <v>0</v>
      </c>
      <c r="F8" s="5" t="str">
        <f aca="false">IF(ABS(E8)&lt;0.5,"PASS","FAIL")</f>
        <v>PASS</v>
      </c>
    </row>
    <row r="9" customFormat="false" ht="15" hidden="false" customHeight="false" outlineLevel="0" collapsed="false">
      <c r="B9" s="3" t="s">
        <v>132</v>
      </c>
      <c r="C9" s="15" t="n">
        <v>3423000</v>
      </c>
      <c r="D9" s="30" t="n">
        <f aca="false">'The Order'!C7</f>
        <v>3423000</v>
      </c>
      <c r="E9" s="31" t="n">
        <f aca="false">D9-C9</f>
        <v>0</v>
      </c>
      <c r="F9" s="5" t="str">
        <f aca="false">IF(ABS(E9)&lt;0.5,"PASS","FAIL")</f>
        <v>PASS</v>
      </c>
    </row>
    <row r="10" customFormat="false" ht="15" hidden="false" customHeight="false" outlineLevel="0" collapsed="false">
      <c r="B10" s="3" t="s">
        <v>289</v>
      </c>
      <c r="C10" s="15" t="n">
        <v>777000</v>
      </c>
      <c r="D10" s="30" t="n">
        <f aca="false">'The Order'!C8</f>
        <v>777000</v>
      </c>
      <c r="E10" s="31" t="n">
        <f aca="false">D10-C10</f>
        <v>0</v>
      </c>
      <c r="F10" s="5" t="str">
        <f aca="false">IF(ABS(E10)&lt;0.5,"PASS","FAIL")</f>
        <v>PASS</v>
      </c>
    </row>
    <row r="11" customFormat="false" ht="15" hidden="false" customHeight="false" outlineLevel="0" collapsed="false">
      <c r="B11" s="3" t="s">
        <v>135</v>
      </c>
      <c r="C11" s="21" t="n">
        <v>0.185</v>
      </c>
      <c r="D11" s="32" t="n">
        <f aca="false">'The Order'!C9</f>
        <v>0.185</v>
      </c>
      <c r="E11" s="31" t="n">
        <f aca="false">D11-C11</f>
        <v>0</v>
      </c>
      <c r="F11" s="5" t="str">
        <f aca="false">IF(ABS(E11)&lt;0.0005,"PASS","FAIL")</f>
        <v>PASS</v>
      </c>
    </row>
    <row r="12" customFormat="false" ht="15" hidden="false" customHeight="false" outlineLevel="0" collapsed="false">
      <c r="B12" s="3" t="s">
        <v>290</v>
      </c>
      <c r="C12" s="15" t="n">
        <v>470400</v>
      </c>
      <c r="D12" s="30" t="n">
        <f aca="false">'The Order'!C10</f>
        <v>470400</v>
      </c>
      <c r="E12" s="31" t="n">
        <f aca="false">D12-C12</f>
        <v>0</v>
      </c>
      <c r="F12" s="5" t="str">
        <f aca="false">IF(ABS(E12)&lt;0.5,"PASS","FAIL")</f>
        <v>PASS</v>
      </c>
    </row>
    <row r="13" customFormat="false" ht="15" hidden="false" customHeight="false" outlineLevel="0" collapsed="false">
      <c r="B13" s="3" t="s">
        <v>137</v>
      </c>
      <c r="C13" s="21" t="n">
        <v>0.112</v>
      </c>
      <c r="D13" s="32" t="n">
        <f aca="false">'The Order'!C11</f>
        <v>0.112</v>
      </c>
      <c r="E13" s="31" t="n">
        <f aca="false">D13-C13</f>
        <v>0</v>
      </c>
      <c r="F13" s="5" t="str">
        <f aca="false">IF(ABS(E13)&lt;0.0005,"PASS","FAIL")</f>
        <v>PASS</v>
      </c>
    </row>
    <row r="14" customFormat="false" ht="15" hidden="false" customHeight="false" outlineLevel="0" collapsed="false">
      <c r="B14" s="3" t="s">
        <v>138</v>
      </c>
      <c r="C14" s="15" t="n">
        <v>306600</v>
      </c>
      <c r="D14" s="30" t="n">
        <f aca="false">'The Order'!C12</f>
        <v>306600</v>
      </c>
      <c r="E14" s="31" t="n">
        <f aca="false">D14-C14</f>
        <v>0</v>
      </c>
      <c r="F14" s="5" t="str">
        <f aca="false">IF(ABS(E14)&lt;0.5,"PASS","FAIL")</f>
        <v>PASS</v>
      </c>
    </row>
    <row r="15" customFormat="false" ht="15" hidden="false" customHeight="false" outlineLevel="0" collapsed="false">
      <c r="B15" s="3" t="s">
        <v>140</v>
      </c>
      <c r="C15" s="21" t="n">
        <v>0.073</v>
      </c>
      <c r="D15" s="32" t="n">
        <f aca="false">'The Order'!C13</f>
        <v>0.073</v>
      </c>
      <c r="E15" s="31" t="n">
        <f aca="false">D15-C15</f>
        <v>0</v>
      </c>
      <c r="F15" s="5" t="str">
        <f aca="false">IF(ABS(E15)&lt;0.0005,"PASS","FAIL")</f>
        <v>PASS</v>
      </c>
    </row>
    <row r="16" customFormat="false" ht="15" hidden="false" customHeight="false" outlineLevel="0" collapsed="false">
      <c r="B16" s="3" t="s">
        <v>291</v>
      </c>
      <c r="C16" s="15" t="n">
        <v>70</v>
      </c>
      <c r="D16" s="30" t="n">
        <f aca="false">'The Order'!C16</f>
        <v>70</v>
      </c>
      <c r="E16" s="31" t="n">
        <f aca="false">D16-C16</f>
        <v>0</v>
      </c>
      <c r="F16" s="5" t="str">
        <f aca="false">IF(ABS(E16)&lt;0.05,"PASS","FAIL")</f>
        <v>PASS</v>
      </c>
    </row>
    <row r="17" customFormat="false" ht="15" hidden="false" customHeight="false" outlineLevel="0" collapsed="false">
      <c r="B17" s="3" t="s">
        <v>292</v>
      </c>
      <c r="C17" s="15" t="n">
        <v>26</v>
      </c>
      <c r="D17" s="30" t="n">
        <f aca="false">'The Order'!C17</f>
        <v>26</v>
      </c>
      <c r="E17" s="31" t="n">
        <f aca="false">D17-C17</f>
        <v>0</v>
      </c>
      <c r="F17" s="5" t="str">
        <f aca="false">IF(ABS(E17)&lt;0.05,"PASS","FAIL")</f>
        <v>PASS</v>
      </c>
    </row>
    <row r="18" customFormat="false" ht="15" hidden="false" customHeight="false" outlineLevel="0" collapsed="false">
      <c r="B18" s="3" t="s">
        <v>48</v>
      </c>
      <c r="C18" s="15" t="n">
        <v>9</v>
      </c>
      <c r="D18" s="30" t="n">
        <f aca="false">'The Order'!C18</f>
        <v>9</v>
      </c>
      <c r="E18" s="31" t="n">
        <f aca="false">D18-C18</f>
        <v>0</v>
      </c>
      <c r="F18" s="5" t="str">
        <f aca="false">IF(ABS(E18)&lt;0.05,"PASS","FAIL")</f>
        <v>PASS</v>
      </c>
    </row>
    <row r="19" customFormat="false" ht="15" hidden="false" customHeight="false" outlineLevel="0" collapsed="false">
      <c r="B19" s="3" t="s">
        <v>293</v>
      </c>
      <c r="C19" s="15" t="n">
        <v>105</v>
      </c>
      <c r="D19" s="30" t="n">
        <f aca="false">'The Order'!C19</f>
        <v>105</v>
      </c>
      <c r="E19" s="31" t="n">
        <f aca="false">D19-C19</f>
        <v>0</v>
      </c>
      <c r="F19" s="5" t="str">
        <f aca="false">IF(ABS(E19)&lt;0.05,"PASS","FAIL")</f>
        <v>PASS</v>
      </c>
    </row>
    <row r="20" customFormat="false" ht="15" hidden="false" customHeight="false" outlineLevel="0" collapsed="false">
      <c r="B20" s="3" t="s">
        <v>50</v>
      </c>
      <c r="C20" s="21" t="n">
        <v>0.084</v>
      </c>
      <c r="D20" s="32" t="n">
        <f aca="false">'The Order'!C25</f>
        <v>0.084</v>
      </c>
      <c r="E20" s="31" t="n">
        <f aca="false">D20-C20</f>
        <v>0</v>
      </c>
      <c r="F20" s="5" t="str">
        <f aca="false">IF(ABS(E20)&lt;0.000005,"PASS","FAIL")</f>
        <v>PASS</v>
      </c>
    </row>
    <row r="21" customFormat="false" ht="15" hidden="false" customHeight="false" outlineLevel="0" collapsed="false">
      <c r="B21" s="3" t="s">
        <v>154</v>
      </c>
      <c r="C21" s="21" t="n">
        <v>0.815</v>
      </c>
      <c r="D21" s="32" t="n">
        <f aca="false">'The Order'!C27</f>
        <v>0.815</v>
      </c>
      <c r="E21" s="31" t="n">
        <f aca="false">D21-C21</f>
        <v>0</v>
      </c>
      <c r="F21" s="5" t="str">
        <f aca="false">IF(ABS(E21)&lt;0.0005,"PASS","FAIL")</f>
        <v>PASS</v>
      </c>
    </row>
    <row r="22" customFormat="false" ht="15" hidden="false" customHeight="false" outlineLevel="0" collapsed="false">
      <c r="B22" s="3" t="s">
        <v>294</v>
      </c>
      <c r="C22" s="21" t="n">
        <v>0.06846</v>
      </c>
      <c r="D22" s="32" t="n">
        <f aca="false">'The Order'!C28</f>
        <v>0.06846</v>
      </c>
      <c r="E22" s="31" t="n">
        <f aca="false">D22-C22</f>
        <v>0</v>
      </c>
      <c r="F22" s="5" t="str">
        <f aca="false">IF(ABS(E22)&lt;0.000005,"PASS","FAIL")</f>
        <v>PASS</v>
      </c>
    </row>
    <row r="23" customFormat="false" ht="15" hidden="false" customHeight="false" outlineLevel="0" collapsed="false">
      <c r="B23" s="3" t="s">
        <v>164</v>
      </c>
      <c r="C23" s="23" t="n">
        <v>4.2</v>
      </c>
      <c r="D23" s="33" t="n">
        <f aca="false">'The Order'!C38</f>
        <v>4.2</v>
      </c>
      <c r="E23" s="31" t="n">
        <f aca="false">D23-C23</f>
        <v>0</v>
      </c>
      <c r="F23" s="5" t="str">
        <f aca="false">IF(ABS(E23)&lt;0.05,"PASS","FAIL")</f>
        <v>PASS</v>
      </c>
    </row>
    <row r="24" customFormat="false" ht="15" hidden="false" customHeight="false" outlineLevel="0" collapsed="false">
      <c r="B24" s="3" t="s">
        <v>165</v>
      </c>
      <c r="C24" s="22" t="n">
        <v>306.6</v>
      </c>
      <c r="D24" s="34" t="n">
        <f aca="false">'The Order'!C39</f>
        <v>306.6</v>
      </c>
      <c r="E24" s="31" t="n">
        <f aca="false">D24-C24</f>
        <v>0</v>
      </c>
      <c r="F24" s="5" t="str">
        <f aca="false">IF(ABS(E24)&lt;0.05,"PASS","FAIL")</f>
        <v>PASS</v>
      </c>
    </row>
    <row r="25" customFormat="false" ht="15" hidden="false" customHeight="false" outlineLevel="0" collapsed="false">
      <c r="B25" s="6" t="s">
        <v>295</v>
      </c>
      <c r="C25" s="7"/>
      <c r="D25" s="7"/>
      <c r="E25" s="7"/>
      <c r="F25" s="7"/>
    </row>
    <row r="26" customFormat="false" ht="15" hidden="false" customHeight="false" outlineLevel="0" collapsed="false">
      <c r="B26" s="3" t="s">
        <v>296</v>
      </c>
      <c r="C26" s="15" t="n">
        <v>7</v>
      </c>
      <c r="D26" s="30" t="n">
        <f aca="false">'The Order'!C31</f>
        <v>7</v>
      </c>
      <c r="E26" s="31" t="n">
        <f aca="false">D26-C26</f>
        <v>0</v>
      </c>
      <c r="F26" s="5" t="str">
        <f aca="false">IF(ABS(E26)&lt;0.05,"PASS","FAIL")</f>
        <v>PASS</v>
      </c>
    </row>
    <row r="27" customFormat="false" ht="15" hidden="false" customHeight="false" outlineLevel="0" collapsed="false">
      <c r="B27" s="3" t="s">
        <v>297</v>
      </c>
      <c r="C27" s="15" t="n">
        <v>5</v>
      </c>
      <c r="D27" s="30" t="n">
        <f aca="false">'The Order'!C32</f>
        <v>5</v>
      </c>
      <c r="E27" s="31" t="n">
        <f aca="false">D27-C27</f>
        <v>0</v>
      </c>
      <c r="F27" s="5" t="str">
        <f aca="false">IF(ABS(E27)&lt;0.05,"PASS","FAIL")</f>
        <v>PASS</v>
      </c>
    </row>
    <row r="28" customFormat="false" ht="15" hidden="false" customHeight="false" outlineLevel="0" collapsed="false">
      <c r="B28" s="3" t="s">
        <v>298</v>
      </c>
      <c r="C28" s="22" t="n">
        <v>6.82</v>
      </c>
      <c r="D28" s="34" t="n">
        <f aca="false">'The Order'!C33</f>
        <v>6.82</v>
      </c>
      <c r="E28" s="31" t="n">
        <f aca="false">D28-C28</f>
        <v>0</v>
      </c>
      <c r="F28" s="5" t="str">
        <f aca="false">IF(ABS(E28)&lt;0.005,"PASS","FAIL")</f>
        <v>PASS</v>
      </c>
    </row>
    <row r="29" customFormat="false" ht="15" hidden="false" customHeight="false" outlineLevel="0" collapsed="false">
      <c r="B29" s="3" t="s">
        <v>160</v>
      </c>
      <c r="C29" s="21" t="n">
        <v>0.0372</v>
      </c>
      <c r="D29" s="32" t="n">
        <f aca="false">'The Order'!C34</f>
        <v>0.0372</v>
      </c>
      <c r="E29" s="31" t="n">
        <f aca="false">D29-C29</f>
        <v>0</v>
      </c>
      <c r="F29" s="5" t="str">
        <f aca="false">IF(ABS(E29)&lt;0.000005,"PASS","FAIL")</f>
        <v>PASS</v>
      </c>
    </row>
    <row r="30" customFormat="false" ht="15" hidden="false" customHeight="false" outlineLevel="0" collapsed="false">
      <c r="B30" s="3" t="s">
        <v>299</v>
      </c>
      <c r="C30" s="15" t="n">
        <v>5447</v>
      </c>
      <c r="D30" s="30" t="n">
        <f aca="false">'The Order'!C35</f>
        <v>5447.134</v>
      </c>
      <c r="E30" s="31" t="n">
        <f aca="false">D30-C30</f>
        <v>0.134000000000015</v>
      </c>
      <c r="F30" s="5" t="str">
        <f aca="false">IF(ABS(E30)&lt;0.5,"PASS","FAIL")</f>
        <v>PASS</v>
      </c>
    </row>
    <row r="31" customFormat="false" ht="15" hidden="false" customHeight="false" outlineLevel="0" collapsed="false">
      <c r="B31" s="6" t="s">
        <v>300</v>
      </c>
      <c r="C31" s="7"/>
      <c r="D31" s="7"/>
      <c r="E31" s="7"/>
      <c r="F31" s="7"/>
    </row>
    <row r="32" customFormat="false" ht="15" hidden="false" customHeight="false" outlineLevel="0" collapsed="false">
      <c r="B32" s="3" t="s">
        <v>301</v>
      </c>
      <c r="C32" s="22" t="n">
        <v>186</v>
      </c>
      <c r="D32" s="34" t="n">
        <f aca="false">'Days to Cash'!J6</f>
        <v>186</v>
      </c>
      <c r="E32" s="31" t="n">
        <f aca="false">D32-C32</f>
        <v>0</v>
      </c>
      <c r="F32" s="5" t="str">
        <f aca="false">IF(ABS(E32)&lt;0.05,"PASS","FAIL")</f>
        <v>PASS</v>
      </c>
    </row>
    <row r="33" customFormat="false" ht="15" hidden="false" customHeight="false" outlineLevel="0" collapsed="false">
      <c r="B33" s="3" t="s">
        <v>302</v>
      </c>
      <c r="C33" s="22" t="n">
        <v>186</v>
      </c>
      <c r="D33" s="34" t="n">
        <f aca="false">'Days to Cash'!J7</f>
        <v>186</v>
      </c>
      <c r="E33" s="31" t="n">
        <f aca="false">D33-C33</f>
        <v>0</v>
      </c>
      <c r="F33" s="5" t="str">
        <f aca="false">IF(ABS(E33)&lt;0.05,"PASS","FAIL")</f>
        <v>PASS</v>
      </c>
    </row>
    <row r="34" customFormat="false" ht="15" hidden="false" customHeight="false" outlineLevel="0" collapsed="false">
      <c r="B34" s="3" t="s">
        <v>303</v>
      </c>
      <c r="C34" s="22" t="n">
        <v>202</v>
      </c>
      <c r="D34" s="34" t="n">
        <f aca="false">'Days to Cash'!J8</f>
        <v>202</v>
      </c>
      <c r="E34" s="31" t="n">
        <f aca="false">D34-C34</f>
        <v>0</v>
      </c>
      <c r="F34" s="5" t="str">
        <f aca="false">IF(ABS(E34)&lt;0.05,"PASS","FAIL")</f>
        <v>PASS</v>
      </c>
    </row>
    <row r="35" customFormat="false" ht="15" hidden="false" customHeight="false" outlineLevel="0" collapsed="false">
      <c r="B35" s="3" t="s">
        <v>304</v>
      </c>
      <c r="C35" s="22" t="n">
        <v>206.8</v>
      </c>
      <c r="D35" s="34" t="n">
        <f aca="false">'Days to Cash'!J9</f>
        <v>206.82</v>
      </c>
      <c r="E35" s="31" t="n">
        <f aca="false">D35-C35</f>
        <v>0.0199999999999818</v>
      </c>
      <c r="F35" s="5" t="str">
        <f aca="false">IF(ABS(E35)&lt;0.05,"PASS","FAIL")</f>
        <v>PASS</v>
      </c>
    </row>
    <row r="36" customFormat="false" ht="15" hidden="false" customHeight="false" outlineLevel="0" collapsed="false">
      <c r="B36" s="3" t="s">
        <v>305</v>
      </c>
      <c r="C36" s="22" t="n">
        <v>116.8</v>
      </c>
      <c r="D36" s="34" t="n">
        <f aca="false">'Days to Cash'!J10</f>
        <v>116.82</v>
      </c>
      <c r="E36" s="31" t="n">
        <f aca="false">D36-C36</f>
        <v>0.019999999999996</v>
      </c>
      <c r="F36" s="5" t="str">
        <f aca="false">IF(ABS(E36)&lt;0.05,"PASS","FAIL")</f>
        <v>PASS</v>
      </c>
    </row>
    <row r="37" customFormat="false" ht="15" hidden="false" customHeight="false" outlineLevel="0" collapsed="false">
      <c r="B37" s="3" t="s">
        <v>306</v>
      </c>
      <c r="C37" s="22" t="n">
        <v>109</v>
      </c>
      <c r="D37" s="34" t="n">
        <f aca="false">'Days to Cash'!J11</f>
        <v>109</v>
      </c>
      <c r="E37" s="31" t="n">
        <f aca="false">D37-C37</f>
        <v>0</v>
      </c>
      <c r="F37" s="5" t="str">
        <f aca="false">IF(ABS(E37)&lt;0.05,"PASS","FAIL")</f>
        <v>PASS</v>
      </c>
    </row>
    <row r="38" customFormat="false" ht="15" hidden="false" customHeight="false" outlineLevel="0" collapsed="false">
      <c r="B38" s="3" t="s">
        <v>307</v>
      </c>
      <c r="C38" s="22" t="n">
        <v>90</v>
      </c>
      <c r="D38" s="34" t="n">
        <f aca="false">'Days to Cash'!M6</f>
        <v>90</v>
      </c>
      <c r="E38" s="31" t="n">
        <f aca="false">D38-C38</f>
        <v>0</v>
      </c>
      <c r="F38" s="5" t="str">
        <f aca="false">IF(ABS(E38)&lt;0.05,"PASS","FAIL")</f>
        <v>PASS</v>
      </c>
    </row>
    <row r="39" customFormat="false" ht="15" hidden="false" customHeight="false" outlineLevel="0" collapsed="false">
      <c r="B39" s="3" t="s">
        <v>308</v>
      </c>
      <c r="C39" s="22" t="n">
        <v>90</v>
      </c>
      <c r="D39" s="34" t="n">
        <f aca="false">'Days to Cash'!M7</f>
        <v>90</v>
      </c>
      <c r="E39" s="31" t="n">
        <f aca="false">D39-C39</f>
        <v>0</v>
      </c>
      <c r="F39" s="5" t="str">
        <f aca="false">IF(ABS(E39)&lt;0.05,"PASS","FAIL")</f>
        <v>PASS</v>
      </c>
    </row>
    <row r="40" customFormat="false" ht="15" hidden="false" customHeight="false" outlineLevel="0" collapsed="false">
      <c r="B40" s="3" t="s">
        <v>309</v>
      </c>
      <c r="C40" s="22" t="n">
        <v>106</v>
      </c>
      <c r="D40" s="34" t="n">
        <f aca="false">'Days to Cash'!M8</f>
        <v>106</v>
      </c>
      <c r="E40" s="31" t="n">
        <f aca="false">D40-C40</f>
        <v>0</v>
      </c>
      <c r="F40" s="5" t="str">
        <f aca="false">IF(ABS(E40)&lt;0.05,"PASS","FAIL")</f>
        <v>PASS</v>
      </c>
    </row>
    <row r="41" customFormat="false" ht="15" hidden="false" customHeight="false" outlineLevel="0" collapsed="false">
      <c r="B41" s="3" t="s">
        <v>310</v>
      </c>
      <c r="C41" s="22" t="n">
        <v>110.8</v>
      </c>
      <c r="D41" s="34" t="n">
        <f aca="false">'Days to Cash'!M9</f>
        <v>110.82</v>
      </c>
      <c r="E41" s="31" t="n">
        <f aca="false">D41-C41</f>
        <v>0.019999999999996</v>
      </c>
      <c r="F41" s="5" t="str">
        <f aca="false">IF(ABS(E41)&lt;0.05,"PASS","FAIL")</f>
        <v>PASS</v>
      </c>
    </row>
    <row r="42" customFormat="false" ht="15" hidden="false" customHeight="false" outlineLevel="0" collapsed="false">
      <c r="B42" s="3" t="s">
        <v>311</v>
      </c>
      <c r="C42" s="22" t="n">
        <v>90</v>
      </c>
      <c r="D42" s="34" t="n">
        <f aca="false">'Days to Cash'!M10</f>
        <v>90</v>
      </c>
      <c r="E42" s="31" t="n">
        <f aca="false">D42-C42</f>
        <v>0</v>
      </c>
      <c r="F42" s="5" t="str">
        <f aca="false">IF(ABS(E42)&lt;0.05,"PASS","FAIL")</f>
        <v>PASS</v>
      </c>
    </row>
    <row r="43" customFormat="false" ht="15" hidden="false" customHeight="false" outlineLevel="0" collapsed="false">
      <c r="B43" s="3" t="s">
        <v>312</v>
      </c>
      <c r="C43" s="22" t="n">
        <v>90</v>
      </c>
      <c r="D43" s="34" t="n">
        <f aca="false">'Days to Cash'!M11</f>
        <v>90</v>
      </c>
      <c r="E43" s="31" t="n">
        <f aca="false">D43-C43</f>
        <v>0</v>
      </c>
      <c r="F43" s="5" t="str">
        <f aca="false">IF(ABS(E43)&lt;0.05,"PASS","FAIL")</f>
        <v>PASS</v>
      </c>
    </row>
    <row r="44" customFormat="false" ht="15" hidden="false" customHeight="false" outlineLevel="0" collapsed="false">
      <c r="B44" s="6" t="s">
        <v>313</v>
      </c>
      <c r="C44" s="7"/>
      <c r="D44" s="7"/>
      <c r="E44" s="7"/>
      <c r="F44" s="7"/>
    </row>
    <row r="45" customFormat="false" ht="15" hidden="false" customHeight="false" outlineLevel="0" collapsed="false">
      <c r="B45" s="3" t="s">
        <v>247</v>
      </c>
      <c r="C45" s="22" t="n">
        <v>136.8</v>
      </c>
      <c r="D45" s="34" t="n">
        <f aca="false">'Six Routes at 90 Days'!C55</f>
        <v>136.82</v>
      </c>
      <c r="E45" s="31" t="n">
        <f aca="false">D45-C45</f>
        <v>0.0199999999999818</v>
      </c>
      <c r="F45" s="5" t="str">
        <f aca="false">IF(ABS(E45)&lt;0.05,"PASS","FAIL")</f>
        <v>PASS</v>
      </c>
    </row>
    <row r="46" customFormat="false" ht="15" hidden="false" customHeight="false" outlineLevel="0" collapsed="false">
      <c r="B46" s="3" t="s">
        <v>249</v>
      </c>
      <c r="C46" s="21" t="n">
        <v>0.011833</v>
      </c>
      <c r="D46" s="32" t="n">
        <f aca="false">'Six Routes at 90 Days'!C56</f>
        <v>0.0118331178271022</v>
      </c>
      <c r="E46" s="31" t="n">
        <f aca="false">D46-C46</f>
        <v>1.17827102168871E-007</v>
      </c>
      <c r="F46" s="5" t="str">
        <f aca="false">IF(ABS(E46)&lt;0.000005,"PASS","FAIL")</f>
        <v>PASS</v>
      </c>
    </row>
    <row r="47" customFormat="false" ht="15" hidden="false" customHeight="false" outlineLevel="0" collapsed="false">
      <c r="B47" s="3" t="s">
        <v>314</v>
      </c>
      <c r="C47" s="21" t="n">
        <v>0.0372</v>
      </c>
      <c r="D47" s="32" t="n">
        <f aca="false">'Six Routes at 90 Days'!C57</f>
        <v>0.0372</v>
      </c>
      <c r="E47" s="31" t="n">
        <f aca="false">D47-C47</f>
        <v>0</v>
      </c>
      <c r="F47" s="5" t="str">
        <f aca="false">IF(ABS(E47)&lt;0.000005,"PASS","FAIL")</f>
        <v>PASS</v>
      </c>
    </row>
    <row r="48" customFormat="false" ht="15" hidden="false" customHeight="false" outlineLevel="0" collapsed="false">
      <c r="B48" s="3" t="s">
        <v>315</v>
      </c>
      <c r="C48" s="23" t="n">
        <v>3.1</v>
      </c>
      <c r="D48" s="33" t="n">
        <f aca="false">'Six Routes at 90 Days'!C58</f>
        <v>3.14371922459848</v>
      </c>
      <c r="E48" s="31" t="n">
        <f aca="false">D48-C48</f>
        <v>0.0437192245984757</v>
      </c>
      <c r="F48" s="5" t="str">
        <f aca="false">IF(ABS(E48)&lt;0.05,"PASS","FAIL")</f>
        <v>PASS</v>
      </c>
    </row>
    <row r="49" customFormat="false" ht="15" hidden="false" customHeight="false" outlineLevel="0" collapsed="false">
      <c r="B49" s="3" t="s">
        <v>253</v>
      </c>
      <c r="C49" s="15" t="n">
        <v>30813</v>
      </c>
      <c r="D49" s="30" t="n">
        <f aca="false">'Six Routes at 90 Days'!C59</f>
        <v>30813.4388217741</v>
      </c>
      <c r="E49" s="31" t="n">
        <f aca="false">D49-C49</f>
        <v>0.438821774048847</v>
      </c>
      <c r="F49" s="5" t="str">
        <f aca="false">IF(ABS(E49)&lt;0.5,"PASS","FAIL")</f>
        <v>PASS</v>
      </c>
    </row>
    <row r="50" customFormat="false" ht="15" hidden="false" customHeight="false" outlineLevel="0" collapsed="false">
      <c r="B50" s="3" t="s">
        <v>254</v>
      </c>
      <c r="C50" s="15" t="n">
        <v>2162</v>
      </c>
      <c r="D50" s="30" t="n">
        <f aca="false">'Six Routes at 90 Days'!C60</f>
        <v>2162.27208261709</v>
      </c>
      <c r="E50" s="31" t="n">
        <f aca="false">D50-C50</f>
        <v>0.272082617089382</v>
      </c>
      <c r="F50" s="5" t="str">
        <f aca="false">IF(ABS(E50)&lt;0.5,"PASS","FAIL")</f>
        <v>PASS</v>
      </c>
    </row>
    <row r="51" customFormat="false" ht="15" hidden="false" customHeight="false" outlineLevel="0" collapsed="false">
      <c r="B51" s="3" t="s">
        <v>255</v>
      </c>
      <c r="C51" s="22" t="n">
        <v>6.82</v>
      </c>
      <c r="D51" s="34" t="n">
        <f aca="false">'Six Routes at 90 Days'!C61</f>
        <v>6.82</v>
      </c>
      <c r="E51" s="31" t="n">
        <f aca="false">D51-C51</f>
        <v>0</v>
      </c>
      <c r="F51" s="5" t="str">
        <f aca="false">IF(ABS(E51)&lt;0.005,"PASS","FAIL")</f>
        <v>PASS</v>
      </c>
    </row>
    <row r="52" customFormat="false" ht="15" hidden="false" customHeight="false" outlineLevel="0" collapsed="false">
      <c r="B52" s="3" t="s">
        <v>256</v>
      </c>
      <c r="C52" s="15" t="n">
        <v>5447</v>
      </c>
      <c r="D52" s="30" t="n">
        <f aca="false">'Six Routes at 90 Days'!C62</f>
        <v>5447.134</v>
      </c>
      <c r="E52" s="31" t="n">
        <f aca="false">D52-C52</f>
        <v>0.134000000000015</v>
      </c>
      <c r="F52" s="5" t="str">
        <f aca="false">IF(ABS(E52)&lt;0.5,"PASS","FAIL")</f>
        <v>PASS</v>
      </c>
    </row>
    <row r="53" customFormat="false" ht="15" hidden="false" customHeight="false" outlineLevel="0" collapsed="false">
      <c r="B53" s="6" t="s">
        <v>316</v>
      </c>
      <c r="C53" s="7"/>
      <c r="D53" s="7"/>
      <c r="E53" s="7"/>
      <c r="F53" s="7"/>
    </row>
    <row r="54" customFormat="false" ht="15" hidden="false" customHeight="false" outlineLevel="0" collapsed="false">
      <c r="B54" s="3" t="s">
        <v>317</v>
      </c>
      <c r="C54" s="22" t="n">
        <v>186</v>
      </c>
      <c r="D54" s="34" t="n">
        <f aca="false">'Six Routes at 90 Days'!C34</f>
        <v>186</v>
      </c>
      <c r="E54" s="31" t="n">
        <f aca="false">D54-C54</f>
        <v>0</v>
      </c>
      <c r="F54" s="5" t="str">
        <f aca="false">IF(ABS(E54)&lt;0.05,"PASS","FAIL")</f>
        <v>PASS</v>
      </c>
    </row>
    <row r="55" customFormat="false" ht="15" hidden="false" customHeight="false" outlineLevel="0" collapsed="false">
      <c r="B55" s="3" t="s">
        <v>318</v>
      </c>
      <c r="C55" s="15" t="n">
        <v>148558</v>
      </c>
      <c r="D55" s="30" t="n">
        <f aca="false">'Six Routes at 90 Days'!D34</f>
        <v>148558.2</v>
      </c>
      <c r="E55" s="31" t="n">
        <f aca="false">D55-C55</f>
        <v>0.200000000011642</v>
      </c>
      <c r="F55" s="5" t="str">
        <f aca="false">IF(ABS(E55)&lt;0.5,"PASS","FAIL")</f>
        <v>PASS</v>
      </c>
    </row>
    <row r="56" customFormat="false" ht="15" hidden="false" customHeight="false" outlineLevel="0" collapsed="false">
      <c r="B56" s="3" t="s">
        <v>319</v>
      </c>
      <c r="C56" s="15" t="n">
        <v>0</v>
      </c>
      <c r="D56" s="30" t="n">
        <f aca="false">'Six Routes at 90 Days'!E34</f>
        <v>0</v>
      </c>
      <c r="E56" s="31" t="n">
        <f aca="false">D56-C56</f>
        <v>0</v>
      </c>
      <c r="F56" s="5" t="str">
        <f aca="false">IF(ABS(E56)&lt;0.5,"PASS","FAIL")</f>
        <v>PASS</v>
      </c>
    </row>
    <row r="57" customFormat="false" ht="15" hidden="false" customHeight="false" outlineLevel="0" collapsed="false">
      <c r="B57" s="3" t="s">
        <v>320</v>
      </c>
      <c r="C57" s="15" t="n">
        <v>34416</v>
      </c>
      <c r="D57" s="30" t="n">
        <f aca="false">'Six Routes at 90 Days'!F34</f>
        <v>34416.2104654948</v>
      </c>
      <c r="E57" s="31" t="n">
        <f aca="false">D57-C57</f>
        <v>0.2104654948198</v>
      </c>
      <c r="F57" s="5" t="str">
        <f aca="false">IF(ABS(E57)&lt;0.5,"PASS","FAIL")</f>
        <v>PASS</v>
      </c>
    </row>
    <row r="58" customFormat="false" ht="15" hidden="false" customHeight="false" outlineLevel="0" collapsed="false">
      <c r="B58" s="3" t="s">
        <v>321</v>
      </c>
      <c r="C58" s="15" t="n">
        <v>182974</v>
      </c>
      <c r="D58" s="30" t="n">
        <f aca="false">'Six Routes at 90 Days'!G34</f>
        <v>182974.410465495</v>
      </c>
      <c r="E58" s="31" t="n">
        <f aca="false">D58-C58</f>
        <v>0.410465494845994</v>
      </c>
      <c r="F58" s="5" t="str">
        <f aca="false">IF(ABS(E58)&lt;0.5,"PASS","FAIL")</f>
        <v>PASS</v>
      </c>
    </row>
    <row r="59" customFormat="false" ht="15" hidden="false" customHeight="false" outlineLevel="0" collapsed="false">
      <c r="B59" s="3" t="s">
        <v>322</v>
      </c>
      <c r="C59" s="21" t="n">
        <v>0.597</v>
      </c>
      <c r="D59" s="32" t="n">
        <f aca="false">'Six Routes at 90 Days'!H34</f>
        <v>0.596785422261888</v>
      </c>
      <c r="E59" s="31" t="n">
        <f aca="false">D59-C59</f>
        <v>-0.000214577738112065</v>
      </c>
      <c r="F59" s="5" t="str">
        <f aca="false">IF(ABS(E59)&lt;0.0005,"PASS","FAIL")</f>
        <v>PASS</v>
      </c>
    </row>
    <row r="60" customFormat="false" ht="15" hidden="false" customHeight="false" outlineLevel="0" collapsed="false">
      <c r="B60" s="3" t="s">
        <v>323</v>
      </c>
      <c r="C60" s="15" t="n">
        <v>123626</v>
      </c>
      <c r="D60" s="30" t="n">
        <f aca="false">'Six Routes at 90 Days'!I34</f>
        <v>123625.589534505</v>
      </c>
      <c r="E60" s="31" t="n">
        <f aca="false">D60-C60</f>
        <v>-0.410465495020617</v>
      </c>
      <c r="F60" s="5" t="str">
        <f aca="false">IF(ABS(E60)&lt;0.5,"PASS","FAIL")</f>
        <v>PASS</v>
      </c>
    </row>
    <row r="61" customFormat="false" ht="15" hidden="false" customHeight="false" outlineLevel="0" collapsed="false">
      <c r="B61" s="3" t="s">
        <v>324</v>
      </c>
      <c r="C61" s="21" t="n">
        <v>0.0294</v>
      </c>
      <c r="D61" s="32" t="n">
        <f aca="false">'Six Routes at 90 Days'!J34</f>
        <v>0.0294346641748821</v>
      </c>
      <c r="E61" s="31" t="n">
        <f aca="false">D61-C61</f>
        <v>3.46641748821402E-005</v>
      </c>
      <c r="F61" s="5" t="str">
        <f aca="false">IF(ABS(E61)&lt;0.00005,"PASS","FAIL")</f>
        <v>PASS</v>
      </c>
    </row>
    <row r="62" customFormat="false" ht="15" hidden="false" customHeight="false" outlineLevel="0" collapsed="false">
      <c r="B62" s="3" t="s">
        <v>325</v>
      </c>
      <c r="C62" s="21" t="n">
        <v>0.0843</v>
      </c>
      <c r="D62" s="32" t="n">
        <f aca="false">'Six Routes at 90 Days'!K34</f>
        <v>0.0843200048228087</v>
      </c>
      <c r="E62" s="31" t="n">
        <f aca="false">D62-C62</f>
        <v>2.00048228086863E-005</v>
      </c>
      <c r="F62" s="5" t="str">
        <f aca="false">IF(ABS(E62)&lt;0.00005,"PASS","FAIL")</f>
        <v>PASS</v>
      </c>
    </row>
    <row r="63" customFormat="false" ht="15" hidden="false" customHeight="false" outlineLevel="0" collapsed="false">
      <c r="B63" s="3" t="s">
        <v>326</v>
      </c>
      <c r="C63" s="22" t="n">
        <v>186</v>
      </c>
      <c r="D63" s="34" t="n">
        <f aca="false">'Six Routes at 90 Days'!C35</f>
        <v>186</v>
      </c>
      <c r="E63" s="31" t="n">
        <f aca="false">D63-C63</f>
        <v>0</v>
      </c>
      <c r="F63" s="5" t="str">
        <f aca="false">IF(ABS(E63)&lt;0.05,"PASS","FAIL")</f>
        <v>PASS</v>
      </c>
    </row>
    <row r="64" customFormat="false" ht="15" hidden="false" customHeight="false" outlineLevel="0" collapsed="false">
      <c r="B64" s="3" t="s">
        <v>327</v>
      </c>
      <c r="C64" s="15" t="n">
        <v>148558</v>
      </c>
      <c r="D64" s="30" t="n">
        <f aca="false">'Six Routes at 90 Days'!D35</f>
        <v>148558.2</v>
      </c>
      <c r="E64" s="31" t="n">
        <f aca="false">D64-C64</f>
        <v>0.200000000011642</v>
      </c>
      <c r="F64" s="5" t="str">
        <f aca="false">IF(ABS(E64)&lt;0.5,"PASS","FAIL")</f>
        <v>PASS</v>
      </c>
    </row>
    <row r="65" customFormat="false" ht="15" hidden="false" customHeight="false" outlineLevel="0" collapsed="false">
      <c r="B65" s="3" t="s">
        <v>328</v>
      </c>
      <c r="C65" s="15" t="n">
        <v>26040</v>
      </c>
      <c r="D65" s="30" t="n">
        <f aca="false">'Six Routes at 90 Days'!E35</f>
        <v>26040</v>
      </c>
      <c r="E65" s="31" t="n">
        <f aca="false">D65-C65</f>
        <v>0</v>
      </c>
      <c r="F65" s="5" t="str">
        <f aca="false">IF(ABS(E65)&lt;0.5,"PASS","FAIL")</f>
        <v>PASS</v>
      </c>
    </row>
    <row r="66" customFormat="false" ht="15" hidden="false" customHeight="false" outlineLevel="0" collapsed="false">
      <c r="B66" s="3" t="s">
        <v>329</v>
      </c>
      <c r="C66" s="15" t="n">
        <v>3442</v>
      </c>
      <c r="D66" s="30" t="n">
        <f aca="false">'Six Routes at 90 Days'!F35</f>
        <v>3441.62104654948</v>
      </c>
      <c r="E66" s="31" t="n">
        <f aca="false">D66-C66</f>
        <v>-0.378953450518566</v>
      </c>
      <c r="F66" s="5" t="str">
        <f aca="false">IF(ABS(E66)&lt;0.5,"PASS","FAIL")</f>
        <v>PASS</v>
      </c>
    </row>
    <row r="67" customFormat="false" ht="15" hidden="false" customHeight="false" outlineLevel="0" collapsed="false">
      <c r="B67" s="3" t="s">
        <v>330</v>
      </c>
      <c r="C67" s="15" t="n">
        <v>178040</v>
      </c>
      <c r="D67" s="30" t="n">
        <f aca="false">'Six Routes at 90 Days'!G35</f>
        <v>178039.82104655</v>
      </c>
      <c r="E67" s="31" t="n">
        <f aca="false">D67-C67</f>
        <v>-0.178953450493282</v>
      </c>
      <c r="F67" s="5" t="str">
        <f aca="false">IF(ABS(E67)&lt;0.5,"PASS","FAIL")</f>
        <v>PASS</v>
      </c>
    </row>
    <row r="68" customFormat="false" ht="15" hidden="false" customHeight="false" outlineLevel="0" collapsed="false">
      <c r="B68" s="3" t="s">
        <v>331</v>
      </c>
      <c r="C68" s="21" t="n">
        <v>0.581</v>
      </c>
      <c r="D68" s="32" t="n">
        <f aca="false">'Six Routes at 90 Days'!H35</f>
        <v>0.580690870993312</v>
      </c>
      <c r="E68" s="31" t="n">
        <f aca="false">D68-C68</f>
        <v>-0.000309129006687781</v>
      </c>
      <c r="F68" s="5" t="str">
        <f aca="false">IF(ABS(E68)&lt;0.0005,"PASS","FAIL")</f>
        <v>PASS</v>
      </c>
    </row>
    <row r="69" customFormat="false" ht="15" hidden="false" customHeight="false" outlineLevel="0" collapsed="false">
      <c r="B69" s="3" t="s">
        <v>332</v>
      </c>
      <c r="C69" s="15" t="n">
        <v>128560</v>
      </c>
      <c r="D69" s="30" t="n">
        <f aca="false">'Six Routes at 90 Days'!I35</f>
        <v>128560.17895345</v>
      </c>
      <c r="E69" s="31" t="n">
        <f aca="false">D69-C69</f>
        <v>0.178953450347763</v>
      </c>
      <c r="F69" s="5" t="str">
        <f aca="false">IF(ABS(E69)&lt;0.5,"PASS","FAIL")</f>
        <v>PASS</v>
      </c>
    </row>
    <row r="70" customFormat="false" ht="15" hidden="false" customHeight="false" outlineLevel="0" collapsed="false">
      <c r="B70" s="3" t="s">
        <v>333</v>
      </c>
      <c r="C70" s="21" t="n">
        <v>0.0306</v>
      </c>
      <c r="D70" s="32" t="n">
        <f aca="false">'Six Routes at 90 Days'!J35</f>
        <v>0.0306095664174882</v>
      </c>
      <c r="E70" s="31" t="n">
        <f aca="false">D70-C70</f>
        <v>9.56641748817849E-006</v>
      </c>
      <c r="F70" s="5" t="str">
        <f aca="false">IF(ABS(E70)&lt;0.00005,"PASS","FAIL")</f>
        <v>PASS</v>
      </c>
    </row>
    <row r="71" customFormat="false" ht="15" hidden="false" customHeight="false" outlineLevel="0" collapsed="false">
      <c r="B71" s="3" t="s">
        <v>334</v>
      </c>
      <c r="C71" s="21" t="n">
        <v>0.082</v>
      </c>
      <c r="D71" s="32" t="n">
        <f aca="false">'Six Routes at 90 Days'!K35</f>
        <v>0.0820460004822809</v>
      </c>
      <c r="E71" s="31" t="n">
        <f aca="false">D71-C71</f>
        <v>4.60004822808724E-005</v>
      </c>
      <c r="F71" s="5" t="str">
        <f aca="false">IF(ABS(E71)&lt;0.00005,"PASS","FAIL")</f>
        <v>PASS</v>
      </c>
    </row>
    <row r="72" customFormat="false" ht="15" hidden="false" customHeight="false" outlineLevel="0" collapsed="false">
      <c r="B72" s="3" t="s">
        <v>335</v>
      </c>
      <c r="C72" s="22" t="n">
        <v>202</v>
      </c>
      <c r="D72" s="34" t="n">
        <f aca="false">'Six Routes at 90 Days'!C36</f>
        <v>202</v>
      </c>
      <c r="E72" s="31" t="n">
        <f aca="false">D72-C72</f>
        <v>0</v>
      </c>
      <c r="F72" s="5" t="str">
        <f aca="false">IF(ABS(E72)&lt;0.05,"PASS","FAIL")</f>
        <v>PASS</v>
      </c>
    </row>
    <row r="73" customFormat="false" ht="15" hidden="false" customHeight="false" outlineLevel="0" collapsed="false">
      <c r="B73" s="3" t="s">
        <v>336</v>
      </c>
      <c r="C73" s="15" t="n">
        <v>161337</v>
      </c>
      <c r="D73" s="30" t="n">
        <f aca="false">'Six Routes at 90 Days'!D36</f>
        <v>161337.4</v>
      </c>
      <c r="E73" s="31" t="n">
        <f aca="false">D73-C73</f>
        <v>0.399999999994179</v>
      </c>
      <c r="F73" s="5" t="str">
        <f aca="false">IF(ABS(E73)&lt;0.5,"PASS","FAIL")</f>
        <v>PASS</v>
      </c>
    </row>
    <row r="74" customFormat="false" ht="15" hidden="false" customHeight="false" outlineLevel="0" collapsed="false">
      <c r="B74" s="3" t="s">
        <v>337</v>
      </c>
      <c r="C74" s="15" t="n">
        <v>4960</v>
      </c>
      <c r="D74" s="30" t="n">
        <f aca="false">'Six Routes at 90 Days'!E36</f>
        <v>4960</v>
      </c>
      <c r="E74" s="31" t="n">
        <f aca="false">D74-C74</f>
        <v>0</v>
      </c>
      <c r="F74" s="5" t="str">
        <f aca="false">IF(ABS(E74)&lt;0.5,"PASS","FAIL")</f>
        <v>PASS</v>
      </c>
    </row>
    <row r="75" customFormat="false" ht="15" hidden="false" customHeight="false" outlineLevel="0" collapsed="false">
      <c r="B75" s="3" t="s">
        <v>338</v>
      </c>
      <c r="C75" s="15" t="n">
        <v>35215</v>
      </c>
      <c r="D75" s="30" t="n">
        <f aca="false">'Six Routes at 90 Days'!F36</f>
        <v>35214.6964082734</v>
      </c>
      <c r="E75" s="31" t="n">
        <f aca="false">D75-C75</f>
        <v>-0.303591726558807</v>
      </c>
      <c r="F75" s="5" t="str">
        <f aca="false">IF(ABS(E75)&lt;0.5,"PASS","FAIL")</f>
        <v>PASS</v>
      </c>
    </row>
    <row r="76" customFormat="false" ht="15" hidden="false" customHeight="false" outlineLevel="0" collapsed="false">
      <c r="B76" s="3" t="s">
        <v>339</v>
      </c>
      <c r="C76" s="15" t="n">
        <v>201512</v>
      </c>
      <c r="D76" s="30" t="n">
        <f aca="false">'Six Routes at 90 Days'!G36</f>
        <v>201512.096408273</v>
      </c>
      <c r="E76" s="31" t="n">
        <f aca="false">D76-C76</f>
        <v>0.0964082734426484</v>
      </c>
      <c r="F76" s="5" t="str">
        <f aca="false">IF(ABS(E76)&lt;0.5,"PASS","FAIL")</f>
        <v>PASS</v>
      </c>
    </row>
    <row r="77" customFormat="false" ht="15" hidden="false" customHeight="false" outlineLevel="0" collapsed="false">
      <c r="B77" s="3" t="s">
        <v>340</v>
      </c>
      <c r="C77" s="21" t="n">
        <v>0.657</v>
      </c>
      <c r="D77" s="32" t="n">
        <f aca="false">'Six Routes at 90 Days'!H36</f>
        <v>0.657247542101349</v>
      </c>
      <c r="E77" s="31" t="n">
        <f aca="false">D77-C77</f>
        <v>0.000247542101348475</v>
      </c>
      <c r="F77" s="5" t="str">
        <f aca="false">IF(ABS(E77)&lt;0.0005,"PASS","FAIL")</f>
        <v>PASS</v>
      </c>
    </row>
    <row r="78" customFormat="false" ht="15" hidden="false" customHeight="false" outlineLevel="0" collapsed="false">
      <c r="B78" s="3" t="s">
        <v>341</v>
      </c>
      <c r="C78" s="15" t="n">
        <v>105088</v>
      </c>
      <c r="D78" s="30" t="n">
        <f aca="false">'Six Routes at 90 Days'!I36</f>
        <v>105087.903591726</v>
      </c>
      <c r="E78" s="31" t="n">
        <f aca="false">D78-C78</f>
        <v>-0.0964082736463752</v>
      </c>
      <c r="F78" s="5" t="str">
        <f aca="false">IF(ABS(E78)&lt;0.5,"PASS","FAIL")</f>
        <v>PASS</v>
      </c>
    </row>
    <row r="79" customFormat="false" ht="15" hidden="false" customHeight="false" outlineLevel="0" collapsed="false">
      <c r="B79" s="3" t="s">
        <v>342</v>
      </c>
      <c r="C79" s="21" t="n">
        <v>0.025</v>
      </c>
      <c r="D79" s="32" t="n">
        <f aca="false">'Six Routes at 90 Days'!J36</f>
        <v>0.0250209294266015</v>
      </c>
      <c r="E79" s="31" t="n">
        <f aca="false">D79-C79</f>
        <v>2.09294266015105E-005</v>
      </c>
      <c r="F79" s="5" t="str">
        <f aca="false">IF(ABS(E79)&lt;0.00005,"PASS","FAIL")</f>
        <v>PASS</v>
      </c>
    </row>
    <row r="80" customFormat="false" ht="15" hidden="false" customHeight="false" outlineLevel="0" collapsed="false">
      <c r="B80" s="3" t="s">
        <v>343</v>
      </c>
      <c r="C80" s="21" t="n">
        <v>0.0855</v>
      </c>
      <c r="D80" s="32" t="n">
        <f aca="false">'Six Routes at 90 Days'!K36</f>
        <v>0.0855072544872448</v>
      </c>
      <c r="E80" s="31" t="n">
        <f aca="false">D80-C80</f>
        <v>7.25448724474276E-006</v>
      </c>
      <c r="F80" s="5" t="str">
        <f aca="false">IF(ABS(E80)&lt;0.00005,"PASS","FAIL")</f>
        <v>PASS</v>
      </c>
    </row>
    <row r="81" customFormat="false" ht="15" hidden="false" customHeight="false" outlineLevel="0" collapsed="false">
      <c r="B81" s="3" t="s">
        <v>344</v>
      </c>
      <c r="C81" s="22" t="n">
        <v>206.8</v>
      </c>
      <c r="D81" s="34" t="n">
        <f aca="false">'Six Routes at 90 Days'!C37</f>
        <v>206.82</v>
      </c>
      <c r="E81" s="31" t="n">
        <f aca="false">D81-C81</f>
        <v>0.0199999999999818</v>
      </c>
      <c r="F81" s="5" t="str">
        <f aca="false">IF(ABS(E81)&lt;0.05,"PASS","FAIL")</f>
        <v>PASS</v>
      </c>
    </row>
    <row r="82" customFormat="false" ht="15" hidden="false" customHeight="false" outlineLevel="0" collapsed="false">
      <c r="B82" s="3" t="s">
        <v>345</v>
      </c>
      <c r="C82" s="15" t="n">
        <v>165187</v>
      </c>
      <c r="D82" s="30" t="n">
        <f aca="false">'Six Routes at 90 Days'!D37</f>
        <v>165187.134</v>
      </c>
      <c r="E82" s="31" t="n">
        <f aca="false">D82-C82</f>
        <v>0.13399999999092</v>
      </c>
      <c r="F82" s="5" t="str">
        <f aca="false">IF(ABS(E82)&lt;0.5,"PASS","FAIL")</f>
        <v>PASS</v>
      </c>
    </row>
    <row r="83" customFormat="false" ht="15" hidden="false" customHeight="false" outlineLevel="0" collapsed="false">
      <c r="B83" s="3" t="s">
        <v>346</v>
      </c>
      <c r="C83" s="15" t="n">
        <v>7020</v>
      </c>
      <c r="D83" s="30" t="n">
        <f aca="false">'Six Routes at 90 Days'!E37</f>
        <v>7020</v>
      </c>
      <c r="E83" s="31" t="n">
        <f aca="false">D83-C83</f>
        <v>0</v>
      </c>
      <c r="F83" s="5" t="str">
        <f aca="false">IF(ABS(E83)&lt;0.5,"PASS","FAIL")</f>
        <v>PASS</v>
      </c>
    </row>
    <row r="84" customFormat="false" ht="15" hidden="false" customHeight="false" outlineLevel="0" collapsed="false">
      <c r="B84" s="3" t="s">
        <v>347</v>
      </c>
      <c r="C84" s="15" t="n">
        <v>32976</v>
      </c>
      <c r="D84" s="30" t="n">
        <f aca="false">'Six Routes at 90 Days'!F37</f>
        <v>32975.7109043911</v>
      </c>
      <c r="E84" s="31" t="n">
        <f aca="false">D84-C84</f>
        <v>-0.289095608859498</v>
      </c>
      <c r="F84" s="5" t="str">
        <f aca="false">IF(ABS(E84)&lt;0.5,"PASS","FAIL")</f>
        <v>PASS</v>
      </c>
    </row>
    <row r="85" customFormat="false" ht="15" hidden="false" customHeight="false" outlineLevel="0" collapsed="false">
      <c r="B85" s="3" t="s">
        <v>348</v>
      </c>
      <c r="C85" s="15" t="n">
        <v>205183</v>
      </c>
      <c r="D85" s="30" t="n">
        <f aca="false">'Six Routes at 90 Days'!G37</f>
        <v>205182.844904391</v>
      </c>
      <c r="E85" s="31" t="n">
        <f aca="false">D85-C85</f>
        <v>-0.155095608875854</v>
      </c>
      <c r="F85" s="5" t="str">
        <f aca="false">IF(ABS(E85)&lt;0.5,"PASS","FAIL")</f>
        <v>PASS</v>
      </c>
    </row>
    <row r="86" customFormat="false" ht="15" hidden="false" customHeight="false" outlineLevel="0" collapsed="false">
      <c r="B86" s="3" t="s">
        <v>349</v>
      </c>
      <c r="C86" s="21" t="n">
        <v>0.669</v>
      </c>
      <c r="D86" s="32" t="n">
        <f aca="false">'Six Routes at 90 Days'!H37</f>
        <v>0.669219976857114</v>
      </c>
      <c r="E86" s="31" t="n">
        <f aca="false">D86-C86</f>
        <v>0.000219976857113835</v>
      </c>
      <c r="F86" s="5" t="str">
        <f aca="false">IF(ABS(E86)&lt;0.0005,"PASS","FAIL")</f>
        <v>PASS</v>
      </c>
    </row>
    <row r="87" customFormat="false" ht="15" hidden="false" customHeight="false" outlineLevel="0" collapsed="false">
      <c r="B87" s="3" t="s">
        <v>350</v>
      </c>
      <c r="C87" s="15" t="n">
        <v>101417</v>
      </c>
      <c r="D87" s="30" t="n">
        <f aca="false">'Six Routes at 90 Days'!I37</f>
        <v>101417.155095609</v>
      </c>
      <c r="E87" s="31" t="n">
        <f aca="false">D87-C87</f>
        <v>0.155095608992269</v>
      </c>
      <c r="F87" s="5" t="str">
        <f aca="false">IF(ABS(E87)&lt;0.5,"PASS","FAIL")</f>
        <v>PASS</v>
      </c>
    </row>
    <row r="88" customFormat="false" ht="15" hidden="false" customHeight="false" outlineLevel="0" collapsed="false">
      <c r="B88" s="3" t="s">
        <v>351</v>
      </c>
      <c r="C88" s="21" t="n">
        <v>0.0241</v>
      </c>
      <c r="D88" s="32" t="n">
        <f aca="false">'Six Routes at 90 Days'!J37</f>
        <v>0.0241469416894307</v>
      </c>
      <c r="E88" s="31" t="n">
        <f aca="false">D88-C88</f>
        <v>4.69416894307122E-005</v>
      </c>
      <c r="F88" s="5" t="str">
        <f aca="false">IF(ABS(E88)&lt;0.00005,"PASS","FAIL")</f>
        <v>PASS</v>
      </c>
    </row>
    <row r="89" customFormat="false" ht="15" hidden="false" customHeight="false" outlineLevel="0" collapsed="false">
      <c r="B89" s="3" t="s">
        <v>352</v>
      </c>
      <c r="C89" s="21" t="n">
        <v>0.085</v>
      </c>
      <c r="D89" s="32" t="n">
        <f aca="false">'Six Routes at 90 Days'!K37</f>
        <v>0.0850357847007299</v>
      </c>
      <c r="E89" s="31" t="n">
        <f aca="false">D89-C89</f>
        <v>3.57847007298878E-005</v>
      </c>
      <c r="F89" s="5" t="str">
        <f aca="false">IF(ABS(E89)&lt;0.00005,"PASS","FAIL")</f>
        <v>PASS</v>
      </c>
    </row>
    <row r="90" customFormat="false" ht="15" hidden="false" customHeight="false" outlineLevel="0" collapsed="false">
      <c r="B90" s="3" t="s">
        <v>353</v>
      </c>
      <c r="C90" s="22" t="n">
        <v>116.8</v>
      </c>
      <c r="D90" s="34" t="n">
        <f aca="false">'Six Routes at 90 Days'!C38</f>
        <v>116.82</v>
      </c>
      <c r="E90" s="31" t="n">
        <f aca="false">D90-C90</f>
        <v>0.019999999999996</v>
      </c>
      <c r="F90" s="5" t="str">
        <f aca="false">IF(ABS(E90)&lt;0.05,"PASS","FAIL")</f>
        <v>PASS</v>
      </c>
    </row>
    <row r="91" customFormat="false" ht="15" hidden="false" customHeight="false" outlineLevel="0" collapsed="false">
      <c r="B91" s="3" t="s">
        <v>354</v>
      </c>
      <c r="C91" s="15" t="n">
        <v>93304</v>
      </c>
      <c r="D91" s="30" t="n">
        <f aca="false">'Six Routes at 90 Days'!D38</f>
        <v>93304.134</v>
      </c>
      <c r="E91" s="31" t="n">
        <f aca="false">D91-C91</f>
        <v>0.13399999999092</v>
      </c>
      <c r="F91" s="5" t="str">
        <f aca="false">IF(ABS(E91)&lt;0.5,"PASS","FAIL")</f>
        <v>PASS</v>
      </c>
    </row>
    <row r="92" customFormat="false" ht="15" hidden="false" customHeight="false" outlineLevel="0" collapsed="false">
      <c r="B92" s="3" t="s">
        <v>355</v>
      </c>
      <c r="C92" s="15" t="n">
        <v>106449</v>
      </c>
      <c r="D92" s="30" t="n">
        <f aca="false">'Six Routes at 90 Days'!E38</f>
        <v>106449.166666667</v>
      </c>
      <c r="E92" s="31" t="n">
        <f aca="false">D92-C92</f>
        <v>0.166666666671517</v>
      </c>
      <c r="F92" s="5" t="str">
        <f aca="false">IF(ABS(E92)&lt;0.5,"PASS","FAIL")</f>
        <v>PASS</v>
      </c>
    </row>
    <row r="93" customFormat="false" ht="15" hidden="false" customHeight="false" outlineLevel="0" collapsed="false">
      <c r="B93" s="3" t="s">
        <v>356</v>
      </c>
      <c r="C93" s="15" t="n">
        <v>1652</v>
      </c>
      <c r="D93" s="30" t="n">
        <f aca="false">'Six Routes at 90 Days'!F38</f>
        <v>1652.32170168403</v>
      </c>
      <c r="E93" s="31" t="n">
        <f aca="false">D93-C93</f>
        <v>0.321701684033769</v>
      </c>
      <c r="F93" s="5" t="str">
        <f aca="false">IF(ABS(E93)&lt;0.5,"PASS","FAIL")</f>
        <v>PASS</v>
      </c>
    </row>
    <row r="94" customFormat="false" ht="15" hidden="false" customHeight="false" outlineLevel="0" collapsed="false">
      <c r="B94" s="3" t="s">
        <v>357</v>
      </c>
      <c r="C94" s="15" t="n">
        <v>201406</v>
      </c>
      <c r="D94" s="30" t="n">
        <f aca="false">'Six Routes at 90 Days'!G38</f>
        <v>201405.622368351</v>
      </c>
      <c r="E94" s="31" t="n">
        <f aca="false">D94-C94</f>
        <v>-0.377631649316754</v>
      </c>
      <c r="F94" s="5" t="str">
        <f aca="false">IF(ABS(E94)&lt;0.5,"PASS","FAIL")</f>
        <v>PASS</v>
      </c>
    </row>
    <row r="95" customFormat="false" ht="15" hidden="false" customHeight="false" outlineLevel="0" collapsed="false">
      <c r="B95" s="3" t="s">
        <v>358</v>
      </c>
      <c r="C95" s="21" t="n">
        <v>0.657</v>
      </c>
      <c r="D95" s="32" t="n">
        <f aca="false">'Six Routes at 90 Days'!H38</f>
        <v>0.65690026865085</v>
      </c>
      <c r="E95" s="31" t="n">
        <f aca="false">D95-C95</f>
        <v>-9.97313491497565E-005</v>
      </c>
      <c r="F95" s="5" t="str">
        <f aca="false">IF(ABS(E95)&lt;0.0005,"PASS","FAIL")</f>
        <v>PASS</v>
      </c>
    </row>
    <row r="96" customFormat="false" ht="15" hidden="false" customHeight="false" outlineLevel="0" collapsed="false">
      <c r="B96" s="3" t="s">
        <v>359</v>
      </c>
      <c r="C96" s="15" t="n">
        <v>105194</v>
      </c>
      <c r="D96" s="30" t="n">
        <f aca="false">'Six Routes at 90 Days'!I38</f>
        <v>105194.377631649</v>
      </c>
      <c r="E96" s="31" t="n">
        <f aca="false">D96-C96</f>
        <v>0.377631649462273</v>
      </c>
      <c r="F96" s="5" t="str">
        <f aca="false">IF(ABS(E96)&lt;0.5,"PASS","FAIL")</f>
        <v>PASS</v>
      </c>
    </row>
    <row r="97" customFormat="false" ht="15" hidden="false" customHeight="false" outlineLevel="0" collapsed="false">
      <c r="B97" s="3" t="s">
        <v>360</v>
      </c>
      <c r="C97" s="21" t="n">
        <v>0.025</v>
      </c>
      <c r="D97" s="32" t="n">
        <f aca="false">'Six Routes at 90 Days'!J38</f>
        <v>0.025046280388488</v>
      </c>
      <c r="E97" s="31" t="n">
        <f aca="false">D97-C97</f>
        <v>4.62803884879667E-005</v>
      </c>
      <c r="F97" s="5" t="str">
        <f aca="false">IF(ABS(E97)&lt;0.00005,"PASS","FAIL")</f>
        <v>PASS</v>
      </c>
    </row>
    <row r="98" customFormat="false" ht="15" hidden="false" customHeight="false" outlineLevel="0" collapsed="false">
      <c r="B98" s="3" t="s">
        <v>361</v>
      </c>
      <c r="C98" s="21" t="n">
        <v>0.1478</v>
      </c>
      <c r="D98" s="32" t="n">
        <f aca="false">'Six Routes at 90 Days'!K38</f>
        <v>0.147777256121763</v>
      </c>
      <c r="E98" s="31" t="n">
        <f aca="false">D98-C98</f>
        <v>-2.27438782370304E-005</v>
      </c>
      <c r="F98" s="5" t="str">
        <f aca="false">IF(ABS(E98)&lt;0.00005,"PASS","FAIL")</f>
        <v>PASS</v>
      </c>
    </row>
    <row r="99" customFormat="false" ht="15" hidden="false" customHeight="false" outlineLevel="0" collapsed="false">
      <c r="B99" s="3" t="s">
        <v>362</v>
      </c>
      <c r="C99" s="22" t="n">
        <v>109</v>
      </c>
      <c r="D99" s="34" t="n">
        <f aca="false">'Six Routes at 90 Days'!C39</f>
        <v>109</v>
      </c>
      <c r="E99" s="31" t="n">
        <f aca="false">D99-C99</f>
        <v>0</v>
      </c>
      <c r="F99" s="5" t="str">
        <f aca="false">IF(ABS(E99)&lt;0.05,"PASS","FAIL")</f>
        <v>PASS</v>
      </c>
    </row>
    <row r="100" customFormat="false" ht="15" hidden="false" customHeight="false" outlineLevel="0" collapsed="false">
      <c r="B100" s="3" t="s">
        <v>363</v>
      </c>
      <c r="C100" s="15" t="n">
        <v>87058</v>
      </c>
      <c r="D100" s="30" t="n">
        <f aca="false">'Six Routes at 90 Days'!D39</f>
        <v>87058.3</v>
      </c>
      <c r="E100" s="31" t="n">
        <f aca="false">D100-C100</f>
        <v>0.30000000000291</v>
      </c>
      <c r="F100" s="5" t="str">
        <f aca="false">IF(ABS(E100)&lt;0.5,"PASS","FAIL")</f>
        <v>PASS</v>
      </c>
    </row>
    <row r="101" customFormat="false" ht="15" hidden="false" customHeight="false" outlineLevel="0" collapsed="false">
      <c r="B101" s="3" t="s">
        <v>364</v>
      </c>
      <c r="C101" s="15" t="n">
        <v>104080</v>
      </c>
      <c r="D101" s="30" t="n">
        <f aca="false">'Six Routes at 90 Days'!E39</f>
        <v>104080</v>
      </c>
      <c r="E101" s="31" t="n">
        <f aca="false">D101-C101</f>
        <v>0</v>
      </c>
      <c r="F101" s="5" t="str">
        <f aca="false">IF(ABS(E101)&lt;0.5,"PASS","FAIL")</f>
        <v>PASS</v>
      </c>
    </row>
    <row r="102" customFormat="false" ht="15" hidden="false" customHeight="false" outlineLevel="0" collapsed="false">
      <c r="B102" s="3" t="s">
        <v>365</v>
      </c>
      <c r="C102" s="15" t="n">
        <v>32130</v>
      </c>
      <c r="D102" s="30" t="n">
        <f aca="false">'Six Routes at 90 Days'!F39</f>
        <v>32130</v>
      </c>
      <c r="E102" s="31" t="n">
        <f aca="false">D102-C102</f>
        <v>0</v>
      </c>
      <c r="F102" s="5" t="str">
        <f aca="false">IF(ABS(E102)&lt;0.5,"PASS","FAIL")</f>
        <v>PASS</v>
      </c>
    </row>
    <row r="103" customFormat="false" ht="15" hidden="false" customHeight="false" outlineLevel="0" collapsed="false">
      <c r="B103" s="3" t="s">
        <v>366</v>
      </c>
      <c r="C103" s="15" t="n">
        <v>223268</v>
      </c>
      <c r="D103" s="30" t="n">
        <f aca="false">'Six Routes at 90 Days'!G39</f>
        <v>223268.3</v>
      </c>
      <c r="E103" s="31" t="n">
        <f aca="false">D103-C103</f>
        <v>0.299999999988358</v>
      </c>
      <c r="F103" s="5" t="str">
        <f aca="false">IF(ABS(E103)&lt;0.5,"PASS","FAIL")</f>
        <v>PASS</v>
      </c>
    </row>
    <row r="104" customFormat="false" ht="15" hidden="false" customHeight="false" outlineLevel="0" collapsed="false">
      <c r="B104" s="3" t="s">
        <v>367</v>
      </c>
      <c r="C104" s="21" t="n">
        <v>0.728</v>
      </c>
      <c r="D104" s="32" t="n">
        <f aca="false">'Six Routes at 90 Days'!H39</f>
        <v>0.728207110241357</v>
      </c>
      <c r="E104" s="31" t="n">
        <f aca="false">D104-C104</f>
        <v>0.000207110241356778</v>
      </c>
      <c r="F104" s="5" t="str">
        <f aca="false">IF(ABS(E104)&lt;0.0005,"PASS","FAIL")</f>
        <v>PASS</v>
      </c>
    </row>
    <row r="105" customFormat="false" ht="15" hidden="false" customHeight="false" outlineLevel="0" collapsed="false">
      <c r="B105" s="3" t="s">
        <v>368</v>
      </c>
      <c r="C105" s="15" t="n">
        <v>83332</v>
      </c>
      <c r="D105" s="30" t="n">
        <f aca="false">'Six Routes at 90 Days'!I39</f>
        <v>83331.7</v>
      </c>
      <c r="E105" s="31" t="n">
        <f aca="false">D105-C105</f>
        <v>-0.30000000000291</v>
      </c>
      <c r="F105" s="5" t="str">
        <f aca="false">IF(ABS(E105)&lt;0.5,"PASS","FAIL")</f>
        <v>PASS</v>
      </c>
    </row>
    <row r="106" customFormat="false" ht="15" hidden="false" customHeight="false" outlineLevel="0" collapsed="false">
      <c r="B106" s="3" t="s">
        <v>369</v>
      </c>
      <c r="C106" s="21" t="n">
        <v>0.0198</v>
      </c>
      <c r="D106" s="32" t="n">
        <f aca="false">'Six Routes at 90 Days'!J39</f>
        <v>0.019840880952381</v>
      </c>
      <c r="E106" s="31" t="n">
        <f aca="false">D106-C106</f>
        <v>4.08809523809485E-005</v>
      </c>
      <c r="F106" s="5" t="str">
        <f aca="false">IF(ABS(E106)&lt;0.00005,"PASS","FAIL")</f>
        <v>PASS</v>
      </c>
    </row>
    <row r="107" customFormat="false" ht="15" hidden="false" customHeight="false" outlineLevel="0" collapsed="false">
      <c r="B107" s="3" t="s">
        <v>370</v>
      </c>
      <c r="C107" s="21" t="n">
        <v>0.1756</v>
      </c>
      <c r="D107" s="32" t="n">
        <f aca="false">'Six Routes at 90 Days'!K39</f>
        <v>0.175571402359109</v>
      </c>
      <c r="E107" s="31" t="n">
        <f aca="false">D107-C107</f>
        <v>-2.85976408912203E-005</v>
      </c>
      <c r="F107" s="5" t="str">
        <f aca="false">IF(ABS(E107)&lt;0.00005,"PASS","FAIL")</f>
        <v>PASS</v>
      </c>
    </row>
    <row r="108" customFormat="false" ht="15" hidden="false" customHeight="false" outlineLevel="0" collapsed="false">
      <c r="B108" s="6" t="s">
        <v>371</v>
      </c>
      <c r="C108" s="7"/>
      <c r="D108" s="7"/>
      <c r="E108" s="7"/>
      <c r="F108" s="7"/>
    </row>
    <row r="109" customFormat="false" ht="15" hidden="false" customHeight="false" outlineLevel="0" collapsed="false">
      <c r="B109" s="3" t="s">
        <v>372</v>
      </c>
      <c r="C109" s="20" t="n">
        <v>0</v>
      </c>
      <c r="D109" s="27" t="n">
        <f aca="false">'Six Routes at 90 Days'!M34</f>
        <v>0</v>
      </c>
      <c r="E109" s="31" t="n">
        <f aca="false">D109-C109</f>
        <v>0</v>
      </c>
      <c r="F109" s="5" t="str">
        <f aca="false">IF(ABS(E109)&lt;0.000001,"PASS","FAIL")</f>
        <v>PASS</v>
      </c>
    </row>
    <row r="110" customFormat="false" ht="15" hidden="false" customHeight="false" outlineLevel="0" collapsed="false">
      <c r="B110" s="3" t="s">
        <v>373</v>
      </c>
      <c r="C110" s="20" t="n">
        <v>0</v>
      </c>
      <c r="D110" s="27" t="n">
        <f aca="false">'Six Routes at 90 Days'!M35</f>
        <v>0</v>
      </c>
      <c r="E110" s="31" t="n">
        <f aca="false">D110-C110</f>
        <v>0</v>
      </c>
      <c r="F110" s="5" t="str">
        <f aca="false">IF(ABS(E110)&lt;0.000001,"PASS","FAIL")</f>
        <v>PASS</v>
      </c>
    </row>
    <row r="111" customFormat="false" ht="15" hidden="false" customHeight="false" outlineLevel="0" collapsed="false">
      <c r="B111" s="3" t="s">
        <v>374</v>
      </c>
      <c r="C111" s="20" t="n">
        <v>0</v>
      </c>
      <c r="D111" s="27" t="n">
        <f aca="false">'Six Routes at 90 Days'!M36</f>
        <v>0</v>
      </c>
      <c r="E111" s="31" t="n">
        <f aca="false">D111-C111</f>
        <v>0</v>
      </c>
      <c r="F111" s="5" t="str">
        <f aca="false">IF(ABS(E111)&lt;0.000001,"PASS","FAIL")</f>
        <v>PASS</v>
      </c>
    </row>
    <row r="112" customFormat="false" ht="15" hidden="false" customHeight="false" outlineLevel="0" collapsed="false">
      <c r="B112" s="3" t="s">
        <v>375</v>
      </c>
      <c r="C112" s="20" t="n">
        <v>0</v>
      </c>
      <c r="D112" s="27" t="n">
        <f aca="false">'Six Routes at 90 Days'!M37</f>
        <v>0</v>
      </c>
      <c r="E112" s="31" t="n">
        <f aca="false">D112-C112</f>
        <v>0</v>
      </c>
      <c r="F112" s="5" t="str">
        <f aca="false">IF(ABS(E112)&lt;0.000001,"PASS","FAIL")</f>
        <v>PASS</v>
      </c>
    </row>
    <row r="113" customFormat="false" ht="15" hidden="false" customHeight="false" outlineLevel="0" collapsed="false">
      <c r="B113" s="3" t="s">
        <v>376</v>
      </c>
      <c r="C113" s="20" t="n">
        <v>0</v>
      </c>
      <c r="D113" s="27" t="n">
        <f aca="false">'Six Routes at 90 Days'!M38</f>
        <v>0</v>
      </c>
      <c r="E113" s="31" t="n">
        <f aca="false">D113-C113</f>
        <v>0</v>
      </c>
      <c r="F113" s="5" t="str">
        <f aca="false">IF(ABS(E113)&lt;0.000001,"PASS","FAIL")</f>
        <v>PASS</v>
      </c>
    </row>
    <row r="114" customFormat="false" ht="15" hidden="false" customHeight="false" outlineLevel="0" collapsed="false">
      <c r="B114" s="3" t="s">
        <v>377</v>
      </c>
      <c r="C114" s="20" t="n">
        <v>0</v>
      </c>
      <c r="D114" s="27" t="n">
        <f aca="false">'Six Routes at 90 Days'!M39</f>
        <v>0</v>
      </c>
      <c r="E114" s="31" t="n">
        <f aca="false">D114-C114</f>
        <v>0</v>
      </c>
      <c r="F114" s="5" t="str">
        <f aca="false">IF(ABS(E114)&lt;0.000001,"PASS","FAIL")</f>
        <v>PASS</v>
      </c>
    </row>
    <row r="115" customFormat="false" ht="15" hidden="false" customHeight="false" outlineLevel="0" collapsed="false">
      <c r="B115" s="6" t="s">
        <v>378</v>
      </c>
      <c r="C115" s="7"/>
      <c r="D115" s="7"/>
      <c r="E115" s="7"/>
      <c r="F115" s="7"/>
    </row>
    <row r="116" customFormat="false" ht="15" hidden="false" customHeight="false" outlineLevel="0" collapsed="false">
      <c r="B116" s="3" t="s">
        <v>379</v>
      </c>
      <c r="C116" s="15" t="n">
        <v>178040</v>
      </c>
      <c r="D116" s="30" t="n">
        <f aca="false">'Six Routes at 90 Days'!C45</f>
        <v>178039.82104655</v>
      </c>
      <c r="E116" s="31" t="n">
        <f aca="false">D116-C116</f>
        <v>-0.178953450493282</v>
      </c>
      <c r="F116" s="5" t="str">
        <f aca="false">IF(ABS(E116)&lt;0.5,"PASS","FAIL")</f>
        <v>PASS</v>
      </c>
    </row>
    <row r="117" customFormat="false" ht="15" hidden="false" customHeight="false" outlineLevel="0" collapsed="false">
      <c r="B117" s="3" t="s">
        <v>380</v>
      </c>
      <c r="C117" s="15" t="n">
        <v>223268</v>
      </c>
      <c r="D117" s="30" t="n">
        <f aca="false">'Six Routes at 90 Days'!C47</f>
        <v>223268.3</v>
      </c>
      <c r="E117" s="31" t="n">
        <f aca="false">D117-C117</f>
        <v>0.299999999988358</v>
      </c>
      <c r="F117" s="5" t="str">
        <f aca="false">IF(ABS(E117)&lt;0.5,"PASS","FAIL")</f>
        <v>PASS</v>
      </c>
    </row>
    <row r="118" customFormat="false" ht="15" hidden="false" customHeight="false" outlineLevel="0" collapsed="false">
      <c r="B118" s="3" t="s">
        <v>241</v>
      </c>
      <c r="C118" s="15" t="n">
        <v>45228</v>
      </c>
      <c r="D118" s="30" t="n">
        <f aca="false">'Six Routes at 90 Days'!C48</f>
        <v>45228.4789534505</v>
      </c>
      <c r="E118" s="31" t="n">
        <f aca="false">D118-C118</f>
        <v>0.47895345048164</v>
      </c>
      <c r="F118" s="5" t="str">
        <f aca="false">IF(ABS(E118)&lt;0.5,"PASS","FAIL")</f>
        <v>PASS</v>
      </c>
    </row>
    <row r="119" customFormat="false" ht="15" hidden="false" customHeight="false" outlineLevel="0" collapsed="false">
      <c r="B119" s="3" t="s">
        <v>242</v>
      </c>
      <c r="C119" s="21" t="n">
        <v>0.148</v>
      </c>
      <c r="D119" s="32" t="n">
        <f aca="false">'Six Routes at 90 Days'!C49</f>
        <v>0.147516239248045</v>
      </c>
      <c r="E119" s="31" t="n">
        <f aca="false">D119-C119</f>
        <v>-0.000483760751955359</v>
      </c>
      <c r="F119" s="5" t="str">
        <f aca="false">IF(ABS(E119)&lt;0.0005,"PASS","FAIL")</f>
        <v>PASS</v>
      </c>
    </row>
    <row r="120" customFormat="false" ht="15" hidden="false" customHeight="false" outlineLevel="0" collapsed="false">
      <c r="B120" s="3" t="s">
        <v>243</v>
      </c>
      <c r="C120" s="15" t="n">
        <v>128560</v>
      </c>
      <c r="D120" s="30" t="n">
        <f aca="false">'Six Routes at 90 Days'!C50</f>
        <v>128560.17895345</v>
      </c>
      <c r="E120" s="31" t="n">
        <f aca="false">D120-C120</f>
        <v>0.178953450347763</v>
      </c>
      <c r="F120" s="5" t="str">
        <f aca="false">IF(ABS(E120)&lt;0.5,"PASS","FAIL")</f>
        <v>PASS</v>
      </c>
    </row>
    <row r="121" customFormat="false" ht="15" hidden="false" customHeight="false" outlineLevel="0" collapsed="false">
      <c r="B121" s="3" t="s">
        <v>244</v>
      </c>
      <c r="C121" s="15" t="n">
        <v>83332</v>
      </c>
      <c r="D121" s="30" t="n">
        <f aca="false">'Six Routes at 90 Days'!C51</f>
        <v>83331.7</v>
      </c>
      <c r="E121" s="31" t="n">
        <f aca="false">D121-C121</f>
        <v>-0.30000000000291</v>
      </c>
      <c r="F121" s="5" t="str">
        <f aca="false">IF(ABS(E121)&lt;0.5,"PASS","FAIL")</f>
        <v>PASS</v>
      </c>
    </row>
    <row r="122" customFormat="false" ht="15" hidden="false" customHeight="false" outlineLevel="0" collapsed="false">
      <c r="B122" s="3" t="s">
        <v>245</v>
      </c>
      <c r="C122" s="15" t="n">
        <v>0</v>
      </c>
      <c r="D122" s="30" t="n">
        <f aca="false">'Six Routes at 90 Days'!C52</f>
        <v>0</v>
      </c>
      <c r="E122" s="31" t="n">
        <f aca="false">D122-C122</f>
        <v>0</v>
      </c>
      <c r="F122" s="5" t="str">
        <f aca="false">IF(ABS(E122)&lt;0.5,"PASS","FAIL")</f>
        <v>PASS</v>
      </c>
    </row>
    <row r="123" customFormat="false" ht="15" hidden="false" customHeight="false" outlineLevel="0" collapsed="false">
      <c r="B123" s="6" t="s">
        <v>381</v>
      </c>
      <c r="C123" s="7"/>
      <c r="D123" s="7"/>
      <c r="E123" s="7"/>
      <c r="F123" s="7"/>
    </row>
    <row r="124" customFormat="false" ht="15" hidden="false" customHeight="false" outlineLevel="0" collapsed="false">
      <c r="B124" s="3" t="s">
        <v>317</v>
      </c>
      <c r="C124" s="22" t="n">
        <v>186</v>
      </c>
      <c r="D124" s="34" t="n">
        <f aca="false">'The Naive Table'!C34</f>
        <v>186</v>
      </c>
      <c r="E124" s="31" t="n">
        <f aca="false">D124-C124</f>
        <v>0</v>
      </c>
      <c r="F124" s="5" t="str">
        <f aca="false">IF(ABS(E124)&lt;0.05,"PASS","FAIL")</f>
        <v>PASS</v>
      </c>
    </row>
    <row r="125" customFormat="false" ht="15" hidden="false" customHeight="false" outlineLevel="0" collapsed="false">
      <c r="B125" s="3" t="s">
        <v>318</v>
      </c>
      <c r="C125" s="15" t="n">
        <v>148558</v>
      </c>
      <c r="D125" s="30" t="n">
        <f aca="false">'The Naive Table'!D34</f>
        <v>148558.2</v>
      </c>
      <c r="E125" s="31" t="n">
        <f aca="false">D125-C125</f>
        <v>0.200000000011642</v>
      </c>
      <c r="F125" s="5" t="str">
        <f aca="false">IF(ABS(E125)&lt;0.5,"PASS","FAIL")</f>
        <v>PASS</v>
      </c>
    </row>
    <row r="126" customFormat="false" ht="15" hidden="false" customHeight="false" outlineLevel="0" collapsed="false">
      <c r="B126" s="3" t="s">
        <v>319</v>
      </c>
      <c r="C126" s="15" t="n">
        <v>0</v>
      </c>
      <c r="D126" s="30" t="n">
        <f aca="false">'The Naive Table'!E34</f>
        <v>0</v>
      </c>
      <c r="E126" s="31" t="n">
        <f aca="false">D126-C126</f>
        <v>0</v>
      </c>
      <c r="F126" s="5" t="str">
        <f aca="false">IF(ABS(E126)&lt;0.5,"PASS","FAIL")</f>
        <v>PASS</v>
      </c>
    </row>
    <row r="127" customFormat="false" ht="15" hidden="false" customHeight="false" outlineLevel="0" collapsed="false">
      <c r="B127" s="3" t="s">
        <v>320</v>
      </c>
      <c r="C127" s="15" t="n">
        <v>34416</v>
      </c>
      <c r="D127" s="30" t="n">
        <f aca="false">'The Naive Table'!F34</f>
        <v>34416.2104654948</v>
      </c>
      <c r="E127" s="31" t="n">
        <f aca="false">D127-C127</f>
        <v>0.2104654948198</v>
      </c>
      <c r="F127" s="5" t="str">
        <f aca="false">IF(ABS(E127)&lt;0.5,"PASS","FAIL")</f>
        <v>PASS</v>
      </c>
    </row>
    <row r="128" customFormat="false" ht="15" hidden="false" customHeight="false" outlineLevel="0" collapsed="false">
      <c r="B128" s="3" t="s">
        <v>321</v>
      </c>
      <c r="C128" s="15" t="n">
        <v>182974</v>
      </c>
      <c r="D128" s="30" t="n">
        <f aca="false">'The Naive Table'!G34</f>
        <v>182974.410465495</v>
      </c>
      <c r="E128" s="31" t="n">
        <f aca="false">D128-C128</f>
        <v>0.410465494845994</v>
      </c>
      <c r="F128" s="5" t="str">
        <f aca="false">IF(ABS(E128)&lt;0.5,"PASS","FAIL")</f>
        <v>PASS</v>
      </c>
    </row>
    <row r="129" customFormat="false" ht="15" hidden="false" customHeight="false" outlineLevel="0" collapsed="false">
      <c r="B129" s="3" t="s">
        <v>322</v>
      </c>
      <c r="C129" s="21" t="n">
        <v>0.597</v>
      </c>
      <c r="D129" s="32" t="n">
        <f aca="false">'The Naive Table'!H34</f>
        <v>0.596785422261888</v>
      </c>
      <c r="E129" s="31" t="n">
        <f aca="false">D129-C129</f>
        <v>-0.000214577738112065</v>
      </c>
      <c r="F129" s="5" t="str">
        <f aca="false">IF(ABS(E129)&lt;0.0005,"PASS","FAIL")</f>
        <v>PASS</v>
      </c>
    </row>
    <row r="130" customFormat="false" ht="15" hidden="false" customHeight="false" outlineLevel="0" collapsed="false">
      <c r="B130" s="3" t="s">
        <v>323</v>
      </c>
      <c r="C130" s="15" t="n">
        <v>123626</v>
      </c>
      <c r="D130" s="30" t="n">
        <f aca="false">'The Naive Table'!I34</f>
        <v>123625.589534505</v>
      </c>
      <c r="E130" s="31" t="n">
        <f aca="false">D130-C130</f>
        <v>-0.410465495020617</v>
      </c>
      <c r="F130" s="5" t="str">
        <f aca="false">IF(ABS(E130)&lt;0.5,"PASS","FAIL")</f>
        <v>PASS</v>
      </c>
    </row>
    <row r="131" customFormat="false" ht="15" hidden="false" customHeight="false" outlineLevel="0" collapsed="false">
      <c r="B131" s="3" t="s">
        <v>324</v>
      </c>
      <c r="C131" s="21" t="n">
        <v>0.0294</v>
      </c>
      <c r="D131" s="32" t="n">
        <f aca="false">'The Naive Table'!J34</f>
        <v>0.0294346641748821</v>
      </c>
      <c r="E131" s="31" t="n">
        <f aca="false">D131-C131</f>
        <v>3.46641748821402E-005</v>
      </c>
      <c r="F131" s="5" t="str">
        <f aca="false">IF(ABS(E131)&lt;0.00005,"PASS","FAIL")</f>
        <v>PASS</v>
      </c>
    </row>
    <row r="132" customFormat="false" ht="15" hidden="false" customHeight="false" outlineLevel="0" collapsed="false">
      <c r="B132" s="3" t="s">
        <v>325</v>
      </c>
      <c r="C132" s="21" t="n">
        <v>0.0843</v>
      </c>
      <c r="D132" s="32" t="n">
        <f aca="false">'The Naive Table'!K34</f>
        <v>0.0843200048228087</v>
      </c>
      <c r="E132" s="31" t="n">
        <f aca="false">D132-C132</f>
        <v>2.00048228086863E-005</v>
      </c>
      <c r="F132" s="5" t="str">
        <f aca="false">IF(ABS(E132)&lt;0.00005,"PASS","FAIL")</f>
        <v>PASS</v>
      </c>
    </row>
    <row r="133" customFormat="false" ht="15" hidden="false" customHeight="false" outlineLevel="0" collapsed="false">
      <c r="B133" s="3" t="s">
        <v>326</v>
      </c>
      <c r="C133" s="22" t="n">
        <v>186</v>
      </c>
      <c r="D133" s="34" t="n">
        <f aca="false">'The Naive Table'!C35</f>
        <v>186</v>
      </c>
      <c r="E133" s="31" t="n">
        <f aca="false">D133-C133</f>
        <v>0</v>
      </c>
      <c r="F133" s="5" t="str">
        <f aca="false">IF(ABS(E133)&lt;0.05,"PASS","FAIL")</f>
        <v>PASS</v>
      </c>
    </row>
    <row r="134" customFormat="false" ht="15" hidden="false" customHeight="false" outlineLevel="0" collapsed="false">
      <c r="B134" s="3" t="s">
        <v>327</v>
      </c>
      <c r="C134" s="15" t="n">
        <v>148558</v>
      </c>
      <c r="D134" s="30" t="n">
        <f aca="false">'The Naive Table'!D35</f>
        <v>148558.2</v>
      </c>
      <c r="E134" s="31" t="n">
        <f aca="false">D134-C134</f>
        <v>0.200000000011642</v>
      </c>
      <c r="F134" s="5" t="str">
        <f aca="false">IF(ABS(E134)&lt;0.5,"PASS","FAIL")</f>
        <v>PASS</v>
      </c>
    </row>
    <row r="135" customFormat="false" ht="15" hidden="false" customHeight="false" outlineLevel="0" collapsed="false">
      <c r="B135" s="3" t="s">
        <v>328</v>
      </c>
      <c r="C135" s="15" t="n">
        <v>26040</v>
      </c>
      <c r="D135" s="30" t="n">
        <f aca="false">'The Naive Table'!E35</f>
        <v>26040</v>
      </c>
      <c r="E135" s="31" t="n">
        <f aca="false">D135-C135</f>
        <v>0</v>
      </c>
      <c r="F135" s="5" t="str">
        <f aca="false">IF(ABS(E135)&lt;0.5,"PASS","FAIL")</f>
        <v>PASS</v>
      </c>
    </row>
    <row r="136" customFormat="false" ht="15" hidden="false" customHeight="false" outlineLevel="0" collapsed="false">
      <c r="B136" s="3" t="s">
        <v>329</v>
      </c>
      <c r="C136" s="15" t="n">
        <v>3442</v>
      </c>
      <c r="D136" s="30" t="n">
        <f aca="false">'The Naive Table'!F35</f>
        <v>3441.62104654948</v>
      </c>
      <c r="E136" s="31" t="n">
        <f aca="false">D136-C136</f>
        <v>-0.378953450518566</v>
      </c>
      <c r="F136" s="5" t="str">
        <f aca="false">IF(ABS(E136)&lt;0.5,"PASS","FAIL")</f>
        <v>PASS</v>
      </c>
    </row>
    <row r="137" customFormat="false" ht="15" hidden="false" customHeight="false" outlineLevel="0" collapsed="false">
      <c r="B137" s="3" t="s">
        <v>330</v>
      </c>
      <c r="C137" s="15" t="n">
        <v>178040</v>
      </c>
      <c r="D137" s="30" t="n">
        <f aca="false">'The Naive Table'!G35</f>
        <v>178039.82104655</v>
      </c>
      <c r="E137" s="31" t="n">
        <f aca="false">D137-C137</f>
        <v>-0.178953450493282</v>
      </c>
      <c r="F137" s="5" t="str">
        <f aca="false">IF(ABS(E137)&lt;0.5,"PASS","FAIL")</f>
        <v>PASS</v>
      </c>
    </row>
    <row r="138" customFormat="false" ht="15" hidden="false" customHeight="false" outlineLevel="0" collapsed="false">
      <c r="B138" s="3" t="s">
        <v>331</v>
      </c>
      <c r="C138" s="21" t="n">
        <v>0.581</v>
      </c>
      <c r="D138" s="32" t="n">
        <f aca="false">'The Naive Table'!H35</f>
        <v>0.580690870993312</v>
      </c>
      <c r="E138" s="31" t="n">
        <f aca="false">D138-C138</f>
        <v>-0.000309129006687781</v>
      </c>
      <c r="F138" s="5" t="str">
        <f aca="false">IF(ABS(E138)&lt;0.0005,"PASS","FAIL")</f>
        <v>PASS</v>
      </c>
    </row>
    <row r="139" customFormat="false" ht="15" hidden="false" customHeight="false" outlineLevel="0" collapsed="false">
      <c r="B139" s="3" t="s">
        <v>332</v>
      </c>
      <c r="C139" s="15" t="n">
        <v>128560</v>
      </c>
      <c r="D139" s="30" t="n">
        <f aca="false">'The Naive Table'!I35</f>
        <v>128560.17895345</v>
      </c>
      <c r="E139" s="31" t="n">
        <f aca="false">D139-C139</f>
        <v>0.178953450347763</v>
      </c>
      <c r="F139" s="5" t="str">
        <f aca="false">IF(ABS(E139)&lt;0.5,"PASS","FAIL")</f>
        <v>PASS</v>
      </c>
    </row>
    <row r="140" customFormat="false" ht="15" hidden="false" customHeight="false" outlineLevel="0" collapsed="false">
      <c r="B140" s="3" t="s">
        <v>333</v>
      </c>
      <c r="C140" s="21" t="n">
        <v>0.0306</v>
      </c>
      <c r="D140" s="32" t="n">
        <f aca="false">'The Naive Table'!J35</f>
        <v>0.0306095664174882</v>
      </c>
      <c r="E140" s="31" t="n">
        <f aca="false">D140-C140</f>
        <v>9.56641748817849E-006</v>
      </c>
      <c r="F140" s="5" t="str">
        <f aca="false">IF(ABS(E140)&lt;0.00005,"PASS","FAIL")</f>
        <v>PASS</v>
      </c>
    </row>
    <row r="141" customFormat="false" ht="15" hidden="false" customHeight="false" outlineLevel="0" collapsed="false">
      <c r="B141" s="3" t="s">
        <v>334</v>
      </c>
      <c r="C141" s="21" t="n">
        <v>0.082</v>
      </c>
      <c r="D141" s="32" t="n">
        <f aca="false">'The Naive Table'!K35</f>
        <v>0.0820460004822809</v>
      </c>
      <c r="E141" s="31" t="n">
        <f aca="false">D141-C141</f>
        <v>4.60004822808724E-005</v>
      </c>
      <c r="F141" s="5" t="str">
        <f aca="false">IF(ABS(E141)&lt;0.00005,"PASS","FAIL")</f>
        <v>PASS</v>
      </c>
    </row>
    <row r="142" customFormat="false" ht="15" hidden="false" customHeight="false" outlineLevel="0" collapsed="false">
      <c r="B142" s="3" t="s">
        <v>382</v>
      </c>
      <c r="C142" s="22" t="n">
        <v>112</v>
      </c>
      <c r="D142" s="34" t="n">
        <f aca="false">'The Naive Table'!C36</f>
        <v>112</v>
      </c>
      <c r="E142" s="31" t="n">
        <f aca="false">D142-C142</f>
        <v>0</v>
      </c>
      <c r="F142" s="5" t="str">
        <f aca="false">IF(ABS(E142)&lt;0.05,"PASS","FAIL")</f>
        <v>PASS</v>
      </c>
    </row>
    <row r="143" customFormat="false" ht="15" hidden="false" customHeight="false" outlineLevel="0" collapsed="false">
      <c r="B143" s="3" t="s">
        <v>383</v>
      </c>
      <c r="C143" s="15" t="n">
        <v>89454</v>
      </c>
      <c r="D143" s="30" t="n">
        <f aca="false">'The Naive Table'!D36</f>
        <v>89454.4</v>
      </c>
      <c r="E143" s="31" t="n">
        <f aca="false">D143-C143</f>
        <v>0.399999999994179</v>
      </c>
      <c r="F143" s="5" t="str">
        <f aca="false">IF(ABS(E143)&lt;0.5,"PASS","FAIL")</f>
        <v>PASS</v>
      </c>
    </row>
    <row r="144" customFormat="false" ht="15" hidden="false" customHeight="false" outlineLevel="0" collapsed="false">
      <c r="B144" s="3" t="s">
        <v>384</v>
      </c>
      <c r="C144" s="15" t="n">
        <v>4960</v>
      </c>
      <c r="D144" s="30" t="n">
        <f aca="false">'The Naive Table'!E36</f>
        <v>4960</v>
      </c>
      <c r="E144" s="31" t="n">
        <f aca="false">D144-C144</f>
        <v>0</v>
      </c>
      <c r="F144" s="5" t="str">
        <f aca="false">IF(ABS(E144)&lt;0.5,"PASS","FAIL")</f>
        <v>PASS</v>
      </c>
    </row>
    <row r="145" customFormat="false" ht="15" hidden="false" customHeight="false" outlineLevel="0" collapsed="false">
      <c r="B145" s="3" t="s">
        <v>385</v>
      </c>
      <c r="C145" s="15" t="n">
        <v>8487</v>
      </c>
      <c r="D145" s="30" t="n">
        <f aca="false">'The Naive Table'!F36</f>
        <v>8487.28767379643</v>
      </c>
      <c r="E145" s="31" t="n">
        <f aca="false">D145-C145</f>
        <v>0.287673796430681</v>
      </c>
      <c r="F145" s="5" t="str">
        <f aca="false">IF(ABS(E145)&lt;0.5,"PASS","FAIL")</f>
        <v>PASS</v>
      </c>
    </row>
    <row r="146" customFormat="false" ht="15" hidden="false" customHeight="false" outlineLevel="0" collapsed="false">
      <c r="B146" s="3" t="s">
        <v>386</v>
      </c>
      <c r="C146" s="15" t="n">
        <v>102902</v>
      </c>
      <c r="D146" s="30" t="n">
        <f aca="false">'The Naive Table'!G36</f>
        <v>102901.687673796</v>
      </c>
      <c r="E146" s="31" t="n">
        <f aca="false">D146-C146</f>
        <v>-0.312326203580597</v>
      </c>
      <c r="F146" s="5" t="str">
        <f aca="false">IF(ABS(E146)&lt;0.5,"PASS","FAIL")</f>
        <v>PASS</v>
      </c>
    </row>
    <row r="147" customFormat="false" ht="15" hidden="false" customHeight="false" outlineLevel="0" collapsed="false">
      <c r="B147" s="3" t="s">
        <v>387</v>
      </c>
      <c r="C147" s="21" t="n">
        <v>0.336</v>
      </c>
      <c r="D147" s="32" t="n">
        <f aca="false">'The Naive Table'!H36</f>
        <v>0.335621942836909</v>
      </c>
      <c r="E147" s="31" t="n">
        <f aca="false">D147-C147</f>
        <v>-0.000378057163090639</v>
      </c>
      <c r="F147" s="5" t="str">
        <f aca="false">IF(ABS(E147)&lt;0.0005,"PASS","FAIL")</f>
        <v>PASS</v>
      </c>
    </row>
    <row r="148" customFormat="false" ht="15" hidden="false" customHeight="false" outlineLevel="0" collapsed="false">
      <c r="B148" s="3" t="s">
        <v>388</v>
      </c>
      <c r="C148" s="15" t="n">
        <v>203698</v>
      </c>
      <c r="D148" s="30" t="n">
        <f aca="false">'The Naive Table'!I36</f>
        <v>203698.312326203</v>
      </c>
      <c r="E148" s="31" t="n">
        <f aca="false">D148-C148</f>
        <v>0.312326203478733</v>
      </c>
      <c r="F148" s="5" t="str">
        <f aca="false">IF(ABS(E148)&lt;0.5,"PASS","FAIL")</f>
        <v>PASS</v>
      </c>
    </row>
    <row r="149" customFormat="false" ht="15" hidden="false" customHeight="false" outlineLevel="0" collapsed="false">
      <c r="B149" s="3" t="s">
        <v>389</v>
      </c>
      <c r="C149" s="21" t="n">
        <v>0.0485</v>
      </c>
      <c r="D149" s="32" t="n">
        <f aca="false">'The Naive Table'!J36</f>
        <v>0.0484995981729056</v>
      </c>
      <c r="E149" s="31" t="n">
        <f aca="false">D149-C149</f>
        <v>-4.01827094410889E-007</v>
      </c>
      <c r="F149" s="5" t="str">
        <f aca="false">IF(ABS(E149)&lt;0.00005,"PASS","FAIL")</f>
        <v>PASS</v>
      </c>
    </row>
    <row r="150" customFormat="false" ht="15" hidden="false" customHeight="false" outlineLevel="0" collapsed="false">
      <c r="B150" s="3" t="s">
        <v>390</v>
      </c>
      <c r="C150" s="21" t="n">
        <v>0.0788</v>
      </c>
      <c r="D150" s="32" t="n">
        <f aca="false">'The Naive Table'!K36</f>
        <v>0.0787512915870891</v>
      </c>
      <c r="E150" s="31" t="n">
        <f aca="false">D150-C150</f>
        <v>-4.87084129109083E-005</v>
      </c>
      <c r="F150" s="5" t="str">
        <f aca="false">IF(ABS(E150)&lt;0.00005,"PASS","FAIL")</f>
        <v>PASS</v>
      </c>
    </row>
    <row r="151" customFormat="false" ht="15" hidden="false" customHeight="false" outlineLevel="0" collapsed="false">
      <c r="B151" s="3" t="s">
        <v>391</v>
      </c>
      <c r="C151" s="22" t="n">
        <v>116.8</v>
      </c>
      <c r="D151" s="34" t="n">
        <f aca="false">'The Naive Table'!C37</f>
        <v>116.82</v>
      </c>
      <c r="E151" s="31" t="n">
        <f aca="false">D151-C151</f>
        <v>0.019999999999996</v>
      </c>
      <c r="F151" s="5" t="str">
        <f aca="false">IF(ABS(E151)&lt;0.05,"PASS","FAIL")</f>
        <v>PASS</v>
      </c>
    </row>
    <row r="152" customFormat="false" ht="15" hidden="false" customHeight="false" outlineLevel="0" collapsed="false">
      <c r="B152" s="3" t="s">
        <v>392</v>
      </c>
      <c r="C152" s="15" t="n">
        <v>93304</v>
      </c>
      <c r="D152" s="30" t="n">
        <f aca="false">'The Naive Table'!D37</f>
        <v>93304.134</v>
      </c>
      <c r="E152" s="31" t="n">
        <f aca="false">D152-C152</f>
        <v>0.13399999999092</v>
      </c>
      <c r="F152" s="5" t="str">
        <f aca="false">IF(ABS(E152)&lt;0.5,"PASS","FAIL")</f>
        <v>PASS</v>
      </c>
    </row>
    <row r="153" customFormat="false" ht="15" hidden="false" customHeight="false" outlineLevel="0" collapsed="false">
      <c r="B153" s="3" t="s">
        <v>393</v>
      </c>
      <c r="C153" s="15" t="n">
        <v>7020</v>
      </c>
      <c r="D153" s="30" t="n">
        <f aca="false">'The Naive Table'!E37</f>
        <v>7020</v>
      </c>
      <c r="E153" s="31" t="n">
        <f aca="false">D153-C153</f>
        <v>0</v>
      </c>
      <c r="F153" s="5" t="str">
        <f aca="false">IF(ABS(E153)&lt;0.5,"PASS","FAIL")</f>
        <v>PASS</v>
      </c>
    </row>
    <row r="154" customFormat="false" ht="15" hidden="false" customHeight="false" outlineLevel="0" collapsed="false">
      <c r="B154" s="3" t="s">
        <v>394</v>
      </c>
      <c r="C154" s="15" t="n">
        <v>11765</v>
      </c>
      <c r="D154" s="30" t="n">
        <f aca="false">'The Naive Table'!F37</f>
        <v>11765.2947769976</v>
      </c>
      <c r="E154" s="31" t="n">
        <f aca="false">D154-C154</f>
        <v>0.29477699760173</v>
      </c>
      <c r="F154" s="5" t="str">
        <f aca="false">IF(ABS(E154)&lt;0.5,"PASS","FAIL")</f>
        <v>PASS</v>
      </c>
    </row>
    <row r="155" customFormat="false" ht="15" hidden="false" customHeight="false" outlineLevel="0" collapsed="false">
      <c r="B155" s="3" t="s">
        <v>395</v>
      </c>
      <c r="C155" s="15" t="n">
        <v>112089</v>
      </c>
      <c r="D155" s="30" t="n">
        <f aca="false">'The Naive Table'!G37</f>
        <v>112089.428776998</v>
      </c>
      <c r="E155" s="31" t="n">
        <f aca="false">D155-C155</f>
        <v>0.428776997592649</v>
      </c>
      <c r="F155" s="5" t="str">
        <f aca="false">IF(ABS(E155)&lt;0.5,"PASS","FAIL")</f>
        <v>PASS</v>
      </c>
    </row>
    <row r="156" customFormat="false" ht="15" hidden="false" customHeight="false" outlineLevel="0" collapsed="false">
      <c r="B156" s="3" t="s">
        <v>396</v>
      </c>
      <c r="C156" s="21" t="n">
        <v>0.366</v>
      </c>
      <c r="D156" s="32" t="n">
        <f aca="false">'The Naive Table'!H37</f>
        <v>0.365588482638609</v>
      </c>
      <c r="E156" s="31" t="n">
        <f aca="false">D156-C156</f>
        <v>-0.000411517361390779</v>
      </c>
      <c r="F156" s="5" t="str">
        <f aca="false">IF(ABS(E156)&lt;0.0005,"PASS","FAIL")</f>
        <v>PASS</v>
      </c>
    </row>
    <row r="157" customFormat="false" ht="15" hidden="false" customHeight="false" outlineLevel="0" collapsed="false">
      <c r="B157" s="3" t="s">
        <v>397</v>
      </c>
      <c r="C157" s="15" t="n">
        <v>194511</v>
      </c>
      <c r="D157" s="30" t="n">
        <f aca="false">'The Naive Table'!I37</f>
        <v>194510.571223002</v>
      </c>
      <c r="E157" s="31" t="n">
        <f aca="false">D157-C157</f>
        <v>-0.42877699751989</v>
      </c>
      <c r="F157" s="5" t="str">
        <f aca="false">IF(ABS(E157)&lt;0.5,"PASS","FAIL")</f>
        <v>PASS</v>
      </c>
    </row>
    <row r="158" customFormat="false" ht="15" hidden="false" customHeight="false" outlineLevel="0" collapsed="false">
      <c r="B158" s="3" t="s">
        <v>398</v>
      </c>
      <c r="C158" s="21" t="n">
        <v>0.0463</v>
      </c>
      <c r="D158" s="32" t="n">
        <f aca="false">'The Naive Table'!J37</f>
        <v>0.0463120407673815</v>
      </c>
      <c r="E158" s="31" t="n">
        <f aca="false">D158-C158</f>
        <v>1.20407673815451E-005</v>
      </c>
      <c r="F158" s="5" t="str">
        <f aca="false">IF(ABS(E158)&lt;0.00005,"PASS","FAIL")</f>
        <v>PASS</v>
      </c>
    </row>
    <row r="159" customFormat="false" ht="15" hidden="false" customHeight="false" outlineLevel="0" collapsed="false">
      <c r="B159" s="3" t="s">
        <v>399</v>
      </c>
      <c r="C159" s="21" t="n">
        <v>0.0822</v>
      </c>
      <c r="D159" s="32" t="n">
        <f aca="false">'The Naive Table'!K37</f>
        <v>0.0822433258324144</v>
      </c>
      <c r="E159" s="31" t="n">
        <f aca="false">D159-C159</f>
        <v>4.3325832414412E-005</v>
      </c>
      <c r="F159" s="5" t="str">
        <f aca="false">IF(ABS(E159)&lt;0.00005,"PASS","FAIL")</f>
        <v>PASS</v>
      </c>
    </row>
    <row r="160" customFormat="false" ht="15" hidden="false" customHeight="false" outlineLevel="0" collapsed="false">
      <c r="B160" s="3" t="s">
        <v>400</v>
      </c>
      <c r="C160" s="22" t="n">
        <v>116.8</v>
      </c>
      <c r="D160" s="34" t="n">
        <f aca="false">'The Naive Table'!C38</f>
        <v>116.82</v>
      </c>
      <c r="E160" s="31" t="n">
        <f aca="false">D160-C160</f>
        <v>0.019999999999996</v>
      </c>
      <c r="F160" s="5" t="str">
        <f aca="false">IF(ABS(E160)&lt;0.05,"PASS","FAIL")</f>
        <v>PASS</v>
      </c>
    </row>
    <row r="161" customFormat="false" ht="15" hidden="false" customHeight="false" outlineLevel="0" collapsed="false">
      <c r="B161" s="3" t="s">
        <v>401</v>
      </c>
      <c r="C161" s="15" t="n">
        <v>93304</v>
      </c>
      <c r="D161" s="30" t="n">
        <f aca="false">'The Naive Table'!D38</f>
        <v>93304.134</v>
      </c>
      <c r="E161" s="31" t="n">
        <f aca="false">D161-C161</f>
        <v>0.13399999999092</v>
      </c>
      <c r="F161" s="5" t="str">
        <f aca="false">IF(ABS(E161)&lt;0.5,"PASS","FAIL")</f>
        <v>PASS</v>
      </c>
    </row>
    <row r="162" customFormat="false" ht="15" hidden="false" customHeight="false" outlineLevel="0" collapsed="false">
      <c r="B162" s="3" t="s">
        <v>402</v>
      </c>
      <c r="C162" s="15" t="n">
        <v>137074</v>
      </c>
      <c r="D162" s="30" t="n">
        <f aca="false">'The Naive Table'!E38</f>
        <v>137074.166666667</v>
      </c>
      <c r="E162" s="31" t="n">
        <f aca="false">D162-C162</f>
        <v>0.166666666656965</v>
      </c>
      <c r="F162" s="5" t="str">
        <f aca="false">IF(ABS(E162)&lt;0.5,"PASS","FAIL")</f>
        <v>PASS</v>
      </c>
    </row>
    <row r="163" customFormat="false" ht="15" hidden="false" customHeight="false" outlineLevel="0" collapsed="false">
      <c r="B163" s="3" t="s">
        <v>403</v>
      </c>
      <c r="C163" s="15" t="n">
        <v>1979</v>
      </c>
      <c r="D163" s="30" t="n">
        <f aca="false">'The Naive Table'!F38</f>
        <v>1979.38843816882</v>
      </c>
      <c r="E163" s="31" t="n">
        <f aca="false">D163-C163</f>
        <v>0.388438168821267</v>
      </c>
      <c r="F163" s="5" t="str">
        <f aca="false">IF(ABS(E163)&lt;0.5,"PASS","FAIL")</f>
        <v>PASS</v>
      </c>
    </row>
    <row r="164" customFormat="false" ht="15" hidden="false" customHeight="false" outlineLevel="0" collapsed="false">
      <c r="B164" s="3" t="s">
        <v>404</v>
      </c>
      <c r="C164" s="15" t="n">
        <v>232358</v>
      </c>
      <c r="D164" s="30" t="n">
        <f aca="false">'The Naive Table'!G38</f>
        <v>232357.689104835</v>
      </c>
      <c r="E164" s="31" t="n">
        <f aca="false">D164-C164</f>
        <v>-0.310895164526301</v>
      </c>
      <c r="F164" s="5" t="str">
        <f aca="false">IF(ABS(E164)&lt;0.5,"PASS","FAIL")</f>
        <v>PASS</v>
      </c>
    </row>
    <row r="165" customFormat="false" ht="15" hidden="false" customHeight="false" outlineLevel="0" collapsed="false">
      <c r="B165" s="3" t="s">
        <v>405</v>
      </c>
      <c r="C165" s="21" t="n">
        <v>0.758</v>
      </c>
      <c r="D165" s="32" t="n">
        <f aca="false">'The Naive Table'!H38</f>
        <v>0.757852867269522</v>
      </c>
      <c r="E165" s="31" t="n">
        <f aca="false">D165-C165</f>
        <v>-0.00014713273047795</v>
      </c>
      <c r="F165" s="5" t="str">
        <f aca="false">IF(ABS(E165)&lt;0.0005,"PASS","FAIL")</f>
        <v>PASS</v>
      </c>
    </row>
    <row r="166" customFormat="false" ht="15" hidden="false" customHeight="false" outlineLevel="0" collapsed="false">
      <c r="B166" s="3" t="s">
        <v>406</v>
      </c>
      <c r="C166" s="15" t="n">
        <v>74242</v>
      </c>
      <c r="D166" s="30" t="n">
        <f aca="false">'The Naive Table'!I38</f>
        <v>74242.3108951646</v>
      </c>
      <c r="E166" s="31" t="n">
        <f aca="false">D166-C166</f>
        <v>0.310895164584508</v>
      </c>
      <c r="F166" s="5" t="str">
        <f aca="false">IF(ABS(E166)&lt;0.5,"PASS","FAIL")</f>
        <v>PASS</v>
      </c>
    </row>
    <row r="167" customFormat="false" ht="15" hidden="false" customHeight="false" outlineLevel="0" collapsed="false">
      <c r="B167" s="3" t="s">
        <v>407</v>
      </c>
      <c r="C167" s="21" t="n">
        <v>0.0177</v>
      </c>
      <c r="D167" s="32" t="n">
        <f aca="false">'The Naive Table'!J38</f>
        <v>0.0176767406893249</v>
      </c>
      <c r="E167" s="31" t="n">
        <f aca="false">D167-C167</f>
        <v>-2.32593106750979E-005</v>
      </c>
      <c r="F167" s="5" t="str">
        <f aca="false">IF(ABS(E167)&lt;0.00005,"PASS","FAIL")</f>
        <v>PASS</v>
      </c>
    </row>
    <row r="168" customFormat="false" ht="15" hidden="false" customHeight="false" outlineLevel="0" collapsed="false">
      <c r="B168" s="3" t="s">
        <v>408</v>
      </c>
      <c r="C168" s="21" t="n">
        <v>0.1705</v>
      </c>
      <c r="D168" s="32" t="n">
        <f aca="false">'The Naive Table'!K38</f>
        <v>0.170487702035979</v>
      </c>
      <c r="E168" s="31" t="n">
        <f aca="false">D168-C168</f>
        <v>-1.22979640212462E-005</v>
      </c>
      <c r="F168" s="5" t="str">
        <f aca="false">IF(ABS(E168)&lt;0.00005,"PASS","FAIL")</f>
        <v>PASS</v>
      </c>
    </row>
    <row r="169" customFormat="false" ht="15" hidden="false" customHeight="false" outlineLevel="0" collapsed="false">
      <c r="B169" s="3" t="s">
        <v>362</v>
      </c>
      <c r="C169" s="22" t="n">
        <v>109</v>
      </c>
      <c r="D169" s="34" t="n">
        <f aca="false">'The Naive Table'!C39</f>
        <v>109</v>
      </c>
      <c r="E169" s="31" t="n">
        <f aca="false">D169-C169</f>
        <v>0</v>
      </c>
      <c r="F169" s="5" t="str">
        <f aca="false">IF(ABS(E169)&lt;0.05,"PASS","FAIL")</f>
        <v>PASS</v>
      </c>
    </row>
    <row r="170" customFormat="false" ht="15" hidden="false" customHeight="false" outlineLevel="0" collapsed="false">
      <c r="B170" s="3" t="s">
        <v>363</v>
      </c>
      <c r="C170" s="15" t="n">
        <v>87058</v>
      </c>
      <c r="D170" s="30" t="n">
        <f aca="false">'The Naive Table'!D39</f>
        <v>87058.3</v>
      </c>
      <c r="E170" s="31" t="n">
        <f aca="false">D170-C170</f>
        <v>0.30000000000291</v>
      </c>
      <c r="F170" s="5" t="str">
        <f aca="false">IF(ABS(E170)&lt;0.5,"PASS","FAIL")</f>
        <v>PASS</v>
      </c>
    </row>
    <row r="171" customFormat="false" ht="15" hidden="false" customHeight="false" outlineLevel="0" collapsed="false">
      <c r="B171" s="3" t="s">
        <v>364</v>
      </c>
      <c r="C171" s="15" t="n">
        <v>104080</v>
      </c>
      <c r="D171" s="30" t="n">
        <f aca="false">'The Naive Table'!E39</f>
        <v>104080</v>
      </c>
      <c r="E171" s="31" t="n">
        <f aca="false">D171-C171</f>
        <v>0</v>
      </c>
      <c r="F171" s="5" t="str">
        <f aca="false">IF(ABS(E171)&lt;0.5,"PASS","FAIL")</f>
        <v>PASS</v>
      </c>
    </row>
    <row r="172" customFormat="false" ht="15" hidden="false" customHeight="false" outlineLevel="0" collapsed="false">
      <c r="B172" s="3" t="s">
        <v>365</v>
      </c>
      <c r="C172" s="15" t="n">
        <v>32130</v>
      </c>
      <c r="D172" s="30" t="n">
        <f aca="false">'The Naive Table'!F39</f>
        <v>32130</v>
      </c>
      <c r="E172" s="31" t="n">
        <f aca="false">D172-C172</f>
        <v>0</v>
      </c>
      <c r="F172" s="5" t="str">
        <f aca="false">IF(ABS(E172)&lt;0.5,"PASS","FAIL")</f>
        <v>PASS</v>
      </c>
    </row>
    <row r="173" customFormat="false" ht="15" hidden="false" customHeight="false" outlineLevel="0" collapsed="false">
      <c r="B173" s="3" t="s">
        <v>366</v>
      </c>
      <c r="C173" s="15" t="n">
        <v>223268</v>
      </c>
      <c r="D173" s="30" t="n">
        <f aca="false">'The Naive Table'!G39</f>
        <v>223268.3</v>
      </c>
      <c r="E173" s="31" t="n">
        <f aca="false">D173-C173</f>
        <v>0.299999999988358</v>
      </c>
      <c r="F173" s="5" t="str">
        <f aca="false">IF(ABS(E173)&lt;0.5,"PASS","FAIL")</f>
        <v>PASS</v>
      </c>
    </row>
    <row r="174" customFormat="false" ht="15" hidden="false" customHeight="false" outlineLevel="0" collapsed="false">
      <c r="B174" s="3" t="s">
        <v>367</v>
      </c>
      <c r="C174" s="21" t="n">
        <v>0.728</v>
      </c>
      <c r="D174" s="32" t="n">
        <f aca="false">'The Naive Table'!H39</f>
        <v>0.728207110241357</v>
      </c>
      <c r="E174" s="31" t="n">
        <f aca="false">D174-C174</f>
        <v>0.000207110241356778</v>
      </c>
      <c r="F174" s="5" t="str">
        <f aca="false">IF(ABS(E174)&lt;0.0005,"PASS","FAIL")</f>
        <v>PASS</v>
      </c>
    </row>
    <row r="175" customFormat="false" ht="15" hidden="false" customHeight="false" outlineLevel="0" collapsed="false">
      <c r="B175" s="3" t="s">
        <v>368</v>
      </c>
      <c r="C175" s="15" t="n">
        <v>83332</v>
      </c>
      <c r="D175" s="30" t="n">
        <f aca="false">'The Naive Table'!I39</f>
        <v>83331.7</v>
      </c>
      <c r="E175" s="31" t="n">
        <f aca="false">D175-C175</f>
        <v>-0.30000000000291</v>
      </c>
      <c r="F175" s="5" t="str">
        <f aca="false">IF(ABS(E175)&lt;0.5,"PASS","FAIL")</f>
        <v>PASS</v>
      </c>
    </row>
    <row r="176" customFormat="false" ht="15" hidden="false" customHeight="false" outlineLevel="0" collapsed="false">
      <c r="B176" s="3" t="s">
        <v>369</v>
      </c>
      <c r="C176" s="21" t="n">
        <v>0.0198</v>
      </c>
      <c r="D176" s="32" t="n">
        <f aca="false">'The Naive Table'!J39</f>
        <v>0.019840880952381</v>
      </c>
      <c r="E176" s="31" t="n">
        <f aca="false">D176-C176</f>
        <v>4.08809523809485E-005</v>
      </c>
      <c r="F176" s="5" t="str">
        <f aca="false">IF(ABS(E176)&lt;0.00005,"PASS","FAIL")</f>
        <v>PASS</v>
      </c>
    </row>
    <row r="177" customFormat="false" ht="15" hidden="false" customHeight="false" outlineLevel="0" collapsed="false">
      <c r="B177" s="3" t="s">
        <v>370</v>
      </c>
      <c r="C177" s="21" t="n">
        <v>0.1756</v>
      </c>
      <c r="D177" s="32" t="n">
        <f aca="false">'The Naive Table'!K39</f>
        <v>0.175571402359109</v>
      </c>
      <c r="E177" s="31" t="n">
        <f aca="false">D177-C177</f>
        <v>-2.85976408912203E-005</v>
      </c>
      <c r="F177" s="5" t="str">
        <f aca="false">IF(ABS(E177)&lt;0.00005,"PASS","FAIL")</f>
        <v>PASS</v>
      </c>
    </row>
    <row r="178" customFormat="false" ht="15" hidden="false" customHeight="false" outlineLevel="0" collapsed="false">
      <c r="B178" s="6" t="s">
        <v>409</v>
      </c>
      <c r="C178" s="7"/>
      <c r="D178" s="7"/>
      <c r="E178" s="7"/>
      <c r="F178" s="7"/>
    </row>
    <row r="179" customFormat="false" ht="15" hidden="false" customHeight="false" outlineLevel="0" collapsed="false">
      <c r="B179" s="3" t="s">
        <v>372</v>
      </c>
      <c r="C179" s="20" t="n">
        <v>0</v>
      </c>
      <c r="D179" s="27" t="n">
        <f aca="false">'The Naive Table'!M34</f>
        <v>0</v>
      </c>
      <c r="E179" s="31" t="n">
        <f aca="false">D179-C179</f>
        <v>0</v>
      </c>
      <c r="F179" s="5" t="str">
        <f aca="false">IF(ABS(E179)&lt;0.000001,"PASS","FAIL")</f>
        <v>PASS</v>
      </c>
    </row>
    <row r="180" customFormat="false" ht="15" hidden="false" customHeight="false" outlineLevel="0" collapsed="false">
      <c r="B180" s="3" t="s">
        <v>373</v>
      </c>
      <c r="C180" s="20" t="n">
        <v>0</v>
      </c>
      <c r="D180" s="27" t="n">
        <f aca="false">'The Naive Table'!M35</f>
        <v>0</v>
      </c>
      <c r="E180" s="31" t="n">
        <f aca="false">D180-C180</f>
        <v>0</v>
      </c>
      <c r="F180" s="5" t="str">
        <f aca="false">IF(ABS(E180)&lt;0.000001,"PASS","FAIL")</f>
        <v>PASS</v>
      </c>
    </row>
    <row r="181" customFormat="false" ht="15" hidden="false" customHeight="false" outlineLevel="0" collapsed="false">
      <c r="B181" s="3" t="s">
        <v>410</v>
      </c>
      <c r="C181" s="20" t="n">
        <v>0</v>
      </c>
      <c r="D181" s="27" t="n">
        <f aca="false">'The Naive Table'!M36</f>
        <v>0</v>
      </c>
      <c r="E181" s="31" t="n">
        <f aca="false">D181-C181</f>
        <v>0</v>
      </c>
      <c r="F181" s="5" t="str">
        <f aca="false">IF(ABS(E181)&lt;0.000001,"PASS","FAIL")</f>
        <v>PASS</v>
      </c>
    </row>
    <row r="182" customFormat="false" ht="15" hidden="false" customHeight="false" outlineLevel="0" collapsed="false">
      <c r="B182" s="3" t="s">
        <v>411</v>
      </c>
      <c r="C182" s="20" t="n">
        <v>0</v>
      </c>
      <c r="D182" s="27" t="n">
        <f aca="false">'The Naive Table'!M37</f>
        <v>0</v>
      </c>
      <c r="E182" s="31" t="n">
        <f aca="false">D182-C182</f>
        <v>0</v>
      </c>
      <c r="F182" s="5" t="str">
        <f aca="false">IF(ABS(E182)&lt;0.000001,"PASS","FAIL")</f>
        <v>PASS</v>
      </c>
    </row>
    <row r="183" customFormat="false" ht="15" hidden="false" customHeight="false" outlineLevel="0" collapsed="false">
      <c r="B183" s="3" t="s">
        <v>412</v>
      </c>
      <c r="C183" s="20" t="n">
        <v>0</v>
      </c>
      <c r="D183" s="27" t="n">
        <f aca="false">'The Naive Table'!M38</f>
        <v>0</v>
      </c>
      <c r="E183" s="31" t="n">
        <f aca="false">D183-C183</f>
        <v>0</v>
      </c>
      <c r="F183" s="5" t="str">
        <f aca="false">IF(ABS(E183)&lt;0.000001,"PASS","FAIL")</f>
        <v>PASS</v>
      </c>
    </row>
    <row r="184" customFormat="false" ht="15" hidden="false" customHeight="false" outlineLevel="0" collapsed="false">
      <c r="B184" s="3" t="s">
        <v>377</v>
      </c>
      <c r="C184" s="20" t="n">
        <v>0</v>
      </c>
      <c r="D184" s="27" t="n">
        <f aca="false">'The Naive Table'!M39</f>
        <v>0</v>
      </c>
      <c r="E184" s="31" t="n">
        <f aca="false">D184-C184</f>
        <v>0</v>
      </c>
      <c r="F184" s="5" t="str">
        <f aca="false">IF(ABS(E184)&lt;0.000001,"PASS","FAIL")</f>
        <v>PASS</v>
      </c>
    </row>
    <row r="186" customFormat="false" ht="15" hidden="false" customHeight="false" outlineLevel="0" collapsed="false">
      <c r="B186" s="5" t="s">
        <v>413</v>
      </c>
      <c r="C186" s="5" t="n">
        <f aca="false">COUNTIF(F7:F184,"PASS")+COUNTIF(F7:F184,"FAIL")</f>
        <v>169</v>
      </c>
    </row>
    <row r="187" customFormat="false" ht="15" hidden="false" customHeight="false" outlineLevel="0" collapsed="false">
      <c r="B187" s="5" t="s">
        <v>414</v>
      </c>
      <c r="C187" s="5" t="n">
        <f aca="false">COUNTIF(F7:F184,"PASS")</f>
        <v>169</v>
      </c>
    </row>
    <row r="188" customFormat="false" ht="15" hidden="false" customHeight="false" outlineLevel="0" collapsed="false">
      <c r="B188" s="5" t="s">
        <v>415</v>
      </c>
      <c r="C188" s="5" t="n">
        <f aca="false">COUNTIF(F7:F184,"FAIL")</f>
        <v>0</v>
      </c>
    </row>
    <row r="190" customFormat="false" ht="15" hidden="false" customHeight="false" outlineLevel="0" collapsed="false">
      <c r="B190" s="4" t="s">
        <v>416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2026-09-11T08:15:19Z</dcterms:created>
  <dc:creator>openpyxl</dc:creator>
  <dc:description/>
  <dc:language>en-US</dc:language>
  <cp:lastModifiedBy/>
  <dcterms:modified xsi:type="dcterms:W3CDTF">2026-09-11T08:15:19Z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