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Quote Calculator" sheetId="2" state="visible" r:id="rId4"/>
    <sheet name="Days of Credit" sheetId="3" state="visible" r:id="rId5"/>
    <sheet name="Break-evens" sheetId="4" state="visible" r:id="rId6"/>
    <sheet name="The Price of a Term" sheetId="5" state="visible" r:id="rId7"/>
    <sheet name="Case B" sheetId="6" state="visible" r:id="rId8"/>
    <sheet name="Sensitivities" sheetId="7" state="visible" r:id="rId9"/>
    <sheet name="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<sst xmlns="http://schemas.openxmlformats.org/spreadsheetml/2006/main" count="754" uniqueCount="539">
  <si>
    <t xml:space="preserve">Trade Finance -- Workbook 4 of 4</t>
  </si>
  <si>
    <t xml:space="preserve">What a Payment Term Costs: price the term before you concede it</t>
  </si>
  <si>
    <t xml:space="preserve">Julian R. Sterling. Companion files: julianrsterling.com/tradefinance</t>
  </si>
  <si>
    <t xml:space="preserve">What this workbook is for</t>
  </si>
  <si>
    <t xml:space="preserve">This is the one to open before a quotation goes out. The Quote Calculator sheet prices a</t>
  </si>
  <si>
    <t xml:space="preserve">payment term: type in your own order and it returns days to cash, financing, fees, expected</t>
  </si>
  <si>
    <t xml:space="preserve">loss, total cost, the margin left after finance, what one day of buyer credit costs, and the</t>
  </si>
  <si>
    <t xml:space="preserve">number of days of credit at which the margin reaches zero.</t>
  </si>
  <si>
    <t xml:space="preserve">The Quote Calculator is meant to be overtyped</t>
  </si>
  <si>
    <t xml:space="preserve">Every blue cell on that sheet is yours. It ships holding the book's own example -- Harrowgate</t>
  </si>
  <si>
    <t xml:space="preserve">Instruments shipping a 4,200,000 order of process instrumentation to Meridian Process Holdings</t>
  </si>
  <si>
    <t xml:space="preserve">-- so that the file opens showing a working example and the Checks sheet can prove the</t>
  </si>
  <si>
    <t xml:space="preserve">arithmetic reproduces the book before you change anything. As shipped, every other sheet</t>
  </si>
  <si>
    <t xml:space="preserve">therefore reproduces the book on Harrowgate's order: Chapters 12 to 16 in full.</t>
  </si>
  <si>
    <t xml:space="preserve">Overtype the blue cells with your own order and the rest of the workbook follows it instead,</t>
  </si>
  <si>
    <t xml:space="preserve">and the Checks sheet will then fail by design. That is the workbook working, not breaking.</t>
  </si>
  <si>
    <t xml:space="preserve">What is on the other sheets</t>
  </si>
  <si>
    <t xml:space="preserve">Days of Credit      the terms table, and the derivation of the cost of one day of credit</t>
  </si>
  <si>
    <t xml:space="preserve">Break-evens         the three break-evens, each solved in visible bisection rows</t>
  </si>
  <si>
    <t xml:space="preserve">The Price of a Term what each length of credit must earn back in price</t>
  </si>
  <si>
    <t xml:space="preserve">Case B              the order won at a higher price on longer terms, and what it cost</t>
  </si>
  <si>
    <t xml:space="preserve">Sensitivities       all seven one-input tables, and the inputs ranked by span</t>
  </si>
  <si>
    <t xml:space="preserve">Checks              every figure the book prints within this workbook's scope</t>
  </si>
  <si>
    <t xml:space="preserve">Conventions</t>
  </si>
  <si>
    <t xml:space="preserve">Blue text is an input. Change it and everything recomputes.</t>
  </si>
  <si>
    <t xml:space="preserve">A yellow fill marks an assumption that decides the answer rather than merely feeding it.</t>
  </si>
  <si>
    <t xml:space="preserve">Black text is a formula. Do not overtype it.</t>
  </si>
  <si>
    <t xml:space="preserve">Green text on the Checks sheet is a link to a computed cell.</t>
  </si>
  <si>
    <t xml:space="preserve">The arithmetic this workbook obeys</t>
  </si>
  <si>
    <t xml:space="preserve">Money is charged actual/360, which is what a trade facility actually charges. Probabilities are</t>
  </si>
  <si>
    <t xml:space="preserve">annualised on 365, as one less (one less the annual probability) raised to days over 365.</t>
  </si>
  <si>
    <t xml:space="preserve">The exporter's own facility funds its COST, not its price: financing runs on the cost of goods.</t>
  </si>
  <si>
    <t xml:space="preserve">A bank discount is computed on the FACE of the drawing and earned on the proceeds. It appears</t>
  </si>
  <si>
    <t xml:space="preserve">once, on its own line, and is never also folded into the fees beside it.</t>
  </si>
  <si>
    <t xml:space="preserve">The Checks sheet</t>
  </si>
  <si>
    <t xml:space="preserve">Every figure printed in the book within this workbook's scope appears there beside the figure</t>
  </si>
  <si>
    <t xml:space="preserve">this workbook computes, with the difference and PASS or FAIL. If a check reads FAIL on the</t>
  </si>
  <si>
    <t xml:space="preserve">workbook as shipped, the workbook is wrong, not the book.</t>
  </si>
  <si>
    <t xml:space="preserve">There are no macros, no external links, no protection and no circular references. The three</t>
  </si>
  <si>
    <t xml:space="preserve">break-evens are solved by bisection laid out in visible rows, so the reader can watch the</t>
  </si>
  <si>
    <t xml:space="preserve">bracket close rather than trust an iterative setting.</t>
  </si>
  <si>
    <t xml:space="preserve">The file behaves identically in Excel, LibreOffice and Google Sheets.</t>
  </si>
  <si>
    <t xml:space="preserve">Revised 24 September 2026</t>
  </si>
  <si>
    <t xml:space="preserve">Nothing in this workbook was wrong. Three things the book names and gets wrong or never computes are added:</t>
  </si>
  <si>
    <t xml:space="preserve">Break-evens, section 4: the contract value below which a confirmed credit costs more than the OPERATING margin, 135,281.</t>
  </si>
  <si>
    <t xml:space="preserve">The Price of a Term, columns N and O and rows 32 to 46: the premium a term still needs once the discount is for the</t>
  </si>
  <si>
    <t xml:space="preserve">applicant's account (27,481 at 120 days, not the 31,399 the book leaves "unpaid"), and what it is made of.</t>
  </si>
  <si>
    <t xml:space="preserve">Sensitivities, rows 106 to 119: the seven spans at any term in closed form. At sight the discount rate drops out</t>
  </si>
  <si>
    <t xml:space="preserve">and the cost of funds ranks first, not the discount rate as Chapter 15 says.</t>
  </si>
  <si>
    <t xml:space="preserve">The Checks sheet carries 219 checks: the original 194 and 25 for the additions.</t>
  </si>
  <si>
    <t xml:space="preserve">Quote Calculator -- what the term you are about to concede costs</t>
  </si>
  <si>
    <t xml:space="preserve">Overtype every blue cell with your own order. Everything else on this sheet is a formula.</t>
  </si>
  <si>
    <t xml:space="preserve">The blue cells arrive holding THE BOOK'S EXAMPLE: Harrowgate Instruments, a 4,200,000 order to Meridian Process Holdings. They are meant to be overtyped with your own order. Nothing here is specific to that order except the numbers in blue.</t>
  </si>
  <si>
    <t xml:space="preserve">Your order</t>
  </si>
  <si>
    <t xml:space="preserve">Contract value</t>
  </si>
  <si>
    <t xml:space="preserve">The price on the quotation</t>
  </si>
  <si>
    <t xml:space="preserve">Cost of goods sold, per cent of the price</t>
  </si>
  <si>
    <t xml:space="preserve">Your facility funds this, not the price</t>
  </si>
  <si>
    <t xml:space="preserve">Selling, general and administrative, per cent of the price</t>
  </si>
  <si>
    <t xml:space="preserve">A fixed charge sized on the list price, not a rate re-applied to the achieved price</t>
  </si>
  <si>
    <t xml:space="preserve">Your own cost of funds, a year</t>
  </si>
  <si>
    <t xml:space="preserve">Actual/360, like every rate on this sheet</t>
  </si>
  <si>
    <t xml:space="preserve">Production, order to ship-ready, days</t>
  </si>
  <si>
    <t xml:space="preserve">The clock starts here, not at the invoice</t>
  </si>
  <si>
    <t xml:space="preserve">Transit, port to port and inland, days</t>
  </si>
  <si>
    <t xml:space="preserve">Shipment to presentation of documents, days</t>
  </si>
  <si>
    <t xml:space="preserve">The term you are about to concede</t>
  </si>
  <si>
    <t xml:space="preserve">Days of buyer credit</t>
  </si>
  <si>
    <t xml:space="preserve">THE DECIDING ASSUMPTION. Everything below moves with this one cell. Type the term the buyer is asking for.</t>
  </si>
  <si>
    <t xml:space="preserve">The instrument: a confirmed usance credit, discounted without recourse</t>
  </si>
  <si>
    <t xml:space="preserve">Confirmation rate a year</t>
  </si>
  <si>
    <t xml:space="preserve">Charged on the price, from shipment to maturity</t>
  </si>
  <si>
    <t xml:space="preserve">Confirmation minimum</t>
  </si>
  <si>
    <t xml:space="preserve">Discount rate a year</t>
  </si>
  <si>
    <t xml:space="preserve">A BANK DISCOUNT on the face of the drawing, not a yield on the proceeds</t>
  </si>
  <si>
    <t xml:space="preserve">Advising fee, flat</t>
  </si>
  <si>
    <t xml:space="preserve">Document examination, per cent of the drawing</t>
  </si>
  <si>
    <t xml:space="preserve">Document examination minimum</t>
  </si>
  <si>
    <t xml:space="preserve">Couriers, legalisation and certificates</t>
  </si>
  <si>
    <t xml:space="preserve">Amendment fee, and there is always one</t>
  </si>
  <si>
    <t xml:space="preserve">Bank handling, examination to settlement, days</t>
  </si>
  <si>
    <t xml:space="preserve">The risk inputs</t>
  </si>
  <si>
    <t xml:space="preserve">First presentations refused on a discrepancy</t>
  </si>
  <si>
    <t xml:space="preserve">The industry's own figure sits well above half</t>
  </si>
  <si>
    <t xml:space="preserve">Of those refused, share the applicant waives</t>
  </si>
  <si>
    <t xml:space="preserve">Days lost per correction cycle</t>
  </si>
  <si>
    <t xml:space="preserve">Correction cycles expected on a refusal</t>
  </si>
  <si>
    <t xml:space="preserve">Buyer one-year probability of default</t>
  </si>
  <si>
    <t xml:space="preserve">Loss given default on an unsecured trade claim</t>
  </si>
  <si>
    <t xml:space="preserve">Extra days carried on an unwaived refusal</t>
  </si>
  <si>
    <t xml:space="preserve">A judgement, and it enters the DOCUMENT expected loss only</t>
  </si>
  <si>
    <t xml:space="preserve">Your order, before any finance cost</t>
  </si>
  <si>
    <t xml:space="preserve">Cost of goods sold</t>
  </si>
  <si>
    <t xml:space="preserve">Gross margin</t>
  </si>
  <si>
    <t xml:space="preserve">Selling, general and administrative</t>
  </si>
  <si>
    <t xml:space="preserve">OPERATING MARGIN BEFORE ANY FINANCE COST</t>
  </si>
  <si>
    <t xml:space="preserve">This is the number the term is spent out of. Finance is charged against the operating margin, not the gross.</t>
  </si>
  <si>
    <t xml:space="preserve">WHAT THE TERM COSTS</t>
  </si>
  <si>
    <t xml:space="preserve">Days added by discrepancies, probability-weighted</t>
  </si>
  <si>
    <t xml:space="preserve">Refusal rate times cycles times days per cycle</t>
  </si>
  <si>
    <t xml:space="preserve">DAYS TO CASH, from committing the first dollar of cost</t>
  </si>
  <si>
    <t xml:space="preserve">The discount pays on presentation, so the buyer's term does NOT sit in this figure</t>
  </si>
  <si>
    <t xml:space="preserve">Confirmed period, shipment to maturity, days</t>
  </si>
  <si>
    <t xml:space="preserve">Financing, charged on your COST, actual/360</t>
  </si>
  <si>
    <t xml:space="preserve">Cost of goods times your rate times days to cash over 360. The price is never financed.</t>
  </si>
  <si>
    <t xml:space="preserve">Confirmation fee</t>
  </si>
  <si>
    <t xml:space="preserve">Bank discount, computed on the FACE</t>
  </si>
  <si>
    <t xml:space="preserve">It appears on this line and nowhere else. It is not also inside the fees below.</t>
  </si>
  <si>
    <t xml:space="preserve">Other fees: advising, examination, couriers, amendment</t>
  </si>
  <si>
    <t xml:space="preserve">FEES AND DISCOUNT</t>
  </si>
  <si>
    <t xml:space="preserve">Expected loss, documents only</t>
  </si>
  <si>
    <t xml:space="preserve">Refused AND not waived, times the buyer's default probability over the term plus the unwaived tail, times loss given default</t>
  </si>
  <si>
    <t xml:space="preserve">TOTAL COST OF THIS TERM</t>
  </si>
  <si>
    <t xml:space="preserve">MARGIN AFTER FINANCE</t>
  </si>
  <si>
    <t xml:space="preserve">Operating margin less total cost. The identity the Checks sheet tests.</t>
  </si>
  <si>
    <t xml:space="preserve">Margin per cent of the price</t>
  </si>
  <si>
    <t xml:space="preserve">Total cost as a share of the operating margin</t>
  </si>
  <si>
    <t xml:space="preserve">Effective cost a year</t>
  </si>
  <si>
    <t xml:space="preserve">Total cost over the proceeds, annualised on days to cash, actual/360</t>
  </si>
  <si>
    <t xml:space="preserve">Proceeds of the discount</t>
  </si>
  <si>
    <t xml:space="preserve">Equivalent yield on the discount</t>
  </si>
  <si>
    <t xml:space="preserve">Above the quoted rate, always, and by more the longer the tenor: the discount is taken on the face and earned on the proceeds</t>
  </si>
  <si>
    <t xml:space="preserve">The cost of ONE day of buyer credit</t>
  </si>
  <si>
    <t xml:space="preserve">Total cost at sight, same order, same instrument</t>
  </si>
  <si>
    <t xml:space="preserve">The same order with no credit granted. Confirmation still runs over transit and document preparation.</t>
  </si>
  <si>
    <t xml:space="preserve">Total cost at the term above</t>
  </si>
  <si>
    <t xml:space="preserve">What your term costs over sight</t>
  </si>
  <si>
    <t xml:space="preserve">COST OF ONE DAY OF BUYER CREDIT</t>
  </si>
  <si>
    <t xml:space="preserve">The span over the days spanned, on the published (rounded) span, which is how the book derives it. On the book's own order, derived over the full published range of sight to 180 days rather than over your term, this is 1,031.76 a day: see the Days of Credit sheet.</t>
  </si>
  <si>
    <t xml:space="preserve">Cost of the NEXT day of credit</t>
  </si>
  <si>
    <t xml:space="preserve">Confirmation and discount are rates on a principal that does not change, so the line is very nearly straight</t>
  </si>
  <si>
    <t xml:space="preserve">The tenor at which this order stops paying</t>
  </si>
  <si>
    <t xml:space="preserve">ZERO-MARGIN TENOR, days of buyer credit</t>
  </si>
  <si>
    <t xml:space="preserve">The first whole day of credit on which the margin after finance is negative</t>
  </si>
  <si>
    <t xml:space="preserve">Margin after finance one day earlier</t>
  </si>
  <si>
    <t xml:space="preserve">Margin after finance at that tenor</t>
  </si>
  <si>
    <t xml:space="preserve">Positive above, negative at. That is the crossing, and it is visible rather than asserted.</t>
  </si>
  <si>
    <t xml:space="preserve">How that tenor was found: a bisection you can follow</t>
  </si>
  <si>
    <t xml:space="preserve">No circular reference and no iterative setting. The bracket starts at nought days and three thousand days and halves, keeping the margin non-negative on the left and negative on the right, until the two are one day apart.</t>
  </si>
  <si>
    <t xml:space="preserve">Step</t>
  </si>
  <si>
    <t xml:space="preserve">Lower, days</t>
  </si>
  <si>
    <t xml:space="preserve">Upper, days</t>
  </si>
  <si>
    <t xml:space="preserve">Midpoint, days</t>
  </si>
  <si>
    <t xml:space="preserve">Total cost at the midpoint</t>
  </si>
  <si>
    <t xml:space="preserve">Margin at the midpoint</t>
  </si>
  <si>
    <t xml:space="preserve">Bracket closed</t>
  </si>
  <si>
    <t xml:space="preserve">The upper bound is the answer: the first whole day on which the margin is negative</t>
  </si>
  <si>
    <t xml:space="preserve">Days of credit granted to the buyer</t>
  </si>
  <si>
    <t xml:space="preserve">One input moves: the term. The order, the instrument and the price stay where they are.</t>
  </si>
  <si>
    <t xml:space="preserve">Run on the confirmed usance credit, discounted without recourse, on the order held in the Quote Calculator. Days to cash does not move with the term, because the discount pays on presentation: what the term buys is the buyer's time, financed by the bank at a price.</t>
  </si>
  <si>
    <t xml:space="preserve">Days of credit</t>
  </si>
  <si>
    <t xml:space="preserve">Confirmed period, days</t>
  </si>
  <si>
    <t xml:space="preserve">Financing</t>
  </si>
  <si>
    <t xml:space="preserve">Bank discount</t>
  </si>
  <si>
    <t xml:space="preserve">Other fees</t>
  </si>
  <si>
    <t xml:space="preserve">Fees and discount</t>
  </si>
  <si>
    <t xml:space="preserve">Expected loss</t>
  </si>
  <si>
    <t xml:space="preserve">Total cost</t>
  </si>
  <si>
    <t xml:space="preserve">Margin after finance</t>
  </si>
  <si>
    <t xml:space="preserve">Margin per cent</t>
  </si>
  <si>
    <t xml:space="preserve">Days to cash</t>
  </si>
  <si>
    <t xml:space="preserve">The derivation of the per-day cost</t>
  </si>
  <si>
    <t xml:space="preserve">Total cost at the top of the published range</t>
  </si>
  <si>
    <t xml:space="preserve">Nought days of credit granted</t>
  </si>
  <si>
    <t xml:space="preserve">Total cost at the foot of the published range</t>
  </si>
  <si>
    <t xml:space="preserve">A hundred and eighty days</t>
  </si>
  <si>
    <t xml:space="preserve">Span of the table, on the unrounded totals</t>
  </si>
  <si>
    <t xml:space="preserve">This is the figure the book publishes as the span, rounded to the dollar</t>
  </si>
  <si>
    <t xml:space="preserve">Days spanned</t>
  </si>
  <si>
    <t xml:space="preserve">The published span over the days spanned. This is the figure to carry.</t>
  </si>
  <si>
    <t xml:space="preserve">The same figure on the unrounded span</t>
  </si>
  <si>
    <t xml:space="preserve">Two cents lower, because every total is rounded to the dollar before it is printed</t>
  </si>
  <si>
    <t xml:space="preserve">The same question asked of two adjacent rows, which is the wrong way to ask it</t>
  </si>
  <si>
    <t xml:space="preserve">A hundred and twenty days to a hundred and eighty, a day</t>
  </si>
  <si>
    <t xml:space="preserve">Ninety days to a hundred and twenty, a day</t>
  </si>
  <si>
    <t xml:space="preserve">Two notes the book insists on carrying with this figure.</t>
  </si>
  <si>
    <t xml:space="preserve">FIRST. The span is computed on the UNROUNDED totals and then printed. Subtracting the two rounded figures as they appear in the</t>
  </si>
  <si>
    <t xml:space="preserve">book can differ from it by one dollar, and dividing that difference by a hundred and eighty carries the rounding into the answer.</t>
  </si>
  <si>
    <t xml:space="preserve">Row 19 above holds the unrounded span; row 21 divides the published span, which is how the book derives the figure it prints.</t>
  </si>
  <si>
    <t xml:space="preserve">SECOND. Take the widest span rather than one interval inside it. The two adjacent-interval figures in rows 25 and 26 answer the</t>
  </si>
  <si>
    <t xml:space="preserve">same question to within a few cents and neither is the figure to carry. The line is straight because confirmation and the discount</t>
  </si>
  <si>
    <t xml:space="preserve">are rates on a principal that does not change and neither compounds, so a day of credit costs the same whether it is the thirty-first</t>
  </si>
  <si>
    <t xml:space="preserve">day or the hundred and seventy-ninth. Carry the figure derived over the full published range, and carry no other.</t>
  </si>
  <si>
    <t xml:space="preserve">The three break-evens, each solved where you can watch it</t>
  </si>
  <si>
    <t xml:space="preserve">No circular reference and no iterative setting. Each answer is a bracket that halves until it closes.</t>
  </si>
  <si>
    <t xml:space="preserve">1. Days of buyer credit at which the margin after finance reaches zero -- confirmed discounted credit</t>
  </si>
  <si>
    <t xml:space="preserve">The order, the instrument and the price are held where the Quote Calculator has them. Only the term moves. The margin falls as the term lengthens, so the answer is the first whole day on which it is negative.</t>
  </si>
  <si>
    <t xml:space="preserve">Margin after finance at the midpoint</t>
  </si>
  <si>
    <t xml:space="preserve">The answer, and the crossing either side of it</t>
  </si>
  <si>
    <t xml:space="preserve">BREAK-EVEN TENOR, confirmed discounted credit, days</t>
  </si>
  <si>
    <t xml:space="preserve">Margin after finance at the break-even tenor</t>
  </si>
  <si>
    <t xml:space="preserve">Positive above, negative at. On the book's order that is 192 days: an exporter competing against a rival offering a hundred and eighty days is operating twelve days from the edge and has no idea, because the edge has never been located.</t>
  </si>
  <si>
    <t xml:space="preserve">2. The same figure on open account</t>
  </si>
  <si>
    <t xml:space="preserve">No bank, no fee, no discount. The exporter finances only its own cost, and keeps the whole of the buyer risk. Days to cash moves with the term here, because nobody has paid early.</t>
  </si>
  <si>
    <t xml:space="preserve">BREAK-EVEN TENOR, open account, days</t>
  </si>
  <si>
    <t xml:space="preserve">Days between the two routes</t>
  </si>
  <si>
    <t xml:space="preserve">Open account reaches zero later because it starts cheaper at these terms and finances the smaller base -- a cost of 3,423,000 rather than a price of 4,200,000 -- not because it is the safer place to be. It also accumulates faster once the risk it keeps is counted.</t>
  </si>
  <si>
    <t xml:space="preserve">3. The contract value below which a confirmed credit costs more than the GROSS margin</t>
  </si>
  <si>
    <t xml:space="preserve">Fixed fees do not scale. Advising, examination, couriers, amendment and the confirmation minimum are the same money on a small order as on a large one, so below some size the instrument eats the order.</t>
  </si>
  <si>
    <t xml:space="preserve">Terms on which this break-even is solved, days</t>
  </si>
  <si>
    <t xml:space="preserve">The book solves it on the term it treats as routine</t>
  </si>
  <si>
    <t xml:space="preserve">Lower, contract value</t>
  </si>
  <si>
    <t xml:space="preserve">Upper, contract value</t>
  </si>
  <si>
    <t xml:space="preserve">Midpoint</t>
  </si>
  <si>
    <t xml:space="preserve">Cost less gross margin</t>
  </si>
  <si>
    <t xml:space="preserve">BREAK-EVEN CONTRACT VALUE, on the gross margin</t>
  </si>
  <si>
    <t xml:space="preserve">Total cost at that value</t>
  </si>
  <si>
    <t xml:space="preserve">Gross margin at that value</t>
  </si>
  <si>
    <t xml:space="preserve">The same answer in closed form</t>
  </si>
  <si>
    <t xml:space="preserve">Holds only while both minimums bind, which is the whole reason the break-even exists</t>
  </si>
  <si>
    <t xml:space="preserve">TWO WARNINGS THIS FIGURE MUST CARRY.</t>
  </si>
  <si>
    <t xml:space="preserve">FIRST, IT IS A GROSS-MARGIN THRESHOLD. It is the contract value at which the confirmed credit's total cost equals the whole GROSS</t>
  </si>
  <si>
    <t xml:space="preserve">margin -- price less cost of goods, with nothing allowed for selling, general and administrative. That is not the test this book</t>
  </si>
  <si>
    <t xml:space="preserve">argues for anywhere else. The book's own rule is that finance is charged against the OPERATING margin, and on this order the</t>
  </si>
  <si>
    <t xml:space="preserve">operating margin is 306,600 against a gross margin of 777,000.</t>
  </si>
  <si>
    <t xml:space="preserve">SECOND, THE OPERATING-MARGIN THRESHOLD IS LARGER. The book does not compute it; section 4 below does (added</t>
  </si>
  <si>
    <t xml:space="preserve">24 September 2026). Because the operating margin is the smaller number, the contract value at which the instrument</t>
  </si>
  <si>
    <t xml:space="preserve">eats it is the bigger one. So the figure above is a floor on the answer, and section 4 is the answer itself.</t>
  </si>
  <si>
    <t xml:space="preserve">Treat it as the point below which the instrument is indefensible, not as the point above which it is defensible.</t>
  </si>
  <si>
    <t xml:space="preserve">4. The contract value below which a confirmed credit costs more than the OPERATING margin</t>
  </si>
  <si>
    <t xml:space="preserve">Added 24 September 2026. The same bisection as section 3, tested against the operating margin, which is what Chapter 1 says a finance cost must be set against.</t>
  </si>
  <si>
    <t xml:space="preserve">Cost less operating margin</t>
  </si>
  <si>
    <t xml:space="preserve">BREAK-EVEN CONTRACT VALUE, on the operating margin</t>
  </si>
  <si>
    <t xml:space="preserve">Operating margin at that value</t>
  </si>
  <si>
    <t xml:space="preserve">Holds while every minimum binds, as it does at this size</t>
  </si>
  <si>
    <t xml:space="preserve">As a multiple of the gross-margin threshold of section 3</t>
  </si>
  <si>
    <t xml:space="preserve">Between the two thresholds lies the band Chapter 12 calls unquantified: an order in it covers its credit out of the gross margin and still hands</t>
  </si>
  <si>
    <t xml:space="preserve">the whole of its operating margin, and more, to the instrument. On this order's structure the band runs from about 26,500 to about 135,300.</t>
  </si>
  <si>
    <t xml:space="preserve">What a payment term is worth in price</t>
  </si>
  <si>
    <t xml:space="preserve">The price increase that exactly pays for granting the credit, measured against selling the same order at sight.</t>
  </si>
  <si>
    <t xml:space="preserve">Below this premium the order is sold at a higher price and delivers less money. The premium is a FLOOR and not an ask: charging exactly the break-even leaves the exporter where it would have been at sight, having taken the extra days of country risk, buyer risk and occupancy of a facility that will not stretch forever. Indifference in money is not indifference in risk.</t>
  </si>
  <si>
    <t xml:space="preserve">The two quantities the solved premium is built from</t>
  </si>
  <si>
    <t xml:space="preserve">Margin after finance at sight, at the list price</t>
  </si>
  <si>
    <t xml:space="preserve">The target the premium has to restore</t>
  </si>
  <si>
    <t xml:space="preserve">Money that must be recovered, whatever the term</t>
  </si>
  <si>
    <t xml:space="preserve">Cost of goods, selling cost, financing, the flat fees, and the sight margin. Everything else scales with the price.</t>
  </si>
  <si>
    <t xml:space="preserve">The premium each term must carry</t>
  </si>
  <si>
    <t xml:space="preserve">Cost at list price</t>
  </si>
  <si>
    <t xml:space="preserve">Margin at list price</t>
  </si>
  <si>
    <t xml:space="preserve">Cost rate on the price</t>
  </si>
  <si>
    <t xml:space="preserve">Break-even premium</t>
  </si>
  <si>
    <t xml:space="preserve">In money</t>
  </si>
  <si>
    <t xml:space="preserve">With the discount for the applicant's account: premium</t>
  </si>
  <si>
    <t xml:space="preserve">HOW THE PREMIUM IS SOLVED, AND WHY IT NEEDS NO ITERATION.</t>
  </si>
  <si>
    <t xml:space="preserve">Raising the price raises the confirmation fee, the discount, the examination fee and the expected loss, because every one of them is a</t>
  </si>
  <si>
    <t xml:space="preserve">rate on the price. It does not raise the cost of goods, the selling cost, the financing or the flat fees, because none of those is. So</t>
  </si>
  <si>
    <t xml:space="preserve">the cost of a term is a fixed lump plus a RATE ON THE PRICE, column K above, and the break-even premium falls out in closed form:</t>
  </si>
  <si>
    <t xml:space="preserve">the money that must be recovered, divided by the contract value times one less that rate, less one. Column L is that formula and</t>
  </si>
  <si>
    <t xml:space="preserve">nothing else. It holds while the examination fee and the confirmation fee are both above their minimums, which on any order of this</t>
  </si>
  <si>
    <t xml:space="preserve">size they are; on a small order solve it the way the Break-evens sheet solves a contract value, with a bracket.</t>
  </si>
  <si>
    <t xml:space="preserve">The last two rows are printed because the book prints them. At two hundred and seventy days and at three hundred and sixty the margin</t>
  </si>
  <si>
    <t xml:space="preserve">at list price is already negative, so the premium is no longer a price increase that pays for a term: it is the price increase that</t>
  </si>
  <si>
    <t xml:space="preserve">would be needed to undo one. Read those rows as a measure of the damage, not as a quotation strategy.</t>
  </si>
  <si>
    <t xml:space="preserve">The line in the credit, at a hundred and twenty days: what the premium is made of (added 24 September 2026)</t>
  </si>
  <si>
    <t xml:space="preserve">Break-even premium at 120 days, in money</t>
  </si>
  <si>
    <t xml:space="preserve">The discount the line sends to the applicant</t>
  </si>
  <si>
    <t xml:space="preserve">Premium less that discount (the book's 31,399)</t>
  </si>
  <si>
    <t xml:space="preserve">PREMIUM STILL NEEDED WITH THE LINE IN THE CREDIT</t>
  </si>
  <si>
    <t xml:space="preserve">  of which: the longer confirmed period</t>
  </si>
  <si>
    <t xml:space="preserve">  of which: the added expected loss</t>
  </si>
  <si>
    <t xml:space="preserve">  of which: confirmation, examination and loss charged on the premium itself</t>
  </si>
  <si>
    <t xml:space="preserve">  of which: the exporter's financing of production and transit</t>
  </si>
  <si>
    <t xml:space="preserve">Premium less the discount, less the premium still needed</t>
  </si>
  <si>
    <t xml:space="preserve">Chapter 13 says the 31,399 left once the discount moves is "the confirmation, the fees and the exporter's own financing of production and transit".</t>
  </si>
  <si>
    <t xml:space="preserve">The financing is identical at sight and at any term (row 40), so it sits in the baseline and never in a premium. What the term still needs is</t>
  </si>
  <si>
    <t xml:space="preserve">row 36: the longer confirmation and the added loss, plus the small charge the premium carries on itself. Row 41 is the discount the premium</t>
  </si>
  <si>
    <t xml:space="preserve">no longer has to carry on its own back, which is why subtracting the discount from the full premium overstates what is left.</t>
  </si>
  <si>
    <t xml:space="preserve">Case B -- the order won at a higher price on longer terms</t>
  </si>
  <si>
    <t xml:space="preserve">The same goods, the same instrument, the same buyer. The sales team extracted a price premium for the term. Was it enough?</t>
  </si>
  <si>
    <t xml:space="preserve">What was negotiated</t>
  </si>
  <si>
    <t xml:space="preserve">Price premium the buyer paid for the longer terms</t>
  </si>
  <si>
    <t xml:space="preserve">THE DECIDING ASSUMPTION. What the sales team actually extracted.</t>
  </si>
  <si>
    <t xml:space="preserve">Days of buyer credit conceded</t>
  </si>
  <si>
    <t xml:space="preserve">Days of buyer credit in the sight case</t>
  </si>
  <si>
    <t xml:space="preserve">At sight, list price</t>
  </si>
  <si>
    <t xml:space="preserve">At the longer term, with the premium</t>
  </si>
  <si>
    <t xml:space="preserve">Difference</t>
  </si>
  <si>
    <t xml:space="preserve">The order, both ways</t>
  </si>
  <si>
    <t xml:space="preserve">Price premium, in money</t>
  </si>
  <si>
    <t xml:space="preserve">IDENTICAL. A price premium carries no additional cost of goods: the same instruments leave the same factory.</t>
  </si>
  <si>
    <t xml:space="preserve">IDENTICAL. The allocation is a fixed charge sized on the list price, not a rate re-applied to the achieved price.</t>
  </si>
  <si>
    <t xml:space="preserve">So the whole of the premium reaches the operating margin: 306,600 plus 63,000 is 369,600.</t>
  </si>
  <si>
    <t xml:space="preserve">What each version costs to finance</t>
  </si>
  <si>
    <t xml:space="preserve">IDENTICAL, and that is the trap. The discount pays on presentation either way, so days sales outstanding does not move while the margin is destroyed.</t>
  </si>
  <si>
    <t xml:space="preserve">Financing, on the cost of goods</t>
  </si>
  <si>
    <t xml:space="preserve">Bank discount, on the face</t>
  </si>
  <si>
    <t xml:space="preserve">TOTAL COST</t>
  </si>
  <si>
    <t xml:space="preserve">What the term actually cost</t>
  </si>
  <si>
    <t xml:space="preserve">Extra cost of the longer term</t>
  </si>
  <si>
    <t xml:space="preserve">Against a price premium of what the buyer paid</t>
  </si>
  <si>
    <t xml:space="preserve">Price premium taken</t>
  </si>
  <si>
    <t xml:space="preserve">MARGIN DESTROYED BY THE TERMS</t>
  </si>
  <si>
    <t xml:space="preserve">The premium bought back less than half of what the term cost</t>
  </si>
  <si>
    <t xml:space="preserve">Share of the sight margin that survives</t>
  </si>
  <si>
    <t xml:space="preserve">Premium the term actually needed</t>
  </si>
  <si>
    <t xml:space="preserve">Solved on The Price of a Term sheet, at the same tenor</t>
  </si>
  <si>
    <t xml:space="preserve">Premium negotiated</t>
  </si>
  <si>
    <t xml:space="preserve">SHORTFALL IN THE PREMIUM, percentage points</t>
  </si>
  <si>
    <t xml:space="preserve">A hundred and eighty days and 4.64 per cent are one concession wearing two labels, and only one of them reached a manager</t>
  </si>
  <si>
    <t xml:space="preserve">The identity, both ways</t>
  </si>
  <si>
    <t xml:space="preserve">Operating margin less total cost</t>
  </si>
  <si>
    <t xml:space="preserve">Margin after finance as computed above</t>
  </si>
  <si>
    <t xml:space="preserve">WHY THE OPERATING MARGIN IN THE PREMIUM CASE IS 369,600 AND NOT A RE-APPLIED PERCENTAGE.</t>
  </si>
  <si>
    <t xml:space="preserve">The cost of goods is a quantity of instruments, not a percentage: raising the price by 63,000 does not make them cost more to build.</t>
  </si>
  <si>
    <t xml:space="preserve">The selling, general and administrative allocation is a fixed charge sized on the list price -- the commission, the trip, the agent, the</t>
  </si>
  <si>
    <t xml:space="preserve">engineering support -- and not a rate re-applied to whatever price was finally achieved. So both stay at 3,423,000 and 470,400, and the</t>
  </si>
  <si>
    <t xml:space="preserve">operating margin is 306,600 plus the whole 63,000, being 369,600. Re-applying 11.2 per cent to the higher price instead would charge</t>
  </si>
  <si>
    <t xml:space="preserve">the order an extra selling cost it never incurred and would flatter the term by understating what it destroyed.</t>
  </si>
  <si>
    <t xml:space="preserve">The cash measures do not move. Days to cash is the same figure on both columns, and so is the working capital consumed and the date the</t>
  </si>
  <si>
    <t xml:space="preserve">receivable clears the aging, while the margin falls by 125,704. An exporter whose terms policy is enforced through a days-sales-outstanding</t>
  </si>
  <si>
    <t xml:space="preserve">target has no enforcement at all on any order settled this way, and the orders settled this way are the large ones.</t>
  </si>
  <si>
    <t xml:space="preserve">Sensitivities -- one input at a time</t>
  </si>
  <si>
    <t xml:space="preserve">Each table moves ONE input and leaves the order, the instrument and the terms where they are.</t>
  </si>
  <si>
    <t xml:space="preserve">A table that re-priced the order as the input moved would not be a stress test, it would be a re-pricing, and the margin would never break. The re-priced case is Case B, and it lives on its own sheet for that reason.</t>
  </si>
  <si>
    <t xml:space="preserve">Terms every table below is run on, days</t>
  </si>
  <si>
    <t xml:space="preserve">1. Days of credit granted to the buyer</t>
  </si>
  <si>
    <t xml:space="preserve">Computed in full on the Days of Credit sheet; linked here so the ranking below is live.</t>
  </si>
  <si>
    <t xml:space="preserve">Input</t>
  </si>
  <si>
    <t xml:space="preserve">Span of this table</t>
  </si>
  <si>
    <t xml:space="preserve">2. Discrepancy rate on first presentation</t>
  </si>
  <si>
    <t xml:space="preserve">The rate moves twice: it lengthens days to cash through the correction cycle, and it raises the share of presentations refused AND not waived, which is the whole of the expected loss on this route.</t>
  </si>
  <si>
    <t xml:space="preserve">3. Exporter's own cost of funds</t>
  </si>
  <si>
    <t xml:space="preserve">4. Confirmation rate a year</t>
  </si>
  <si>
    <t xml:space="preserve">HOW TO READ THE TOP ROW. At a rate of nothing the minimum still applies, and the expected loss on the row stays at the documents-only level. The credit is STILL CONFIRMED in that row: what has gone is the fee above the floor, not the protection. The row does not price an unconfirmed credit and must never be described as removing the confirmation.</t>
  </si>
  <si>
    <t xml:space="preserve">5. Discount rate a year</t>
  </si>
  <si>
    <t xml:space="preserve">6. Gross margin on the order</t>
  </si>
  <si>
    <t xml:space="preserve">The selling, general and administrative charge stays at its own percentage of the price while the gross margin moves, so the operating margin moves by the full change. That is why two of these rows are losses.</t>
  </si>
  <si>
    <t xml:space="preserve">7. Days of production before shipment</t>
  </si>
  <si>
    <t xml:space="preserve">The one input in this list that costs money before a bank is involved at all, and the one nobody costs.</t>
  </si>
  <si>
    <t xml:space="preserve">The seven inputs ranked by span</t>
  </si>
  <si>
    <t xml:space="preserve">Span</t>
  </si>
  <si>
    <t xml:space="preserve">Rank</t>
  </si>
  <si>
    <t xml:space="preserve">Does the exporter control it before quoting?</t>
  </si>
  <si>
    <t xml:space="preserve">Entirely. It is a line in the quotation.</t>
  </si>
  <si>
    <t xml:space="preserve">Partly, by choosing the bank and the tenor.</t>
  </si>
  <si>
    <t xml:space="preserve">Exporter's own cost of funds</t>
  </si>
  <si>
    <t xml:space="preserve">Slowly, and not on this order.</t>
  </si>
  <si>
    <t xml:space="preserve">Partly, by choosing the confirming bank and the country.</t>
  </si>
  <si>
    <t xml:space="preserve">Days of production before shipment</t>
  </si>
  <si>
    <t xml:space="preserve">Yes, and it is the one nobody costs.</t>
  </si>
  <si>
    <t xml:space="preserve">Gross margin on the order</t>
  </si>
  <si>
    <t xml:space="preserve">It is the price, so yes, and that is the point.</t>
  </si>
  <si>
    <t xml:space="preserve">Discrepancy rate on first presentation</t>
  </si>
  <si>
    <t xml:space="preserve">Largely. It is a function of how the documents are prepared.</t>
  </si>
  <si>
    <t xml:space="preserve">What no table here stresses, and it is a gap</t>
  </si>
  <si>
    <t xml:space="preserve">FIVE JUDGEMENT INPUTS CARRY REAL WEIGHT IN THE BOOK AND NO SENSITIVITY TABLE MOVES ANY OF THEM. They are named here because a model</t>
  </si>
  <si>
    <t xml:space="preserve">that hides its unstressed assumptions is worse than one that admits them.</t>
  </si>
  <si>
    <t xml:space="preserve">  1.  Refusal to take up documents under documents against payment, as a multiple of the buyer's default probability: 1.45.</t>
  </si>
  <si>
    <t xml:space="preserve">  2.  Loss on a refused consignment sold under duress in the wrong market: 29.0 per cent of contract value.</t>
  </si>
  <si>
    <t xml:space="preserve">  3.  Expected loss on documents against acceptance as a share of the corresponding open-account loss: 90.0 per cent.</t>
  </si>
  <si>
    <t xml:space="preserve">  4.  Dilution on a purchased receivable: a dispute rate of 2.25 per cent at a loss of 34.0 per cent of contract value.</t>
  </si>
  <si>
    <t xml:space="preserve">  5.  Extra days of buyer exposure carried on a refused presentation the applicant does not waive: 60 days.</t>
  </si>
  <si>
    <t xml:space="preserve">All five are judgements rather than measurements. The first four govern routes this workbook does not price -- collections and</t>
  </si>
  <si>
    <t xml:space="preserve">receivables purchase -- and so do not move a figure on any sheet here. The fifth does: the 60 days sits in the Quote Calculator and</t>
  </si>
  <si>
    <t xml:space="preserve">feeds every expected loss on this workbook.</t>
  </si>
  <si>
    <t xml:space="preserve">AND NOTE WHERE THE 60 DAYS ENTERS. It is added to the buyer's payment period inside the DOCUMENT expected loss only -- the branch where</t>
  </si>
  <si>
    <t xml:space="preserve">the presentation is refused and the applicant does not waive, so the credit is gone and the claim reverts to an open-account claim on a</t>
  </si>
  <si>
    <t xml:space="preserve">buyer who has already declined to help. It is NOT added to the bank-and-country figure, which is measured over the exposure period of</t>
  </si>
  <si>
    <t xml:space="preserve">the credit itself and is unaffected by how long an argument about documents takes. On a confirmed credit the bank-and-country leg has</t>
  </si>
  <si>
    <t xml:space="preserve">been sold to the confirming bank in any case, which is why the expected loss on every row of this workbook is documents-only.</t>
  </si>
  <si>
    <t xml:space="preserve">The same spans at another term, in closed form (added 24 September 2026)</t>
  </si>
  <si>
    <t xml:space="preserve">Term, days (0 = sight, where Chapter 15 says the discount rate "takes first place by default")</t>
  </si>
  <si>
    <t xml:space="preserve">Each span below is the difference between the dearest and the cheapest row of its table, written as one line. Column G runs the same line at the term in F5, and column H must read zero.</t>
  </si>
  <si>
    <t xml:space="preserve">Span at the term in F107</t>
  </si>
  <si>
    <t xml:space="preserve">At the term in F5</t>
  </si>
  <si>
    <t xml:space="preserve">Against the table</t>
  </si>
  <si>
    <t xml:space="preserve">Rank at F107</t>
  </si>
  <si>
    <t xml:space="preserve">First at the term in F107</t>
  </si>
  <si>
    <t xml:space="preserve">At sight the discount rate drops out altogether, because nothing is discounted: its span is nought. The exporter's own cost of funds takes first place,</t>
  </si>
  <si>
    <t xml:space="preserve">then the days of production, both of which finance the whole pipeline whatever the term. The book's sentence has it the wrong way round.</t>
  </si>
  <si>
    <t xml:space="preserve">Checks</t>
  </si>
  <si>
    <t xml:space="preserve">Every figure the book prints within this workbook's scope, beside the figure this workbook computes.</t>
  </si>
  <si>
    <t xml:space="preserve">Computed values are rounded to the precision the book prints. A FAIL means the workbook is wrong, not the book.</t>
  </si>
  <si>
    <t xml:space="preserve">If you have overtyped the Quote Calculator with your own order, these will fail. That is the workbook working, not breaking.</t>
  </si>
  <si>
    <t xml:space="preserve">Figure</t>
  </si>
  <si>
    <t xml:space="preserve">As printed</t>
  </si>
  <si>
    <t xml:space="preserve">Computed</t>
  </si>
  <si>
    <t xml:space="preserve">Verdict</t>
  </si>
  <si>
    <t xml:space="preserve">The order, as the Quote Calculator ships</t>
  </si>
  <si>
    <t xml:space="preserve">Operating margin before any finance cost</t>
  </si>
  <si>
    <t xml:space="preserve">Gross margin, per cent of the price</t>
  </si>
  <si>
    <t xml:space="preserve">Operating margin, per cent of the price</t>
  </si>
  <si>
    <t xml:space="preserve">The confirmed discounted credit at 120 days</t>
  </si>
  <si>
    <t xml:space="preserve">Days added by discrepancies</t>
  </si>
  <si>
    <t xml:space="preserve">IDENTITY: margin after finance equals 306,600 less total cost</t>
  </si>
  <si>
    <t xml:space="preserve">Zero-margin tenor from the Quote Calculator, days</t>
  </si>
  <si>
    <t xml:space="preserve">A bank discount is not a yield, at 120 days</t>
  </si>
  <si>
    <t xml:space="preserve">Discount taken on the face</t>
  </si>
  <si>
    <t xml:space="preserve">Equivalent yield</t>
  </si>
  <si>
    <t xml:space="preserve">What confirmation is worth, on 90-day terms</t>
  </si>
  <si>
    <t xml:space="preserve">Confirmation fee at 1.85 per cent a year</t>
  </si>
  <si>
    <t xml:space="preserve">Days of credit: total cost</t>
  </si>
  <si>
    <t xml:space="preserve">0 days</t>
  </si>
  <si>
    <t xml:space="preserve">30 days</t>
  </si>
  <si>
    <t xml:space="preserve">60 days</t>
  </si>
  <si>
    <t xml:space="preserve">90 days</t>
  </si>
  <si>
    <t xml:space="preserve">108 days</t>
  </si>
  <si>
    <t xml:space="preserve">120 days</t>
  </si>
  <si>
    <t xml:space="preserve">180 days</t>
  </si>
  <si>
    <t xml:space="preserve">Days of credit: margin after finance</t>
  </si>
  <si>
    <t xml:space="preserve">Days of credit: margin per cent</t>
  </si>
  <si>
    <t xml:space="preserve">Days of credit: days to cash</t>
  </si>
  <si>
    <t xml:space="preserve">Days of credit: effective cost a year</t>
  </si>
  <si>
    <t xml:space="preserve">Days of credit: the per-day cost</t>
  </si>
  <si>
    <t xml:space="preserve">Span of the table, sight to 180 days</t>
  </si>
  <si>
    <t xml:space="preserve">Cost of one day of buyer credit</t>
  </si>
  <si>
    <t xml:space="preserve">The first thirty days</t>
  </si>
  <si>
    <t xml:space="preserve">A hundred and twenty to a hundred and eighty, a day</t>
  </si>
  <si>
    <t xml:space="preserve">Ninety to a hundred and twenty, a day</t>
  </si>
  <si>
    <t xml:space="preserve">The break-evens</t>
  </si>
  <si>
    <t xml:space="preserve">Days of credit at which margin reaches zero, confirmed credit</t>
  </si>
  <si>
    <t xml:space="preserve">The same figure on open account</t>
  </si>
  <si>
    <t xml:space="preserve">Contract value below which the credit costs more than the gross margin</t>
  </si>
  <si>
    <t xml:space="preserve">The same value in closed form</t>
  </si>
  <si>
    <t xml:space="preserve">The price of a term: break-even premium</t>
  </si>
  <si>
    <t xml:space="preserve">270 days</t>
  </si>
  <si>
    <t xml:space="preserve">360 days</t>
  </si>
  <si>
    <t xml:space="preserve">The price of a term: in money</t>
  </si>
  <si>
    <t xml:space="preserve">The price of a term: cost at list price</t>
  </si>
  <si>
    <t xml:space="preserve">The price of a term: margin at list price</t>
  </si>
  <si>
    <t xml:space="preserve">The price of a term: margin per cent</t>
  </si>
  <si>
    <t xml:space="preserve">Case B</t>
  </si>
  <si>
    <t xml:space="preserve">Contract value at sight</t>
  </si>
  <si>
    <t xml:space="preserve">Contract value at 180 days</t>
  </si>
  <si>
    <t xml:space="preserve">Operating margin at sight</t>
  </si>
  <si>
    <t xml:space="preserve">Operating margin with the premium</t>
  </si>
  <si>
    <t xml:space="preserve">Cost of finance at sight</t>
  </si>
  <si>
    <t xml:space="preserve">Cost of finance at 180 days</t>
  </si>
  <si>
    <t xml:space="preserve">Extra cost of the 180 days</t>
  </si>
  <si>
    <t xml:space="preserve">Margin after finance at sight</t>
  </si>
  <si>
    <t xml:space="preserve">Margin after finance at 180 days</t>
  </si>
  <si>
    <t xml:space="preserve">Margin per cent at sight</t>
  </si>
  <si>
    <t xml:space="preserve">Margin per cent at 180 days</t>
  </si>
  <si>
    <t xml:space="preserve">Margin destroyed by the terms</t>
  </si>
  <si>
    <t xml:space="preserve">Premium the 180 days actually needed</t>
  </si>
  <si>
    <t xml:space="preserve">Shortfall in the premium, percentage points</t>
  </si>
  <si>
    <t xml:space="preserve">Days to cash at sight</t>
  </si>
  <si>
    <t xml:space="preserve">Days to cash at 180 days</t>
  </si>
  <si>
    <t xml:space="preserve">IDENTITY: margin equals 306,600 less total cost, at sight</t>
  </si>
  <si>
    <t xml:space="preserve">IDENTITY: margin equals 369,600 less total cost, at 180 days</t>
  </si>
  <si>
    <t xml:space="preserve">Sensitivity: Discrepancy rate on first presentation</t>
  </si>
  <si>
    <t xml:space="preserve">0 per cent -- total cost</t>
  </si>
  <si>
    <t xml:space="preserve">30 per cent -- total cost</t>
  </si>
  <si>
    <t xml:space="preserve">50 per cent -- total cost</t>
  </si>
  <si>
    <t xml:space="preserve">62 per cent -- total cost</t>
  </si>
  <si>
    <t xml:space="preserve">80 per cent -- total cost</t>
  </si>
  <si>
    <t xml:space="preserve">0 per cent -- margin after finance</t>
  </si>
  <si>
    <t xml:space="preserve">30 per cent -- margin after finance</t>
  </si>
  <si>
    <t xml:space="preserve">50 per cent -- margin after finance</t>
  </si>
  <si>
    <t xml:space="preserve">62 per cent -- margin after finance</t>
  </si>
  <si>
    <t xml:space="preserve">80 per cent -- margin after finance</t>
  </si>
  <si>
    <t xml:space="preserve">Sensitivity: Exporter's own cost of funds</t>
  </si>
  <si>
    <t xml:space="preserve">4.5 per cent -- total cost</t>
  </si>
  <si>
    <t xml:space="preserve">6.5 per cent -- total cost</t>
  </si>
  <si>
    <t xml:space="preserve">8.4 per cent -- total cost</t>
  </si>
  <si>
    <t xml:space="preserve">10.5 per cent -- total cost</t>
  </si>
  <si>
    <t xml:space="preserve">13.0 per cent -- total cost</t>
  </si>
  <si>
    <t xml:space="preserve">4.5 per cent -- margin after finance</t>
  </si>
  <si>
    <t xml:space="preserve">6.5 per cent -- margin after finance</t>
  </si>
  <si>
    <t xml:space="preserve">8.4 per cent -- margin after finance</t>
  </si>
  <si>
    <t xml:space="preserve">10.5 per cent -- margin after finance</t>
  </si>
  <si>
    <t xml:space="preserve">13.0 per cent -- margin after finance</t>
  </si>
  <si>
    <t xml:space="preserve">Sensitivity: Confirmation rate a year</t>
  </si>
  <si>
    <t xml:space="preserve">0.00 per cent -- total cost</t>
  </si>
  <si>
    <t xml:space="preserve">1.00 per cent -- total cost</t>
  </si>
  <si>
    <t xml:space="preserve">1.85 per cent -- total cost</t>
  </si>
  <si>
    <t xml:space="preserve">3.00 per cent -- total cost</t>
  </si>
  <si>
    <t xml:space="preserve">4.50 per cent -- total cost</t>
  </si>
  <si>
    <t xml:space="preserve">0.00 per cent -- margin after finance</t>
  </si>
  <si>
    <t xml:space="preserve">1.00 per cent -- margin after finance</t>
  </si>
  <si>
    <t xml:space="preserve">1.85 per cent -- margin after finance</t>
  </si>
  <si>
    <t xml:space="preserve">3.00 per cent -- margin after finance</t>
  </si>
  <si>
    <t xml:space="preserve">4.50 per cent -- margin after finance</t>
  </si>
  <si>
    <t xml:space="preserve">Sensitivity: Discount rate a year</t>
  </si>
  <si>
    <t xml:space="preserve">4.00 per cent -- total cost</t>
  </si>
  <si>
    <t xml:space="preserve">5.50 per cent -- total cost</t>
  </si>
  <si>
    <t xml:space="preserve">6.90 per cent -- total cost</t>
  </si>
  <si>
    <t xml:space="preserve">9.00 per cent -- total cost</t>
  </si>
  <si>
    <t xml:space="preserve">12.00 per cent -- total cost</t>
  </si>
  <si>
    <t xml:space="preserve">4.00 per cent -- margin after finance</t>
  </si>
  <si>
    <t xml:space="preserve">5.50 per cent -- margin after finance</t>
  </si>
  <si>
    <t xml:space="preserve">6.90 per cent -- margin after finance</t>
  </si>
  <si>
    <t xml:space="preserve">9.00 per cent -- margin after finance</t>
  </si>
  <si>
    <t xml:space="preserve">12.00 per cent -- margin after finance</t>
  </si>
  <si>
    <t xml:space="preserve">Sensitivity: Gross margin on the order</t>
  </si>
  <si>
    <t xml:space="preserve">12.0 per cent -- total cost</t>
  </si>
  <si>
    <t xml:space="preserve">15.0 per cent -- total cost</t>
  </si>
  <si>
    <t xml:space="preserve">18.5 per cent -- total cost</t>
  </si>
  <si>
    <t xml:space="preserve">23.0 per cent -- total cost</t>
  </si>
  <si>
    <t xml:space="preserve">30.0 per cent -- total cost</t>
  </si>
  <si>
    <t xml:space="preserve">12.0 per cent -- margin after finance</t>
  </si>
  <si>
    <t xml:space="preserve">15.0 per cent -- margin after finance</t>
  </si>
  <si>
    <t xml:space="preserve">18.5 per cent -- margin after finance</t>
  </si>
  <si>
    <t xml:space="preserve">23.0 per cent -- margin after finance</t>
  </si>
  <si>
    <t xml:space="preserve">30.0 per cent -- margin after finance</t>
  </si>
  <si>
    <t xml:space="preserve">Sensitivity: Days of production before shipment</t>
  </si>
  <si>
    <t xml:space="preserve">30 days -- total cost</t>
  </si>
  <si>
    <t xml:space="preserve">50 days -- total cost</t>
  </si>
  <si>
    <t xml:space="preserve">70 days -- total cost</t>
  </si>
  <si>
    <t xml:space="preserve">95 days -- total cost</t>
  </si>
  <si>
    <t xml:space="preserve">130 days -- total cost</t>
  </si>
  <si>
    <t xml:space="preserve">30 days -- margin after finance</t>
  </si>
  <si>
    <t xml:space="preserve">50 days -- margin after finance</t>
  </si>
  <si>
    <t xml:space="preserve">70 days -- margin after finance</t>
  </si>
  <si>
    <t xml:space="preserve">95 days -- margin after finance</t>
  </si>
  <si>
    <t xml:space="preserve">130 days -- margin after finance</t>
  </si>
  <si>
    <t xml:space="preserve">The ranking by span</t>
  </si>
  <si>
    <t xml:space="preserve">Rank of days of credit</t>
  </si>
  <si>
    <t xml:space="preserve">Rank of the discount rate</t>
  </si>
  <si>
    <t xml:space="preserve">Rank of the discrepancy rate</t>
  </si>
  <si>
    <t xml:space="preserve">Added 24 September 2026: figures the companion page prints</t>
  </si>
  <si>
    <t xml:space="preserve">Contract value below which a confirmed credit costs more than the operating margin</t>
  </si>
  <si>
    <t xml:space="preserve">The same threshold in closed form</t>
  </si>
  <si>
    <t xml:space="preserve">Operating-margin threshold as a multiple of the gross-margin threshold</t>
  </si>
  <si>
    <t xml:space="preserve">Premium less the discount at 120 days (the book's figure)</t>
  </si>
  <si>
    <t xml:space="preserve">Premium still needed at 120 days with the discount for the applicant's account</t>
  </si>
  <si>
    <t xml:space="preserve">  the same, per cent of the price</t>
  </si>
  <si>
    <t xml:space="preserve">  of which the longer confirmed period</t>
  </si>
  <si>
    <t xml:space="preserve">  of which the added expected loss</t>
  </si>
  <si>
    <t xml:space="preserve">  of which charges on the premium itself</t>
  </si>
  <si>
    <t xml:space="preserve">  of which financing of production and transit</t>
  </si>
  <si>
    <t xml:space="preserve">Premium still needed at 180 days with the line, per cent of the price</t>
  </si>
  <si>
    <t xml:space="preserve">  the same, in money</t>
  </si>
  <si>
    <t xml:space="preserve">Span at sight: discount rate</t>
  </si>
  <si>
    <t xml:space="preserve">Span at sight: exporter's own cost of funds</t>
  </si>
  <si>
    <t xml:space="preserve">Span at sight: confirmation rate</t>
  </si>
  <si>
    <t xml:space="preserve">Span at sight: days of production</t>
  </si>
  <si>
    <t xml:space="preserve">Span at sight: gross margin</t>
  </si>
  <si>
    <t xml:space="preserve">Span at sight: discrepancy rate</t>
  </si>
  <si>
    <t xml:space="preserve">Rank at sight of the exporter's own cost of funds</t>
  </si>
  <si>
    <t xml:space="preserve">Closed form reproduces the table at the term in F5: discount rate a year</t>
  </si>
  <si>
    <t xml:space="preserve">Closed form reproduces the table at the term in F5: exporter's own cost of funds</t>
  </si>
  <si>
    <t xml:space="preserve">Closed form reproduces the table at the term in F5: confirmation rate a year</t>
  </si>
  <si>
    <t xml:space="preserve">Closed form reproduces the table at the term in F5: days of production before shipment</t>
  </si>
  <si>
    <t xml:space="preserve">Closed form reproduces the table at the term in F5: gross margin on the order</t>
  </si>
  <si>
    <t xml:space="preserve">Closed form reproduces the table at the term in F5: discrepancy rate on first presentation</t>
  </si>
  <si>
    <t xml:space="preserve">Checks run</t>
  </si>
  <si>
    <t xml:space="preserve">PASS</t>
  </si>
  <si>
    <t xml:space="preserve">FAIL</t>
  </si>
</sst>
</file>

<file path=xl/styles.xml><?xml version="1.0" encoding="utf-8"?>
<styleSheet xmlns="http://schemas.openxmlformats.org/spreadsheetml/2006/main">
  <numFmts count="11">
    <numFmt numFmtId="164" formatCode="General"/>
    <numFmt numFmtId="165" formatCode="#,##0"/>
    <numFmt numFmtId="166" formatCode="0.00%"/>
    <numFmt numFmtId="167" formatCode="0.0000%"/>
    <numFmt numFmtId="168" formatCode="0.0%"/>
    <numFmt numFmtId="169" formatCode="#,##0.0"/>
    <numFmt numFmtId="170" formatCode="#,##0.00"/>
    <numFmt numFmtId="171" formatCode="0.00\x"/>
    <numFmt numFmtId="172" formatCode="0.000%"/>
    <numFmt numFmtId="173" formatCode="#,##0.0000"/>
    <numFmt numFmtId="174" formatCode="0"/>
  </numFmts>
  <fonts count="14">
    <font>
      <sz val="11"/>
      <color theme="1"/>
      <name val="Calibri"/>
      <family val="2"/>
      <charset val="1"/>
    </font>
    <font>
      <sz val="10"/>
      <name val="Arial"/>
      <family val="0"/>
    </font>
    <font>
      <sz val="10"/>
      <name val="Arial"/>
      <family val="0"/>
    </font>
    <font>
      <sz val="10"/>
      <name val="Arial"/>
      <family val="0"/>
    </font>
    <font>
      <b val="true"/>
      <sz val="14"/>
      <color rgb="FF14283A"/>
      <name val="Calibri"/>
      <family val="0"/>
      <charset val="1"/>
    </font>
    <font>
      <b val="true"/>
      <sz val="11"/>
      <color rgb="FF14283A"/>
      <name val="Calibri"/>
      <family val="0"/>
      <charset val="1"/>
    </font>
    <font>
      <sz val="10"/>
      <name val="Calibri"/>
      <family val="0"/>
      <charset val="1"/>
    </font>
    <font>
      <b val="true"/>
      <sz val="10"/>
      <name val="Calibri"/>
      <family val="0"/>
      <charset val="1"/>
    </font>
    <font>
      <sz val="9"/>
      <color rgb="FF666666"/>
      <name val="Calibri"/>
      <family val="0"/>
      <charset val="1"/>
    </font>
    <font>
      <b val="true"/>
      <sz val="12"/>
      <color rgb="FF14283A"/>
      <name val="Calibri"/>
      <family val="0"/>
      <charset val="1"/>
    </font>
    <font>
      <sz val="10"/>
      <color rgb="FF0000CC"/>
      <name val="Calibri"/>
      <family val="0"/>
      <charset val="1"/>
    </font>
    <font>
      <i val="true"/>
      <sz val="10"/>
      <color rgb="FF555555"/>
      <name val="Calibri"/>
      <family val="0"/>
      <charset val="1"/>
    </font>
    <font>
      <b val="true"/>
      <sz val="10"/>
      <color rgb="FF14283A"/>
      <name val="Calibri"/>
      <family val="0"/>
      <charset val="1"/>
    </font>
    <font>
      <sz val="10"/>
      <color rgb="FF006600"/>
      <name val="Calibri"/>
      <family val="0"/>
      <charset val="1"/>
    </font>
  </fonts>
  <fills count="5">
    <fill>
      <patternFill patternType="none"/>
    </fill>
    <fill>
      <patternFill patternType="gray125"/>
    </fill>
    <fill>
      <patternFill patternType="solid">
        <fgColor rgb="FFFFF2CC"/>
        <bgColor rgb="FFEDF2F7"/>
      </patternFill>
    </fill>
    <fill>
      <patternFill patternType="solid">
        <fgColor rgb="FFEDF2F7"/>
        <bgColor rgb="FFE8EEF4"/>
      </patternFill>
    </fill>
    <fill>
      <patternFill patternType="solid">
        <fgColor rgb="FFE8EEF4"/>
        <bgColor rgb="FFEDF2F7"/>
      </patternFill>
    </fill>
  </fills>
  <borders count="3">
    <border diagonalUp="false" diagonalDown="false">
      <left/>
      <right/>
      <top/>
      <bottom/>
      <diagonal/>
    </border>
    <border diagonalUp="false" diagonalDown="false">
      <left/>
      <right/>
      <top/>
      <bottom style="thin">
        <color rgb="FFBBBBBB"/>
      </bottom>
      <diagonal/>
    </border>
    <border diagonalUp="false" diagonalDown="false">
      <left/>
      <right/>
      <top style="thin">
        <color rgb="FF333333"/>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5" fontId="10" fillId="2"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5" fontId="7" fillId="0" borderId="2" xfId="0" applyFont="true" applyBorder="tru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9" fillId="3" borderId="2" xfId="0" applyFont="true" applyBorder="true" applyAlignment="false" applyProtection="false">
      <alignment horizontal="general" vertical="bottom" textRotation="0" wrapText="false" indent="0" shrinkToFit="false"/>
      <protection locked="true" hidden="false"/>
    </xf>
    <xf numFmtId="165" fontId="9" fillId="3" borderId="2"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6" fontId="7" fillId="3" borderId="0" xfId="0" applyFont="true" applyBorder="false" applyAlignment="false" applyProtection="false">
      <alignment horizontal="general" vertical="bottom" textRotation="0" wrapText="false" indent="0" shrinkToFit="false"/>
      <protection locked="true" hidden="false"/>
    </xf>
    <xf numFmtId="168" fontId="7" fillId="3"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70" fontId="9" fillId="3"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true" indent="0" shrinkToFit="false"/>
      <protection locked="true" hidden="false"/>
    </xf>
    <xf numFmtId="164" fontId="7" fillId="0" borderId="1" xfId="0" applyFont="true" applyBorder="true" applyAlignment="true" applyProtection="false">
      <alignment horizontal="left" vertical="bottom" textRotation="0" wrapText="true" indent="0" shrinkToFit="false"/>
      <protection locked="true" hidden="false"/>
    </xf>
    <xf numFmtId="164" fontId="7" fillId="0" borderId="1" xfId="0" applyFont="true" applyBorder="true" applyAlignment="true" applyProtection="false">
      <alignment horizontal="right" vertical="bottom" textRotation="0" wrapText="tru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5" fontId="10" fillId="4" borderId="0" xfId="0" applyFont="true" applyBorder="false" applyAlignment="false" applyProtection="false">
      <alignment horizontal="general" vertical="bottom" textRotation="0" wrapText="false" indent="0" shrinkToFit="false"/>
      <protection locked="true" hidden="false"/>
    </xf>
    <xf numFmtId="165" fontId="6" fillId="4" borderId="0" xfId="0" applyFont="true" applyBorder="false" applyAlignment="false" applyProtection="false">
      <alignment horizontal="general" vertical="bottom" textRotation="0" wrapText="false" indent="0" shrinkToFit="false"/>
      <protection locked="true" hidden="false"/>
    </xf>
    <xf numFmtId="170" fontId="6" fillId="4" borderId="0" xfId="0" applyFont="true" applyBorder="false" applyAlignment="false" applyProtection="false">
      <alignment horizontal="general" vertical="bottom" textRotation="0" wrapText="false" indent="0" shrinkToFit="false"/>
      <protection locked="true" hidden="false"/>
    </xf>
    <xf numFmtId="166" fontId="6" fillId="4"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70" fontId="12"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xf numFmtId="172" fontId="10" fillId="2" borderId="0" xfId="0" applyFont="true" applyBorder="false" applyAlignment="false" applyProtection="false">
      <alignment horizontal="general" vertical="bottom" textRotation="0" wrapText="false" indent="0" shrinkToFit="false"/>
      <protection locked="true" hidden="false"/>
    </xf>
    <xf numFmtId="170" fontId="7" fillId="0" borderId="2" xfId="0" applyFont="true" applyBorder="true" applyAlignment="false" applyProtection="false">
      <alignment horizontal="general" vertical="bottom" textRotation="0" wrapText="false" indent="0" shrinkToFit="false"/>
      <protection locked="true" hidden="false"/>
    </xf>
    <xf numFmtId="164" fontId="7" fillId="3" borderId="2" xfId="0" applyFont="true" applyBorder="true" applyAlignment="false" applyProtection="false">
      <alignment horizontal="general" vertical="bottom" textRotation="0" wrapText="false" indent="0" shrinkToFit="false"/>
      <protection locked="true" hidden="false"/>
    </xf>
    <xf numFmtId="170" fontId="7" fillId="3" borderId="2" xfId="0" applyFont="true" applyBorder="tru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73" fontId="13" fillId="0" borderId="0" xfId="0" applyFont="true" applyBorder="false" applyAlignment="false" applyProtection="false">
      <alignment horizontal="general" vertical="bottom" textRotation="0" wrapText="false" indent="0" shrinkToFit="false"/>
      <protection locked="true" hidden="false"/>
    </xf>
    <xf numFmtId="168" fontId="10" fillId="4" borderId="0" xfId="0" applyFont="true" applyBorder="false" applyAlignment="false" applyProtection="false">
      <alignment horizontal="general" vertical="bottom" textRotation="0" wrapText="false" indent="0" shrinkToFit="false"/>
      <protection locked="true" hidden="false"/>
    </xf>
    <xf numFmtId="172" fontId="10" fillId="0" borderId="0" xfId="0" applyFont="true" applyBorder="false" applyAlignment="false" applyProtection="false">
      <alignment horizontal="general" vertical="bottom" textRotation="0" wrapText="false" indent="0" shrinkToFit="false"/>
      <protection locked="true" hidden="false"/>
    </xf>
    <xf numFmtId="172" fontId="10" fillId="4"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right" vertical="bottom" textRotation="0" wrapText="false" indent="0" shrinkToFit="false"/>
      <protection locked="true" hidden="false"/>
    </xf>
    <xf numFmtId="174" fontId="10" fillId="0" borderId="0" xfId="0" applyFont="true" applyBorder="false" applyAlignment="false" applyProtection="false">
      <alignment horizontal="general" vertical="bottom" textRotation="0" wrapText="false" indent="0" shrinkToFit="false"/>
      <protection locked="true" hidden="false"/>
    </xf>
    <xf numFmtId="174" fontId="6" fillId="0" borderId="0" xfId="0" applyFont="true" applyBorder="false" applyAlignment="false" applyProtection="false">
      <alignment horizontal="general" vertical="bottom" textRotation="0" wrapText="false" indent="0" shrinkToFit="false"/>
      <protection locked="true" hidden="false"/>
    </xf>
    <xf numFmtId="165" fontId="13" fillId="0" borderId="0" xfId="0" applyFont="true" applyBorder="false" applyAlignment="false" applyProtection="false">
      <alignment horizontal="general"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67" fontId="13" fillId="0" borderId="0" xfId="0" applyFont="true" applyBorder="false" applyAlignment="false" applyProtection="false">
      <alignment horizontal="general" vertical="bottom" textRotation="0" wrapText="false" indent="0" shrinkToFit="false"/>
      <protection locked="true" hidden="false"/>
    </xf>
    <xf numFmtId="170" fontId="13"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9" fontId="13" fillId="0" borderId="0" xfId="0" applyFont="true" applyBorder="false" applyAlignment="false" applyProtection="false">
      <alignment horizontal="general" vertical="bottom" textRotation="0" wrapText="false" indent="0" shrinkToFit="false"/>
      <protection locked="true" hidden="false"/>
    </xf>
    <xf numFmtId="172" fontId="13"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DF2F7"/>
      <rgbColor rgb="FFFF0000"/>
      <rgbColor rgb="FF00FF00"/>
      <rgbColor rgb="FF0000CC"/>
      <rgbColor rgb="FFFFFF00"/>
      <rgbColor rgb="FFFF00FF"/>
      <rgbColor rgb="FF00FFFF"/>
      <rgbColor rgb="FF800000"/>
      <rgbColor rgb="FF006600"/>
      <rgbColor rgb="FF000080"/>
      <rgbColor rgb="FF808000"/>
      <rgbColor rgb="FF800080"/>
      <rgbColor rgb="FF008080"/>
      <rgbColor rgb="FFBBBBBB"/>
      <rgbColor rgb="FF808080"/>
      <rgbColor rgb="FF9999FF"/>
      <rgbColor rgb="FF993366"/>
      <rgbColor rgb="FFFFF2CC"/>
      <rgbColor rgb="FFE8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14283A"/>
      <rgbColor rgb="FF339966"/>
      <rgbColor rgb="FF003300"/>
      <rgbColor rgb="FF333300"/>
      <rgbColor rgb="FF993300"/>
      <rgbColor rgb="FF993366"/>
      <rgbColor rgb="FF555555"/>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6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105"/>
  </cols>
  <sheetData>
    <row r="2" customFormat="false" ht="17.3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3" t="s">
        <v>2</v>
      </c>
    </row>
    <row r="6" customFormat="false" ht="15" hidden="false" customHeight="false" outlineLevel="0" collapsed="false">
      <c r="B6" s="3"/>
    </row>
    <row r="7" customFormat="false" ht="15" hidden="false" customHeight="false" outlineLevel="0" collapsed="false">
      <c r="B7" s="2" t="s">
        <v>3</v>
      </c>
    </row>
    <row r="8" customFormat="false" ht="15" hidden="false" customHeight="false" outlineLevel="0" collapsed="false">
      <c r="B8" s="3" t="s">
        <v>4</v>
      </c>
    </row>
    <row r="9" customFormat="false" ht="15" hidden="false" customHeight="false" outlineLevel="0" collapsed="false">
      <c r="B9" s="3" t="s">
        <v>5</v>
      </c>
    </row>
    <row r="10" customFormat="false" ht="15" hidden="false" customHeight="false" outlineLevel="0" collapsed="false">
      <c r="B10" s="3" t="s">
        <v>6</v>
      </c>
    </row>
    <row r="11" customFormat="false" ht="15" hidden="false" customHeight="false" outlineLevel="0" collapsed="false">
      <c r="B11" s="3" t="s">
        <v>7</v>
      </c>
    </row>
    <row r="12" customFormat="false" ht="15" hidden="false" customHeight="false" outlineLevel="0" collapsed="false">
      <c r="B12" s="3"/>
    </row>
    <row r="13" customFormat="false" ht="15" hidden="false" customHeight="false" outlineLevel="0" collapsed="false">
      <c r="B13" s="2" t="s">
        <v>8</v>
      </c>
    </row>
    <row r="14" customFormat="false" ht="15" hidden="false" customHeight="false" outlineLevel="0" collapsed="false">
      <c r="B14" s="3" t="s">
        <v>9</v>
      </c>
    </row>
    <row r="15" customFormat="false" ht="15" hidden="false" customHeight="false" outlineLevel="0" collapsed="false">
      <c r="B15" s="3" t="s">
        <v>10</v>
      </c>
    </row>
    <row r="16" customFormat="false" ht="15" hidden="false" customHeight="false" outlineLevel="0" collapsed="false">
      <c r="B16" s="3" t="s">
        <v>11</v>
      </c>
    </row>
    <row r="17" customFormat="false" ht="15" hidden="false" customHeight="false" outlineLevel="0" collapsed="false">
      <c r="B17" s="3" t="s">
        <v>12</v>
      </c>
    </row>
    <row r="18" customFormat="false" ht="15" hidden="false" customHeight="false" outlineLevel="0" collapsed="false">
      <c r="B18" s="3" t="s">
        <v>13</v>
      </c>
    </row>
    <row r="19" customFormat="false" ht="15" hidden="false" customHeight="false" outlineLevel="0" collapsed="false">
      <c r="B19" s="3" t="s">
        <v>14</v>
      </c>
    </row>
    <row r="20" customFormat="false" ht="15" hidden="false" customHeight="false" outlineLevel="0" collapsed="false">
      <c r="B20" s="3" t="s">
        <v>15</v>
      </c>
    </row>
    <row r="21" customFormat="false" ht="15" hidden="false" customHeight="false" outlineLevel="0" collapsed="false">
      <c r="B21" s="3"/>
    </row>
    <row r="22" customFormat="false" ht="15" hidden="false" customHeight="false" outlineLevel="0" collapsed="false">
      <c r="B22" s="2" t="s">
        <v>16</v>
      </c>
    </row>
    <row r="23" customFormat="false" ht="15" hidden="false" customHeight="false" outlineLevel="0" collapsed="false">
      <c r="B23" s="3" t="s">
        <v>17</v>
      </c>
    </row>
    <row r="24" customFormat="false" ht="15" hidden="false" customHeight="false" outlineLevel="0" collapsed="false">
      <c r="B24" s="3" t="s">
        <v>18</v>
      </c>
    </row>
    <row r="25" customFormat="false" ht="15" hidden="false" customHeight="false" outlineLevel="0" collapsed="false">
      <c r="B25" s="3" t="s">
        <v>19</v>
      </c>
    </row>
    <row r="26" customFormat="false" ht="15" hidden="false" customHeight="false" outlineLevel="0" collapsed="false">
      <c r="B26" s="3" t="s">
        <v>20</v>
      </c>
    </row>
    <row r="27" customFormat="false" ht="15" hidden="false" customHeight="false" outlineLevel="0" collapsed="false">
      <c r="B27" s="3" t="s">
        <v>21</v>
      </c>
    </row>
    <row r="28" customFormat="false" ht="15" hidden="false" customHeight="false" outlineLevel="0" collapsed="false">
      <c r="B28" s="3" t="s">
        <v>22</v>
      </c>
    </row>
    <row r="29" customFormat="false" ht="15" hidden="false" customHeight="false" outlineLevel="0" collapsed="false">
      <c r="B29" s="3"/>
    </row>
    <row r="30" customFormat="false" ht="15" hidden="false" customHeight="false" outlineLevel="0" collapsed="false">
      <c r="B30" s="2" t="s">
        <v>23</v>
      </c>
    </row>
    <row r="31" customFormat="false" ht="15" hidden="false" customHeight="false" outlineLevel="0" collapsed="false">
      <c r="B31" s="3" t="s">
        <v>24</v>
      </c>
    </row>
    <row r="32" customFormat="false" ht="15" hidden="false" customHeight="false" outlineLevel="0" collapsed="false">
      <c r="B32" s="3" t="s">
        <v>25</v>
      </c>
    </row>
    <row r="33" customFormat="false" ht="15" hidden="false" customHeight="false" outlineLevel="0" collapsed="false">
      <c r="B33" s="3" t="s">
        <v>26</v>
      </c>
    </row>
    <row r="34" customFormat="false" ht="15" hidden="false" customHeight="false" outlineLevel="0" collapsed="false">
      <c r="B34" s="3" t="s">
        <v>27</v>
      </c>
    </row>
    <row r="35" customFormat="false" ht="15" hidden="false" customHeight="false" outlineLevel="0" collapsed="false">
      <c r="B35" s="3"/>
    </row>
    <row r="36" customFormat="false" ht="15" hidden="false" customHeight="false" outlineLevel="0" collapsed="false">
      <c r="B36" s="2" t="s">
        <v>28</v>
      </c>
    </row>
    <row r="37" customFormat="false" ht="15" hidden="false" customHeight="false" outlineLevel="0" collapsed="false">
      <c r="B37" s="3" t="s">
        <v>29</v>
      </c>
    </row>
    <row r="38" customFormat="false" ht="15" hidden="false" customHeight="false" outlineLevel="0" collapsed="false">
      <c r="B38" s="3" t="s">
        <v>30</v>
      </c>
    </row>
    <row r="39" customFormat="false" ht="15" hidden="false" customHeight="false" outlineLevel="0" collapsed="false">
      <c r="B39" s="3" t="s">
        <v>31</v>
      </c>
    </row>
    <row r="40" customFormat="false" ht="15" hidden="false" customHeight="false" outlineLevel="0" collapsed="false">
      <c r="B40" s="3" t="s">
        <v>32</v>
      </c>
    </row>
    <row r="41" customFormat="false" ht="15" hidden="false" customHeight="false" outlineLevel="0" collapsed="false">
      <c r="B41" s="3" t="s">
        <v>33</v>
      </c>
    </row>
    <row r="42" customFormat="false" ht="15" hidden="false" customHeight="false" outlineLevel="0" collapsed="false">
      <c r="B42" s="3"/>
    </row>
    <row r="43" customFormat="false" ht="15" hidden="false" customHeight="false" outlineLevel="0" collapsed="false">
      <c r="B43" s="2" t="s">
        <v>34</v>
      </c>
    </row>
    <row r="44" customFormat="false" ht="15" hidden="false" customHeight="false" outlineLevel="0" collapsed="false">
      <c r="B44" s="3" t="s">
        <v>35</v>
      </c>
    </row>
    <row r="45" customFormat="false" ht="15" hidden="false" customHeight="false" outlineLevel="0" collapsed="false">
      <c r="B45" s="3" t="s">
        <v>36</v>
      </c>
    </row>
    <row r="46" customFormat="false" ht="15" hidden="false" customHeight="false" outlineLevel="0" collapsed="false">
      <c r="B46" s="3" t="s">
        <v>37</v>
      </c>
    </row>
    <row r="47" customFormat="false" ht="15" hidden="false" customHeight="false" outlineLevel="0" collapsed="false">
      <c r="B47" s="3"/>
    </row>
    <row r="48" customFormat="false" ht="15" hidden="false" customHeight="false" outlineLevel="0" collapsed="false">
      <c r="B48" s="3" t="s">
        <v>38</v>
      </c>
    </row>
    <row r="49" customFormat="false" ht="15" hidden="false" customHeight="false" outlineLevel="0" collapsed="false">
      <c r="B49" s="3" t="s">
        <v>39</v>
      </c>
    </row>
    <row r="50" customFormat="false" ht="15" hidden="false" customHeight="false" outlineLevel="0" collapsed="false">
      <c r="B50" s="3" t="s">
        <v>40</v>
      </c>
    </row>
    <row r="51" customFormat="false" ht="15" hidden="false" customHeight="false" outlineLevel="0" collapsed="false">
      <c r="B51" s="3" t="s">
        <v>41</v>
      </c>
    </row>
    <row r="53" customFormat="false" ht="15" hidden="false" customHeight="false" outlineLevel="0" collapsed="false">
      <c r="B53" s="3"/>
    </row>
    <row r="54" customFormat="false" ht="15" hidden="false" customHeight="false" outlineLevel="0" collapsed="false">
      <c r="B54" s="4" t="s">
        <v>42</v>
      </c>
    </row>
    <row r="55" customFormat="false" ht="15" hidden="false" customHeight="false" outlineLevel="0" collapsed="false">
      <c r="B55" s="3" t="s">
        <v>43</v>
      </c>
    </row>
    <row r="56" customFormat="false" ht="15" hidden="false" customHeight="false" outlineLevel="0" collapsed="false">
      <c r="B56" s="3" t="s">
        <v>44</v>
      </c>
    </row>
    <row r="57" customFormat="false" ht="15" hidden="false" customHeight="false" outlineLevel="0" collapsed="false">
      <c r="B57" s="3" t="s">
        <v>45</v>
      </c>
    </row>
    <row r="58" customFormat="false" ht="15" hidden="false" customHeight="false" outlineLevel="0" collapsed="false">
      <c r="B58" s="3" t="s">
        <v>46</v>
      </c>
    </row>
    <row r="59" customFormat="false" ht="15" hidden="false" customHeight="false" outlineLevel="0" collapsed="false">
      <c r="B59" s="3" t="s">
        <v>47</v>
      </c>
    </row>
    <row r="60" customFormat="false" ht="15" hidden="false" customHeight="false" outlineLevel="0" collapsed="false">
      <c r="B60" s="3" t="s">
        <v>48</v>
      </c>
    </row>
    <row r="61" customFormat="false" ht="15" hidden="false" customHeight="false" outlineLevel="0" collapsed="false">
      <c r="B61" s="3" t="s">
        <v>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18"/>
    <col collapsed="false" customWidth="true" hidden="false" outlineLevel="0" max="5" min="4" style="0" width="15"/>
    <col collapsed="false" customWidth="true" hidden="false" outlineLevel="0" max="7" min="6" style="0" width="21"/>
    <col collapsed="false" customWidth="true" hidden="false" outlineLevel="0" max="8" min="8" style="0" width="2"/>
    <col collapsed="false" customWidth="true" hidden="false" outlineLevel="0" max="9" min="9" style="0" width="82"/>
  </cols>
  <sheetData>
    <row r="2" customFormat="false" ht="17.35" hidden="false" customHeight="false" outlineLevel="0" collapsed="false">
      <c r="B2" s="1" t="s">
        <v>50</v>
      </c>
    </row>
    <row r="3" customFormat="false" ht="15" hidden="false" customHeight="false" outlineLevel="0" collapsed="false">
      <c r="B3" s="3" t="s">
        <v>51</v>
      </c>
    </row>
    <row r="4" customFormat="false" ht="15" hidden="false" customHeight="false" outlineLevel="0" collapsed="false">
      <c r="B4" s="5" t="s">
        <v>52</v>
      </c>
    </row>
    <row r="5" customFormat="false" ht="15" hidden="false" customHeight="false" outlineLevel="0" collapsed="false">
      <c r="B5" s="6" t="str">
        <f aca="false">IF(C55&lt;=0,"THE READING: this term destroys the order. The margin after finance is negative before a dollar of it is earned.",IF(C16&gt;=C70,"THE READING: this term is at or past the tenor at which this order stops paying. Do not concede it.",IF(C57&gt;0.75,"THE READING: this term spends more than three quarters of the operating margin on the order. Price it or shorten it.",IF(C57&gt;0.5,"THE READING: more than half the operating margin on this order is being spent on the payment term.","THE READING: the term sits inside the operating margin. The Price of a Term sheet says what it should have earned in price."))))</f>
        <v>THE READING: this term spends more than three quarters of the operating margin on the order. Price it or shorten it.</v>
      </c>
    </row>
    <row r="6" customFormat="false" ht="15" hidden="false" customHeight="false" outlineLevel="0" collapsed="false">
      <c r="B6" s="7" t="s">
        <v>53</v>
      </c>
      <c r="C6" s="8"/>
      <c r="D6" s="8"/>
      <c r="E6" s="8"/>
      <c r="F6" s="8"/>
      <c r="G6" s="8"/>
    </row>
    <row r="7" customFormat="false" ht="15" hidden="false" customHeight="false" outlineLevel="0" collapsed="false">
      <c r="B7" s="3" t="s">
        <v>54</v>
      </c>
      <c r="C7" s="9" t="n">
        <v>4200000</v>
      </c>
      <c r="I7" s="5" t="s">
        <v>55</v>
      </c>
    </row>
    <row r="8" customFormat="false" ht="15" hidden="false" customHeight="false" outlineLevel="0" collapsed="false">
      <c r="B8" s="3" t="s">
        <v>56</v>
      </c>
      <c r="C8" s="10" t="n">
        <v>0.815</v>
      </c>
      <c r="I8" s="5" t="s">
        <v>57</v>
      </c>
    </row>
    <row r="9" customFormat="false" ht="15" hidden="false" customHeight="false" outlineLevel="0" collapsed="false">
      <c r="B9" s="3" t="s">
        <v>58</v>
      </c>
      <c r="C9" s="10" t="n">
        <v>0.112</v>
      </c>
      <c r="I9" s="5" t="s">
        <v>59</v>
      </c>
    </row>
    <row r="10" customFormat="false" ht="15" hidden="false" customHeight="false" outlineLevel="0" collapsed="false">
      <c r="B10" s="3" t="s">
        <v>60</v>
      </c>
      <c r="C10" s="11" t="n">
        <v>0.084</v>
      </c>
      <c r="I10" s="5" t="s">
        <v>61</v>
      </c>
    </row>
    <row r="11" customFormat="false" ht="15" hidden="false" customHeight="false" outlineLevel="0" collapsed="false">
      <c r="B11" s="3" t="s">
        <v>62</v>
      </c>
      <c r="C11" s="9" t="n">
        <v>70</v>
      </c>
      <c r="I11" s="5" t="s">
        <v>63</v>
      </c>
    </row>
    <row r="12" customFormat="false" ht="15" hidden="false" customHeight="false" outlineLevel="0" collapsed="false">
      <c r="B12" s="3" t="s">
        <v>64</v>
      </c>
      <c r="C12" s="9" t="n">
        <v>26</v>
      </c>
    </row>
    <row r="13" customFormat="false" ht="15" hidden="false" customHeight="false" outlineLevel="0" collapsed="false">
      <c r="B13" s="3" t="s">
        <v>65</v>
      </c>
      <c r="C13" s="9" t="n">
        <v>9</v>
      </c>
    </row>
    <row r="15" customFormat="false" ht="15" hidden="false" customHeight="false" outlineLevel="0" collapsed="false">
      <c r="B15" s="7" t="s">
        <v>66</v>
      </c>
      <c r="C15" s="8"/>
      <c r="D15" s="8"/>
      <c r="E15" s="8"/>
      <c r="F15" s="8"/>
      <c r="G15" s="8"/>
    </row>
    <row r="16" customFormat="false" ht="15" hidden="false" customHeight="false" outlineLevel="0" collapsed="false">
      <c r="B16" s="3" t="s">
        <v>67</v>
      </c>
      <c r="C16" s="12" t="n">
        <v>120</v>
      </c>
      <c r="I16" s="5" t="s">
        <v>68</v>
      </c>
    </row>
    <row r="18" customFormat="false" ht="15" hidden="false" customHeight="false" outlineLevel="0" collapsed="false">
      <c r="B18" s="7" t="s">
        <v>69</v>
      </c>
      <c r="C18" s="8"/>
      <c r="D18" s="8"/>
      <c r="E18" s="8"/>
      <c r="F18" s="8"/>
      <c r="G18" s="8"/>
    </row>
    <row r="19" customFormat="false" ht="15" hidden="false" customHeight="false" outlineLevel="0" collapsed="false">
      <c r="B19" s="3" t="s">
        <v>70</v>
      </c>
      <c r="C19" s="11" t="n">
        <v>0.0185</v>
      </c>
      <c r="I19" s="5" t="s">
        <v>71</v>
      </c>
    </row>
    <row r="20" customFormat="false" ht="15" hidden="false" customHeight="false" outlineLevel="0" collapsed="false">
      <c r="B20" s="3" t="s">
        <v>72</v>
      </c>
      <c r="C20" s="9" t="n">
        <v>1500</v>
      </c>
    </row>
    <row r="21" customFormat="false" ht="15" hidden="false" customHeight="false" outlineLevel="0" collapsed="false">
      <c r="B21" s="3" t="s">
        <v>73</v>
      </c>
      <c r="C21" s="11" t="n">
        <v>0.069</v>
      </c>
      <c r="I21" s="5" t="s">
        <v>74</v>
      </c>
    </row>
    <row r="22" customFormat="false" ht="15" hidden="false" customHeight="false" outlineLevel="0" collapsed="false">
      <c r="B22" s="3" t="s">
        <v>75</v>
      </c>
      <c r="C22" s="9" t="n">
        <v>350</v>
      </c>
    </row>
    <row r="23" customFormat="false" ht="15" hidden="false" customHeight="false" outlineLevel="0" collapsed="false">
      <c r="B23" s="3" t="s">
        <v>76</v>
      </c>
      <c r="C23" s="11" t="n">
        <v>0.00125</v>
      </c>
    </row>
    <row r="24" customFormat="false" ht="15" hidden="false" customHeight="false" outlineLevel="0" collapsed="false">
      <c r="B24" s="3" t="s">
        <v>77</v>
      </c>
      <c r="C24" s="9" t="n">
        <v>425</v>
      </c>
    </row>
    <row r="25" customFormat="false" ht="15" hidden="false" customHeight="false" outlineLevel="0" collapsed="false">
      <c r="B25" s="3" t="s">
        <v>78</v>
      </c>
      <c r="C25" s="9" t="n">
        <v>1180</v>
      </c>
    </row>
    <row r="26" customFormat="false" ht="15" hidden="false" customHeight="false" outlineLevel="0" collapsed="false">
      <c r="B26" s="3" t="s">
        <v>79</v>
      </c>
      <c r="C26" s="9" t="n">
        <v>240</v>
      </c>
    </row>
    <row r="27" customFormat="false" ht="15" hidden="false" customHeight="false" outlineLevel="0" collapsed="false">
      <c r="B27" s="3" t="s">
        <v>80</v>
      </c>
      <c r="C27" s="9" t="n">
        <v>5</v>
      </c>
    </row>
    <row r="29" customFormat="false" ht="15" hidden="false" customHeight="false" outlineLevel="0" collapsed="false">
      <c r="B29" s="7" t="s">
        <v>81</v>
      </c>
      <c r="C29" s="8"/>
      <c r="D29" s="8"/>
      <c r="E29" s="8"/>
      <c r="F29" s="8"/>
      <c r="G29" s="8"/>
    </row>
    <row r="30" customFormat="false" ht="15" hidden="false" customHeight="false" outlineLevel="0" collapsed="false">
      <c r="B30" s="3" t="s">
        <v>82</v>
      </c>
      <c r="C30" s="13" t="n">
        <v>0.62</v>
      </c>
      <c r="I30" s="5" t="s">
        <v>83</v>
      </c>
    </row>
    <row r="31" customFormat="false" ht="15" hidden="false" customHeight="false" outlineLevel="0" collapsed="false">
      <c r="B31" s="3" t="s">
        <v>84</v>
      </c>
      <c r="C31" s="13" t="n">
        <v>0.94</v>
      </c>
    </row>
    <row r="32" customFormat="false" ht="15" hidden="false" customHeight="false" outlineLevel="0" collapsed="false">
      <c r="B32" s="3" t="s">
        <v>85</v>
      </c>
      <c r="C32" s="9" t="n">
        <v>11</v>
      </c>
    </row>
    <row r="33" customFormat="false" ht="15" hidden="false" customHeight="false" outlineLevel="0" collapsed="false">
      <c r="B33" s="3" t="s">
        <v>86</v>
      </c>
      <c r="C33" s="14" t="n">
        <v>1</v>
      </c>
    </row>
    <row r="34" customFormat="false" ht="15" hidden="false" customHeight="false" outlineLevel="0" collapsed="false">
      <c r="B34" s="3" t="s">
        <v>87</v>
      </c>
      <c r="C34" s="11" t="n">
        <v>0.041</v>
      </c>
    </row>
    <row r="35" customFormat="false" ht="15" hidden="false" customHeight="false" outlineLevel="0" collapsed="false">
      <c r="B35" s="3" t="s">
        <v>88</v>
      </c>
      <c r="C35" s="13" t="n">
        <v>0.62</v>
      </c>
    </row>
    <row r="36" customFormat="false" ht="15" hidden="false" customHeight="false" outlineLevel="0" collapsed="false">
      <c r="B36" s="3" t="s">
        <v>89</v>
      </c>
      <c r="C36" s="9" t="n">
        <v>60</v>
      </c>
      <c r="I36" s="5" t="s">
        <v>90</v>
      </c>
    </row>
    <row r="38" customFormat="false" ht="15" hidden="false" customHeight="false" outlineLevel="0" collapsed="false">
      <c r="B38" s="7" t="s">
        <v>91</v>
      </c>
      <c r="C38" s="8"/>
      <c r="D38" s="8"/>
      <c r="E38" s="8"/>
      <c r="F38" s="8"/>
      <c r="G38" s="8"/>
    </row>
    <row r="39" customFormat="false" ht="15" hidden="false" customHeight="false" outlineLevel="0" collapsed="false">
      <c r="B39" s="3" t="s">
        <v>92</v>
      </c>
      <c r="C39" s="15" t="n">
        <f aca="false">C7*C8</f>
        <v>3423000</v>
      </c>
    </row>
    <row r="40" customFormat="false" ht="15" hidden="false" customHeight="false" outlineLevel="0" collapsed="false">
      <c r="B40" s="3" t="s">
        <v>93</v>
      </c>
      <c r="C40" s="15" t="n">
        <f aca="false">C7-C39</f>
        <v>777000</v>
      </c>
    </row>
    <row r="41" customFormat="false" ht="15" hidden="false" customHeight="false" outlineLevel="0" collapsed="false">
      <c r="B41" s="3" t="s">
        <v>94</v>
      </c>
      <c r="C41" s="15" t="n">
        <f aca="false">C7*C9</f>
        <v>470400</v>
      </c>
    </row>
    <row r="42" customFormat="false" ht="15" hidden="false" customHeight="false" outlineLevel="0" collapsed="false">
      <c r="B42" s="16" t="s">
        <v>95</v>
      </c>
      <c r="C42" s="17" t="n">
        <f aca="false">C40-C41</f>
        <v>306600</v>
      </c>
      <c r="I42" s="5" t="s">
        <v>96</v>
      </c>
    </row>
    <row r="44" customFormat="false" ht="15" hidden="false" customHeight="false" outlineLevel="0" collapsed="false">
      <c r="B44" s="7" t="s">
        <v>97</v>
      </c>
      <c r="C44" s="8"/>
      <c r="D44" s="8"/>
      <c r="E44" s="8"/>
      <c r="F44" s="8"/>
      <c r="G44" s="8"/>
    </row>
    <row r="45" customFormat="false" ht="15" hidden="false" customHeight="false" outlineLevel="0" collapsed="false">
      <c r="B45" s="3" t="s">
        <v>98</v>
      </c>
      <c r="C45" s="18" t="n">
        <f aca="false">C30*C33*C32</f>
        <v>6.82</v>
      </c>
      <c r="I45" s="5" t="s">
        <v>99</v>
      </c>
    </row>
    <row r="46" customFormat="false" ht="15" hidden="false" customHeight="false" outlineLevel="0" collapsed="false">
      <c r="B46" s="4" t="s">
        <v>100</v>
      </c>
      <c r="C46" s="19" t="n">
        <f aca="false">C11+C12+C13+C27+C45</f>
        <v>116.82</v>
      </c>
      <c r="I46" s="5" t="s">
        <v>101</v>
      </c>
    </row>
    <row r="47" customFormat="false" ht="15" hidden="false" customHeight="false" outlineLevel="0" collapsed="false">
      <c r="B47" s="3" t="s">
        <v>102</v>
      </c>
      <c r="C47" s="15" t="n">
        <f aca="false">C16+C12+C13</f>
        <v>155</v>
      </c>
    </row>
    <row r="48" customFormat="false" ht="15" hidden="false" customHeight="false" outlineLevel="0" collapsed="false">
      <c r="B48" s="3" t="s">
        <v>103</v>
      </c>
      <c r="C48" s="15" t="n">
        <f aca="false">C39*C10*C46/360</f>
        <v>93304.134</v>
      </c>
      <c r="I48" s="5" t="s">
        <v>104</v>
      </c>
    </row>
    <row r="49" customFormat="false" ht="15" hidden="false" customHeight="false" outlineLevel="0" collapsed="false">
      <c r="B49" s="3" t="s">
        <v>105</v>
      </c>
      <c r="C49" s="15" t="n">
        <f aca="false">MAX(C7*C19*C47/360,C20)</f>
        <v>33454.1666666667</v>
      </c>
    </row>
    <row r="50" customFormat="false" ht="15" hidden="false" customHeight="false" outlineLevel="0" collapsed="false">
      <c r="B50" s="3" t="s">
        <v>106</v>
      </c>
      <c r="C50" s="15" t="n">
        <f aca="false">C7*C21*C16/360</f>
        <v>96600</v>
      </c>
      <c r="I50" s="5" t="s">
        <v>107</v>
      </c>
    </row>
    <row r="51" customFormat="false" ht="15" hidden="false" customHeight="false" outlineLevel="0" collapsed="false">
      <c r="B51" s="3" t="s">
        <v>108</v>
      </c>
      <c r="C51" s="15" t="n">
        <f aca="false">C22+MAX(C7*C23,C24)+C25+C26</f>
        <v>7020</v>
      </c>
    </row>
    <row r="52" customFormat="false" ht="15" hidden="false" customHeight="false" outlineLevel="0" collapsed="false">
      <c r="B52" s="4" t="s">
        <v>109</v>
      </c>
      <c r="C52" s="20" t="n">
        <f aca="false">C49+C50+C51</f>
        <v>137074.166666667</v>
      </c>
    </row>
    <row r="53" customFormat="false" ht="15" hidden="false" customHeight="false" outlineLevel="0" collapsed="false">
      <c r="B53" s="3" t="s">
        <v>110</v>
      </c>
      <c r="C53" s="15" t="n">
        <f aca="false">C7*(C30*(1-C31))*(1-(1-C34)^((C16+C36)/365))*C35</f>
        <v>1979.38843816882</v>
      </c>
      <c r="I53" s="5" t="s">
        <v>111</v>
      </c>
    </row>
    <row r="54" customFormat="false" ht="15" hidden="false" customHeight="false" outlineLevel="0" collapsed="false">
      <c r="B54" s="21" t="s">
        <v>112</v>
      </c>
      <c r="C54" s="22" t="n">
        <f aca="false">C48+C52+C53</f>
        <v>232357.689104835</v>
      </c>
    </row>
    <row r="55" customFormat="false" ht="15" hidden="false" customHeight="false" outlineLevel="0" collapsed="false">
      <c r="B55" s="23" t="s">
        <v>113</v>
      </c>
      <c r="C55" s="24" t="n">
        <f aca="false">C42-C54</f>
        <v>74242.3108951645</v>
      </c>
      <c r="I55" s="5" t="s">
        <v>114</v>
      </c>
    </row>
    <row r="56" customFormat="false" ht="15" hidden="false" customHeight="false" outlineLevel="0" collapsed="false">
      <c r="B56" s="25" t="s">
        <v>115</v>
      </c>
      <c r="C56" s="26" t="n">
        <f aca="false">C55/C7</f>
        <v>0.0176767406893249</v>
      </c>
    </row>
    <row r="57" customFormat="false" ht="15" hidden="false" customHeight="false" outlineLevel="0" collapsed="false">
      <c r="B57" s="25" t="s">
        <v>116</v>
      </c>
      <c r="C57" s="27" t="n">
        <f aca="false">C54/C42</f>
        <v>0.757852867269522</v>
      </c>
    </row>
    <row r="58" customFormat="false" ht="15" hidden="false" customHeight="false" outlineLevel="0" collapsed="false">
      <c r="B58" s="25" t="s">
        <v>117</v>
      </c>
      <c r="C58" s="26" t="n">
        <f aca="false">C54/C7*360/C46</f>
        <v>0.170487702035979</v>
      </c>
      <c r="I58" s="5" t="s">
        <v>118</v>
      </c>
    </row>
    <row r="59" customFormat="false" ht="15" hidden="false" customHeight="false" outlineLevel="0" collapsed="false">
      <c r="B59" s="3" t="s">
        <v>119</v>
      </c>
      <c r="C59" s="15" t="n">
        <f aca="false">C7-C50</f>
        <v>4103400</v>
      </c>
    </row>
    <row r="60" customFormat="false" ht="15" hidden="false" customHeight="false" outlineLevel="0" collapsed="false">
      <c r="B60" s="3" t="s">
        <v>120</v>
      </c>
      <c r="C60" s="28" t="n">
        <f aca="false">IF(C16=0,0,C50/C59*360/C16)</f>
        <v>0.0706243602865916</v>
      </c>
      <c r="I60" s="5" t="s">
        <v>121</v>
      </c>
    </row>
    <row r="62" customFormat="false" ht="15" hidden="false" customHeight="false" outlineLevel="0" collapsed="false">
      <c r="B62" s="7" t="s">
        <v>122</v>
      </c>
      <c r="C62" s="8"/>
      <c r="D62" s="8"/>
      <c r="E62" s="8"/>
      <c r="F62" s="8"/>
      <c r="G62" s="8"/>
    </row>
    <row r="63" customFormat="false" ht="15" hidden="false" customHeight="false" outlineLevel="0" collapsed="false">
      <c r="B63" s="3" t="s">
        <v>123</v>
      </c>
      <c r="C63" s="15" t="n">
        <f aca="false">C48+MAX(C7*C19*(C12+C13)/360,C20)+C51+C7*(C30*(1-C31))*(1-(1-C34)^(C36/365))*C35</f>
        <v>108542.642561226</v>
      </c>
      <c r="I63" s="5" t="s">
        <v>124</v>
      </c>
    </row>
    <row r="64" customFormat="false" ht="15" hidden="false" customHeight="false" outlineLevel="0" collapsed="false">
      <c r="B64" s="3" t="s">
        <v>125</v>
      </c>
      <c r="C64" s="15" t="n">
        <f aca="false">C54</f>
        <v>232357.689104835</v>
      </c>
    </row>
    <row r="65" customFormat="false" ht="15" hidden="false" customHeight="false" outlineLevel="0" collapsed="false">
      <c r="B65" s="4" t="s">
        <v>126</v>
      </c>
      <c r="C65" s="20" t="n">
        <f aca="false">C64-C63</f>
        <v>123815.046543609</v>
      </c>
    </row>
    <row r="66" customFormat="false" ht="15" hidden="false" customHeight="false" outlineLevel="0" collapsed="false">
      <c r="B66" s="23" t="s">
        <v>127</v>
      </c>
      <c r="C66" s="29" t="n">
        <f aca="false">IF(C16=0,0,ROUND(C65,0)/C16)</f>
        <v>1031.79166666667</v>
      </c>
      <c r="I66" s="5" t="s">
        <v>128</v>
      </c>
    </row>
    <row r="67" customFormat="false" ht="15" hidden="false" customHeight="false" outlineLevel="0" collapsed="false">
      <c r="B67" s="3" t="s">
        <v>129</v>
      </c>
      <c r="C67" s="18" t="n">
        <f aca="false">(MAX(C7*C19*(C47+1)/360,C20)-C49)+C7*C21/360+C7*(C30*(1-C31))*C35*((1-C34)^((C16+C36)/365)-(1-C34)^((C16+1+C36)/365))</f>
        <v>1031.71618781841</v>
      </c>
      <c r="I67" s="5" t="s">
        <v>130</v>
      </c>
    </row>
    <row r="69" customFormat="false" ht="15" hidden="false" customHeight="false" outlineLevel="0" collapsed="false">
      <c r="B69" s="7" t="s">
        <v>131</v>
      </c>
      <c r="C69" s="8"/>
      <c r="D69" s="8"/>
      <c r="E69" s="8"/>
      <c r="F69" s="8"/>
      <c r="G69" s="8"/>
    </row>
    <row r="70" customFormat="false" ht="15" hidden="false" customHeight="false" outlineLevel="0" collapsed="false">
      <c r="B70" s="23" t="s">
        <v>132</v>
      </c>
      <c r="C70" s="24" t="n">
        <f aca="false">D93</f>
        <v>192</v>
      </c>
      <c r="I70" s="5" t="s">
        <v>133</v>
      </c>
    </row>
    <row r="71" customFormat="false" ht="15" hidden="false" customHeight="false" outlineLevel="0" collapsed="false">
      <c r="B71" s="3" t="s">
        <v>134</v>
      </c>
      <c r="C71" s="15" t="n">
        <f aca="false">C42-(C48+MAX(C7*C19*(C70-1+C12+C13)/360,C20)+C7*C21*(C70-1)/360+C51+C7*(C30*(1-C31))*(1-(1-C34)^((C70-1+C36)/365))*C35)</f>
        <v>993.555054893601</v>
      </c>
    </row>
    <row r="72" customFormat="false" ht="15" hidden="false" customHeight="false" outlineLevel="0" collapsed="false">
      <c r="B72" s="3" t="s">
        <v>135</v>
      </c>
      <c r="C72" s="15" t="n">
        <f aca="false">C42-(C48+MAX(C7*C19*(C70+C12+C13)/360,C20)+C7*C21*C70/360+C51+C7*(C30*(1-C31))*(1-(1-C34)^((C70+C36)/365))*C35)</f>
        <v>-38.0728688408271</v>
      </c>
      <c r="I72" s="5" t="s">
        <v>136</v>
      </c>
    </row>
    <row r="74" customFormat="false" ht="15" hidden="false" customHeight="false" outlineLevel="0" collapsed="false">
      <c r="B74" s="7" t="s">
        <v>137</v>
      </c>
      <c r="C74" s="8"/>
      <c r="D74" s="8"/>
      <c r="E74" s="8"/>
      <c r="F74" s="8"/>
      <c r="G74" s="8"/>
    </row>
    <row r="75" customFormat="false" ht="15" hidden="false" customHeight="false" outlineLevel="0" collapsed="false">
      <c r="B75" s="5" t="s">
        <v>138</v>
      </c>
    </row>
    <row r="76" customFormat="false" ht="23.85" hidden="false" customHeight="false" outlineLevel="0" collapsed="false">
      <c r="B76" s="30" t="s">
        <v>139</v>
      </c>
      <c r="C76" s="30" t="s">
        <v>140</v>
      </c>
      <c r="D76" s="30" t="s">
        <v>141</v>
      </c>
      <c r="E76" s="30" t="s">
        <v>142</v>
      </c>
      <c r="F76" s="30" t="s">
        <v>143</v>
      </c>
      <c r="G76" s="30" t="s">
        <v>144</v>
      </c>
    </row>
    <row r="77" customFormat="false" ht="15" hidden="false" customHeight="false" outlineLevel="0" collapsed="false">
      <c r="B77" s="3" t="n">
        <v>1</v>
      </c>
      <c r="C77" s="9" t="n">
        <v>0</v>
      </c>
      <c r="D77" s="9" t="n">
        <v>3000</v>
      </c>
      <c r="E77" s="15" t="n">
        <f aca="false">INT((C77+D77)/2)</f>
        <v>1500</v>
      </c>
      <c r="F77" s="18" t="n">
        <f aca="false">$C$48+MAX($C$7*$C$19*(E77+$C$12+$C$13)/360,$C$20)+$C$7*$C$21*E77/360+$C$51+$C$7*($C$30*(1-$C$31))*(1-(1-$C$34)^((E77+$C$36)/365))*$C$35</f>
        <v>1654998.56921578</v>
      </c>
      <c r="G77" s="18" t="n">
        <f aca="false">$C$42-F77</f>
        <v>-1348398.56921578</v>
      </c>
    </row>
    <row r="78" customFormat="false" ht="15" hidden="false" customHeight="false" outlineLevel="0" collapsed="false">
      <c r="B78" s="3" t="n">
        <v>2</v>
      </c>
      <c r="C78" s="15" t="n">
        <f aca="false">IF(G77&gt;=0,E77,C77)</f>
        <v>0</v>
      </c>
      <c r="D78" s="15" t="n">
        <f aca="false">IF(G77&gt;=0,D77,E77)</f>
        <v>1500</v>
      </c>
      <c r="E78" s="15" t="n">
        <f aca="false">INT((C78+D78)/2)</f>
        <v>750</v>
      </c>
      <c r="F78" s="18" t="n">
        <f aca="false">$C$48+MAX($C$7*$C$19*(E78+$C$12+$C$13)/360,$C$20)+$C$7*$C$21*E78/360+$C$51+$C$7*($C$30*(1-$C$31))*(1-(1-$C$34)^((E78+$C$36)/365))*$C$35</f>
        <v>882097.416721785</v>
      </c>
      <c r="G78" s="18" t="n">
        <f aca="false">$C$42-F78</f>
        <v>-575497.416721785</v>
      </c>
    </row>
    <row r="79" customFormat="false" ht="15" hidden="false" customHeight="false" outlineLevel="0" collapsed="false">
      <c r="B79" s="3" t="n">
        <v>3</v>
      </c>
      <c r="C79" s="15" t="n">
        <f aca="false">IF(G78&gt;=0,E78,C78)</f>
        <v>0</v>
      </c>
      <c r="D79" s="15" t="n">
        <f aca="false">IF(G78&gt;=0,D78,E78)</f>
        <v>750</v>
      </c>
      <c r="E79" s="15" t="n">
        <f aca="false">INT((C79+D79)/2)</f>
        <v>375</v>
      </c>
      <c r="F79" s="18" t="n">
        <f aca="false">$C$48+MAX($C$7*$C$19*(E79+$C$12+$C$13)/360,$C$20)+$C$7*$C$21*E79/360+$C$51+$C$7*($C$30*(1-$C$31))*(1-(1-$C$34)^((E79+$C$36)/365))*$C$35</f>
        <v>495405.283712189</v>
      </c>
      <c r="G79" s="18" t="n">
        <f aca="false">$C$42-F79</f>
        <v>-188805.283712189</v>
      </c>
    </row>
    <row r="80" customFormat="false" ht="15" hidden="false" customHeight="false" outlineLevel="0" collapsed="false">
      <c r="B80" s="3" t="n">
        <v>4</v>
      </c>
      <c r="C80" s="15" t="n">
        <f aca="false">IF(G79&gt;=0,E79,C79)</f>
        <v>0</v>
      </c>
      <c r="D80" s="15" t="n">
        <f aca="false">IF(G79&gt;=0,D79,E79)</f>
        <v>375</v>
      </c>
      <c r="E80" s="15" t="n">
        <f aca="false">INT((C80+D80)/2)</f>
        <v>187</v>
      </c>
      <c r="F80" s="18" t="n">
        <f aca="false">$C$48+MAX($C$7*$C$19*(E80+$C$12+$C$13)/360,$C$20)+$C$7*$C$21*E80/360+$C$51+$C$7*($C$30*(1-$C$31))*(1-(1-$C$34)^((E80+$C$36)/365))*$C$35</f>
        <v>301479.920867026</v>
      </c>
      <c r="G80" s="18" t="n">
        <f aca="false">$C$42-F80</f>
        <v>5120.07913297368</v>
      </c>
    </row>
    <row r="81" customFormat="false" ht="15" hidden="false" customHeight="false" outlineLevel="0" collapsed="false">
      <c r="B81" s="3" t="n">
        <v>5</v>
      </c>
      <c r="C81" s="15" t="n">
        <f aca="false">IF(G80&gt;=0,E80,C80)</f>
        <v>187</v>
      </c>
      <c r="D81" s="15" t="n">
        <f aca="false">IF(G80&gt;=0,D80,E80)</f>
        <v>375</v>
      </c>
      <c r="E81" s="15" t="n">
        <f aca="false">INT((C81+D81)/2)</f>
        <v>281</v>
      </c>
      <c r="F81" s="18" t="n">
        <f aca="false">$C$48+MAX($C$7*$C$19*(E81+$C$12+$C$13)/360,$C$20)+$C$7*$C$21*E81/360+$C$51+$C$7*($C$30*(1-$C$31))*(1-(1-$C$34)^((E81+$C$36)/365))*$C$35</f>
        <v>398448.016409682</v>
      </c>
      <c r="G81" s="18" t="n">
        <f aca="false">$C$42-F81</f>
        <v>-91848.0164096822</v>
      </c>
    </row>
    <row r="82" customFormat="false" ht="15" hidden="false" customHeight="false" outlineLevel="0" collapsed="false">
      <c r="B82" s="3" t="n">
        <v>6</v>
      </c>
      <c r="C82" s="15" t="n">
        <f aca="false">IF(G81&gt;=0,E81,C81)</f>
        <v>187</v>
      </c>
      <c r="D82" s="15" t="n">
        <f aca="false">IF(G81&gt;=0,D81,E81)</f>
        <v>281</v>
      </c>
      <c r="E82" s="15" t="n">
        <f aca="false">INT((C82+D82)/2)</f>
        <v>234</v>
      </c>
      <c r="F82" s="18" t="n">
        <f aca="false">$C$48+MAX($C$7*$C$19*(E82+$C$12+$C$13)/360,$C$20)+$C$7*$C$21*E82/360+$C$51+$C$7*($C$30*(1-$C$31))*(1-(1-$C$34)^((E82+$C$36)/365))*$C$35</f>
        <v>349965.329474708</v>
      </c>
      <c r="G82" s="18" t="n">
        <f aca="false">$C$42-F82</f>
        <v>-43365.3294747077</v>
      </c>
    </row>
    <row r="83" customFormat="false" ht="15" hidden="false" customHeight="false" outlineLevel="0" collapsed="false">
      <c r="B83" s="3" t="n">
        <v>7</v>
      </c>
      <c r="C83" s="15" t="n">
        <f aca="false">IF(G82&gt;=0,E82,C82)</f>
        <v>187</v>
      </c>
      <c r="D83" s="15" t="n">
        <f aca="false">IF(G82&gt;=0,D82,E82)</f>
        <v>234</v>
      </c>
      <c r="E83" s="15" t="n">
        <f aca="false">INT((C83+D83)/2)</f>
        <v>210</v>
      </c>
      <c r="F83" s="18" t="n">
        <f aca="false">$C$48+MAX($C$7*$C$19*(E83+$C$12+$C$13)/360,$C$20)+$C$7*$C$21*E83/360+$C$51+$C$7*($C$30*(1-$C$31))*(1-(1-$C$34)^((E83+$C$36)/365))*$C$35</f>
        <v>325207.163930423</v>
      </c>
      <c r="G83" s="18" t="n">
        <f aca="false">$C$42-F83</f>
        <v>-18607.1639304226</v>
      </c>
    </row>
    <row r="84" customFormat="false" ht="15" hidden="false" customHeight="false" outlineLevel="0" collapsed="false">
      <c r="B84" s="3" t="n">
        <v>8</v>
      </c>
      <c r="C84" s="15" t="n">
        <f aca="false">IF(G83&gt;=0,E83,C83)</f>
        <v>187</v>
      </c>
      <c r="D84" s="15" t="n">
        <f aca="false">IF(G83&gt;=0,D83,E83)</f>
        <v>210</v>
      </c>
      <c r="E84" s="15" t="n">
        <f aca="false">INT((C84+D84)/2)</f>
        <v>198</v>
      </c>
      <c r="F84" s="18" t="n">
        <f aca="false">$C$48+MAX($C$7*$C$19*(E84+$C$12+$C$13)/360,$C$20)+$C$7*$C$21*E84/360+$C$51+$C$7*($C$30*(1-$C$31))*(1-(1-$C$34)^((E84+$C$36)/365))*$C$35</f>
        <v>312827.814417583</v>
      </c>
      <c r="G84" s="18" t="n">
        <f aca="false">$C$42-F84</f>
        <v>-6227.81441758253</v>
      </c>
    </row>
    <row r="85" customFormat="false" ht="15" hidden="false" customHeight="false" outlineLevel="0" collapsed="false">
      <c r="B85" s="3" t="n">
        <v>9</v>
      </c>
      <c r="C85" s="15" t="n">
        <f aca="false">IF(G84&gt;=0,E84,C84)</f>
        <v>187</v>
      </c>
      <c r="D85" s="15" t="n">
        <f aca="false">IF(G84&gt;=0,D84,E84)</f>
        <v>198</v>
      </c>
      <c r="E85" s="15" t="n">
        <f aca="false">INT((C85+D85)/2)</f>
        <v>192</v>
      </c>
      <c r="F85" s="18" t="n">
        <f aca="false">$C$48+MAX($C$7*$C$19*(E85+$C$12+$C$13)/360,$C$20)+$C$7*$C$21*E85/360+$C$51+$C$7*($C$30*(1-$C$31))*(1-(1-$C$34)^((E85+$C$36)/365))*$C$35</f>
        <v>306638.072868841</v>
      </c>
      <c r="G85" s="18" t="n">
        <f aca="false">$C$42-F85</f>
        <v>-38.0728688408271</v>
      </c>
    </row>
    <row r="86" customFormat="false" ht="15" hidden="false" customHeight="false" outlineLevel="0" collapsed="false">
      <c r="B86" s="3" t="n">
        <v>10</v>
      </c>
      <c r="C86" s="15" t="n">
        <f aca="false">IF(G85&gt;=0,E85,C85)</f>
        <v>187</v>
      </c>
      <c r="D86" s="15" t="n">
        <f aca="false">IF(G85&gt;=0,D85,E85)</f>
        <v>192</v>
      </c>
      <c r="E86" s="15" t="n">
        <f aca="false">INT((C86+D86)/2)</f>
        <v>189</v>
      </c>
      <c r="F86" s="18" t="n">
        <f aca="false">$C$48+MAX($C$7*$C$19*(E86+$C$12+$C$13)/360,$C$20)+$C$7*$C$21*E86/360+$C$51+$C$7*($C$30*(1-$C$31))*(1-(1-$C$34)^((E86+$C$36)/365))*$C$35</f>
        <v>303543.185382979</v>
      </c>
      <c r="G86" s="18" t="n">
        <f aca="false">$C$42-F86</f>
        <v>3056.81461702113</v>
      </c>
    </row>
    <row r="87" customFormat="false" ht="15" hidden="false" customHeight="false" outlineLevel="0" collapsed="false">
      <c r="B87" s="3" t="n">
        <v>11</v>
      </c>
      <c r="C87" s="15" t="n">
        <f aca="false">IF(G86&gt;=0,E86,C86)</f>
        <v>189</v>
      </c>
      <c r="D87" s="15" t="n">
        <f aca="false">IF(G86&gt;=0,D86,E86)</f>
        <v>192</v>
      </c>
      <c r="E87" s="15" t="n">
        <f aca="false">INT((C87+D87)/2)</f>
        <v>190</v>
      </c>
      <c r="F87" s="18" t="n">
        <f aca="false">$C$48+MAX($C$7*$C$19*(E87+$C$12+$C$13)/360,$C$20)+$C$7*$C$21*E87/360+$C$51+$C$7*($C$30*(1-$C$31))*(1-(1-$C$34)^((E87+$C$36)/365))*$C$35</f>
        <v>304574.8157832</v>
      </c>
      <c r="G87" s="18" t="n">
        <f aca="false">$C$42-F87</f>
        <v>2025.18421680026</v>
      </c>
    </row>
    <row r="88" customFormat="false" ht="15" hidden="false" customHeight="false" outlineLevel="0" collapsed="false">
      <c r="B88" s="3" t="n">
        <v>12</v>
      </c>
      <c r="C88" s="15" t="n">
        <f aca="false">IF(G87&gt;=0,E87,C87)</f>
        <v>190</v>
      </c>
      <c r="D88" s="15" t="n">
        <f aca="false">IF(G87&gt;=0,D87,E87)</f>
        <v>192</v>
      </c>
      <c r="E88" s="15" t="n">
        <f aca="false">INT((C88+D88)/2)</f>
        <v>191</v>
      </c>
      <c r="F88" s="18" t="n">
        <f aca="false">$C$48+MAX($C$7*$C$19*(E88+$C$12+$C$13)/360,$C$20)+$C$7*$C$21*E88/360+$C$51+$C$7*($C$30*(1-$C$31))*(1-(1-$C$34)^((E88+$C$36)/365))*$C$35</f>
        <v>305606.444945106</v>
      </c>
      <c r="G88" s="18" t="n">
        <f aca="false">$C$42-F88</f>
        <v>993.555054893601</v>
      </c>
    </row>
    <row r="89" customFormat="false" ht="15" hidden="false" customHeight="false" outlineLevel="0" collapsed="false">
      <c r="B89" s="3" t="n">
        <v>13</v>
      </c>
      <c r="C89" s="15" t="n">
        <f aca="false">IF(G88&gt;=0,E88,C88)</f>
        <v>191</v>
      </c>
      <c r="D89" s="15" t="n">
        <f aca="false">IF(G88&gt;=0,D88,E88)</f>
        <v>192</v>
      </c>
      <c r="E89" s="15" t="n">
        <f aca="false">INT((C89+D89)/2)</f>
        <v>191</v>
      </c>
      <c r="F89" s="18" t="n">
        <f aca="false">$C$48+MAX($C$7*$C$19*(E89+$C$12+$C$13)/360,$C$20)+$C$7*$C$21*E89/360+$C$51+$C$7*($C$30*(1-$C$31))*(1-(1-$C$34)^((E89+$C$36)/365))*$C$35</f>
        <v>305606.444945106</v>
      </c>
      <c r="G89" s="18" t="n">
        <f aca="false">$C$42-F89</f>
        <v>993.555054893601</v>
      </c>
    </row>
    <row r="90" customFormat="false" ht="15" hidden="false" customHeight="false" outlineLevel="0" collapsed="false">
      <c r="B90" s="3" t="n">
        <v>14</v>
      </c>
      <c r="C90" s="15" t="n">
        <f aca="false">IF(G89&gt;=0,E89,C89)</f>
        <v>191</v>
      </c>
      <c r="D90" s="15" t="n">
        <f aca="false">IF(G89&gt;=0,D89,E89)</f>
        <v>192</v>
      </c>
      <c r="E90" s="15" t="n">
        <f aca="false">INT((C90+D90)/2)</f>
        <v>191</v>
      </c>
      <c r="F90" s="18" t="n">
        <f aca="false">$C$48+MAX($C$7*$C$19*(E90+$C$12+$C$13)/360,$C$20)+$C$7*$C$21*E90/360+$C$51+$C$7*($C$30*(1-$C$31))*(1-(1-$C$34)^((E90+$C$36)/365))*$C$35</f>
        <v>305606.444945106</v>
      </c>
      <c r="G90" s="18" t="n">
        <f aca="false">$C$42-F90</f>
        <v>993.555054893601</v>
      </c>
    </row>
    <row r="91" customFormat="false" ht="15" hidden="false" customHeight="false" outlineLevel="0" collapsed="false">
      <c r="B91" s="3" t="n">
        <v>15</v>
      </c>
      <c r="C91" s="15" t="n">
        <f aca="false">IF(G90&gt;=0,E90,C90)</f>
        <v>191</v>
      </c>
      <c r="D91" s="15" t="n">
        <f aca="false">IF(G90&gt;=0,D90,E90)</f>
        <v>192</v>
      </c>
      <c r="E91" s="15" t="n">
        <f aca="false">INT((C91+D91)/2)</f>
        <v>191</v>
      </c>
      <c r="F91" s="18" t="n">
        <f aca="false">$C$48+MAX($C$7*$C$19*(E91+$C$12+$C$13)/360,$C$20)+$C$7*$C$21*E91/360+$C$51+$C$7*($C$30*(1-$C$31))*(1-(1-$C$34)^((E91+$C$36)/365))*$C$35</f>
        <v>305606.444945106</v>
      </c>
      <c r="G91" s="18" t="n">
        <f aca="false">$C$42-F91</f>
        <v>993.555054893601</v>
      </c>
    </row>
    <row r="92" customFormat="false" ht="15" hidden="false" customHeight="false" outlineLevel="0" collapsed="false">
      <c r="B92" s="3" t="n">
        <v>16</v>
      </c>
      <c r="C92" s="15" t="n">
        <f aca="false">IF(G91&gt;=0,E91,C91)</f>
        <v>191</v>
      </c>
      <c r="D92" s="15" t="n">
        <f aca="false">IF(G91&gt;=0,D91,E91)</f>
        <v>192</v>
      </c>
      <c r="E92" s="15" t="n">
        <f aca="false">INT((C92+D92)/2)</f>
        <v>191</v>
      </c>
      <c r="F92" s="18" t="n">
        <f aca="false">$C$48+MAX($C$7*$C$19*(E92+$C$12+$C$13)/360,$C$20)+$C$7*$C$21*E92/360+$C$51+$C$7*($C$30*(1-$C$31))*(1-(1-$C$34)^((E92+$C$36)/365))*$C$35</f>
        <v>305606.444945106</v>
      </c>
      <c r="G92" s="18" t="n">
        <f aca="false">$C$42-F92</f>
        <v>993.555054893601</v>
      </c>
    </row>
    <row r="93" customFormat="false" ht="15" hidden="false" customHeight="false" outlineLevel="0" collapsed="false">
      <c r="B93" s="4" t="s">
        <v>145</v>
      </c>
      <c r="C93" s="20" t="n">
        <f aca="false">IF(G92&gt;=0,E92,C92)</f>
        <v>191</v>
      </c>
      <c r="D93" s="20" t="n">
        <f aca="false">IF(G92&gt;=0,D92,E92)</f>
        <v>192</v>
      </c>
      <c r="F93" s="5" t="s">
        <v>146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N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15"/>
    <col collapsed="false" customWidth="true" hidden="false" outlineLevel="0" max="3" min="3" style="0" width="13"/>
    <col collapsed="false" customWidth="true" hidden="false" outlineLevel="0" max="4" min="4" style="0" width="14"/>
    <col collapsed="false" customWidth="true" hidden="false" outlineLevel="0" max="5" min="5" style="0" width="15"/>
    <col collapsed="false" customWidth="true" hidden="false" outlineLevel="0" max="6" min="6" style="0" width="14"/>
    <col collapsed="false" customWidth="true" hidden="false" outlineLevel="0" max="7" min="7" style="0" width="12"/>
    <col collapsed="false" customWidth="true" hidden="false" outlineLevel="0" max="8" min="8" style="0" width="17"/>
    <col collapsed="false" customWidth="true" hidden="false" outlineLevel="0" max="9" min="9" style="0" width="14"/>
    <col collapsed="false" customWidth="true" hidden="false" outlineLevel="0" max="10" min="10" style="0" width="15"/>
    <col collapsed="false" customWidth="true" hidden="false" outlineLevel="0" max="11" min="11" style="0" width="18"/>
    <col collapsed="false" customWidth="true" hidden="false" outlineLevel="0" max="13" min="12" style="0" width="12"/>
    <col collapsed="false" customWidth="true" hidden="false" outlineLevel="0" max="14" min="14" style="0" width="16"/>
    <col collapsed="false" customWidth="true" hidden="false" outlineLevel="0" max="15" min="15" style="0" width="4"/>
  </cols>
  <sheetData>
    <row r="2" customFormat="false" ht="17.35" hidden="false" customHeight="false" outlineLevel="0" collapsed="false">
      <c r="B2" s="1" t="s">
        <v>147</v>
      </c>
    </row>
    <row r="3" customFormat="false" ht="15" hidden="false" customHeight="false" outlineLevel="0" collapsed="false">
      <c r="B3" s="3" t="s">
        <v>148</v>
      </c>
    </row>
    <row r="4" customFormat="false" ht="15" hidden="false" customHeight="false" outlineLevel="0" collapsed="false">
      <c r="B4" s="5" t="s">
        <v>149</v>
      </c>
    </row>
    <row r="6" customFormat="false" ht="23.85" hidden="false" customHeight="false" outlineLevel="0" collapsed="false">
      <c r="B6" s="31" t="s">
        <v>150</v>
      </c>
      <c r="C6" s="32" t="s">
        <v>151</v>
      </c>
      <c r="D6" s="32" t="s">
        <v>152</v>
      </c>
      <c r="E6" s="32" t="s">
        <v>105</v>
      </c>
      <c r="F6" s="32" t="s">
        <v>153</v>
      </c>
      <c r="G6" s="32" t="s">
        <v>154</v>
      </c>
      <c r="H6" s="32" t="s">
        <v>155</v>
      </c>
      <c r="I6" s="32" t="s">
        <v>156</v>
      </c>
      <c r="J6" s="32" t="s">
        <v>157</v>
      </c>
      <c r="K6" s="32" t="s">
        <v>158</v>
      </c>
      <c r="L6" s="32" t="s">
        <v>159</v>
      </c>
      <c r="M6" s="32" t="s">
        <v>160</v>
      </c>
      <c r="N6" s="32" t="s">
        <v>117</v>
      </c>
    </row>
    <row r="7" customFormat="false" ht="15" hidden="false" customHeight="false" outlineLevel="0" collapsed="false">
      <c r="B7" s="9" t="n">
        <v>0</v>
      </c>
      <c r="C7" s="15" t="n">
        <f aca="false">B7+'Quote Calculator'!$C$12+'Quote Calculator'!$C$13</f>
        <v>35</v>
      </c>
      <c r="D7" s="18" t="n">
        <f aca="false">'Quote Calculator'!$C$39*'Quote Calculator'!$C$10*M7/360</f>
        <v>93304.134</v>
      </c>
      <c r="E7" s="18" t="n">
        <f aca="false">MAX('Quote Calculator'!$C$7*'Quote Calculator'!$C$19*((B7)+'Quote Calculator'!$C$12+'Quote Calculator'!$C$13)/360,'Quote Calculator'!$C$20)</f>
        <v>7554.16666666667</v>
      </c>
      <c r="F7" s="18" t="n">
        <f aca="false">'Quote Calculator'!$C$7*'Quote Calculator'!$C$21*(B7)/360</f>
        <v>0</v>
      </c>
      <c r="G7" s="18" t="n">
        <f aca="false">'Quote Calculator'!$C$51</f>
        <v>7020</v>
      </c>
      <c r="H7" s="18" t="n">
        <f aca="false">E7+F7+G7</f>
        <v>14574.1666666667</v>
      </c>
      <c r="I7" s="18" t="n">
        <f aca="false">'Quote Calculator'!$C$7*('Quote Calculator'!$C$30*(1-'Quote Calculator'!$C$31))*(1-(1-'Quote Calculator'!$C$34)^(((B7)+'Quote Calculator'!$C$36)/365))*'Quote Calculator'!$C$35</f>
        <v>664.341894559698</v>
      </c>
      <c r="J7" s="18" t="n">
        <f aca="false">D7+H7+I7</f>
        <v>108542.642561226</v>
      </c>
      <c r="K7" s="18" t="n">
        <f aca="false">'Quote Calculator'!$C$42-J7</f>
        <v>198057.357438774</v>
      </c>
      <c r="L7" s="33" t="n">
        <f aca="false">K7/'Quote Calculator'!$C$7</f>
        <v>0.0471565136758985</v>
      </c>
      <c r="M7" s="18" t="n">
        <f aca="false">'Quote Calculator'!$C$11+'Quote Calculator'!$C$12+'Quote Calculator'!$C$13+'Quote Calculator'!$C$27+'Quote Calculator'!$C$45</f>
        <v>116.82</v>
      </c>
      <c r="N7" s="33" t="n">
        <f aca="false">J7/'Quote Calculator'!$C$7*360/M7</f>
        <v>0.0796409439879862</v>
      </c>
    </row>
    <row r="8" customFormat="false" ht="15" hidden="false" customHeight="false" outlineLevel="0" collapsed="false">
      <c r="B8" s="9" t="n">
        <v>30</v>
      </c>
      <c r="C8" s="15" t="n">
        <f aca="false">B8+'Quote Calculator'!$C$12+'Quote Calculator'!$C$13</f>
        <v>65</v>
      </c>
      <c r="D8" s="18" t="n">
        <f aca="false">'Quote Calculator'!$C$39*'Quote Calculator'!$C$10*M8/360</f>
        <v>93304.134</v>
      </c>
      <c r="E8" s="18" t="n">
        <f aca="false">MAX('Quote Calculator'!$C$7*'Quote Calculator'!$C$19*((B8)+'Quote Calculator'!$C$12+'Quote Calculator'!$C$13)/360,'Quote Calculator'!$C$20)</f>
        <v>14029.1666666667</v>
      </c>
      <c r="F8" s="18" t="n">
        <f aca="false">'Quote Calculator'!$C$7*'Quote Calculator'!$C$21*(B8)/360</f>
        <v>24150</v>
      </c>
      <c r="G8" s="18" t="n">
        <f aca="false">'Quote Calculator'!$C$51</f>
        <v>7020</v>
      </c>
      <c r="H8" s="18" t="n">
        <f aca="false">E8+F8+G8</f>
        <v>45199.1666666667</v>
      </c>
      <c r="I8" s="18" t="n">
        <f aca="false">'Quote Calculator'!$C$7*('Quote Calculator'!$C$30*(1-'Quote Calculator'!$C$31))*(1-(1-'Quote Calculator'!$C$34)^(((B8)+'Quote Calculator'!$C$36)/365))*'Quote Calculator'!$C$35</f>
        <v>994.80232231519</v>
      </c>
      <c r="J8" s="18" t="n">
        <f aca="false">D8+H8+I8</f>
        <v>139498.102988982</v>
      </c>
      <c r="K8" s="18" t="n">
        <f aca="false">'Quote Calculator'!$C$42-J8</f>
        <v>167101.897011018</v>
      </c>
      <c r="L8" s="33" t="n">
        <f aca="false">K8/'Quote Calculator'!$C$7</f>
        <v>0.0397861659550043</v>
      </c>
      <c r="M8" s="18" t="n">
        <f aca="false">'Quote Calculator'!$C$11+'Quote Calculator'!$C$12+'Quote Calculator'!$C$13+'Quote Calculator'!$C$27+'Quote Calculator'!$C$45</f>
        <v>116.82</v>
      </c>
      <c r="N8" s="33" t="n">
        <f aca="false">J8/'Quote Calculator'!$C$7*360/M8</f>
        <v>0.102353879953762</v>
      </c>
    </row>
    <row r="9" customFormat="false" ht="15" hidden="false" customHeight="false" outlineLevel="0" collapsed="false">
      <c r="B9" s="9" t="n">
        <v>60</v>
      </c>
      <c r="C9" s="15" t="n">
        <f aca="false">B9+'Quote Calculator'!$C$12+'Quote Calculator'!$C$13</f>
        <v>95</v>
      </c>
      <c r="D9" s="18" t="n">
        <f aca="false">'Quote Calculator'!$C$39*'Quote Calculator'!$C$10*M9/360</f>
        <v>93304.134</v>
      </c>
      <c r="E9" s="18" t="n">
        <f aca="false">MAX('Quote Calculator'!$C$7*'Quote Calculator'!$C$19*((B9)+'Quote Calculator'!$C$12+'Quote Calculator'!$C$13)/360,'Quote Calculator'!$C$20)</f>
        <v>20504.1666666667</v>
      </c>
      <c r="F9" s="18" t="n">
        <f aca="false">'Quote Calculator'!$C$7*'Quote Calculator'!$C$21*(B9)/360</f>
        <v>48300</v>
      </c>
      <c r="G9" s="18" t="n">
        <f aca="false">'Quote Calculator'!$C$51</f>
        <v>7020</v>
      </c>
      <c r="H9" s="18" t="n">
        <f aca="false">E9+F9+G9</f>
        <v>75824.1666666667</v>
      </c>
      <c r="I9" s="18" t="n">
        <f aca="false">'Quote Calculator'!$C$7*('Quote Calculator'!$C$30*(1-'Quote Calculator'!$C$31))*(1-(1-'Quote Calculator'!$C$34)^(((B9)+'Quote Calculator'!$C$36)/365))*'Quote Calculator'!$C$35</f>
        <v>1324.12762497916</v>
      </c>
      <c r="J9" s="18" t="n">
        <f aca="false">D9+H9+I9</f>
        <v>170452.428291646</v>
      </c>
      <c r="K9" s="18" t="n">
        <f aca="false">'Quote Calculator'!$C$42-J9</f>
        <v>136147.571708354</v>
      </c>
      <c r="L9" s="33" t="n">
        <f aca="false">K9/'Quote Calculator'!$C$7</f>
        <v>0.0324160885019891</v>
      </c>
      <c r="M9" s="18" t="n">
        <f aca="false">'Quote Calculator'!$C$11+'Quote Calculator'!$C$12+'Quote Calculator'!$C$13+'Quote Calculator'!$C$27+'Quote Calculator'!$C$45</f>
        <v>116.82</v>
      </c>
      <c r="N9" s="33" t="n">
        <f aca="false">J9/'Quote Calculator'!$C$7*360/M9</f>
        <v>0.125065983044718</v>
      </c>
    </row>
    <row r="10" customFormat="false" ht="15" hidden="false" customHeight="false" outlineLevel="0" collapsed="false">
      <c r="B10" s="9" t="n">
        <v>90</v>
      </c>
      <c r="C10" s="15" t="n">
        <f aca="false">B10+'Quote Calculator'!$C$12+'Quote Calculator'!$C$13</f>
        <v>125</v>
      </c>
      <c r="D10" s="18" t="n">
        <f aca="false">'Quote Calculator'!$C$39*'Quote Calculator'!$C$10*M10/360</f>
        <v>93304.134</v>
      </c>
      <c r="E10" s="18" t="n">
        <f aca="false">MAX('Quote Calculator'!$C$7*'Quote Calculator'!$C$19*((B10)+'Quote Calculator'!$C$12+'Quote Calculator'!$C$13)/360,'Quote Calculator'!$C$20)</f>
        <v>26979.1666666667</v>
      </c>
      <c r="F10" s="18" t="n">
        <f aca="false">'Quote Calculator'!$C$7*'Quote Calculator'!$C$21*(B10)/360</f>
        <v>72450</v>
      </c>
      <c r="G10" s="18" t="n">
        <f aca="false">'Quote Calculator'!$C$51</f>
        <v>7020</v>
      </c>
      <c r="H10" s="18" t="n">
        <f aca="false">E10+F10+G10</f>
        <v>106449.166666667</v>
      </c>
      <c r="I10" s="18" t="n">
        <f aca="false">'Quote Calculator'!$C$7*('Quote Calculator'!$C$30*(1-'Quote Calculator'!$C$31))*(1-(1-'Quote Calculator'!$C$34)^(((B10)+'Quote Calculator'!$C$36)/365))*'Quote Calculator'!$C$35</f>
        <v>1652.32170168403</v>
      </c>
      <c r="J10" s="18" t="n">
        <f aca="false">D10+H10+I10</f>
        <v>201405.622368351</v>
      </c>
      <c r="K10" s="18" t="n">
        <f aca="false">'Quote Calculator'!$C$42-J10</f>
        <v>105194.377631649</v>
      </c>
      <c r="L10" s="33" t="n">
        <f aca="false">K10/'Quote Calculator'!$C$7</f>
        <v>0.0250462803884879</v>
      </c>
      <c r="M10" s="18" t="n">
        <f aca="false">'Quote Calculator'!$C$11+'Quote Calculator'!$C$12+'Quote Calculator'!$C$13+'Quote Calculator'!$C$27+'Quote Calculator'!$C$45</f>
        <v>116.82</v>
      </c>
      <c r="N10" s="33" t="n">
        <f aca="false">J10/'Quote Calculator'!$C$7*360/M10</f>
        <v>0.147777256121763</v>
      </c>
    </row>
    <row r="11" customFormat="false" ht="15" hidden="false" customHeight="false" outlineLevel="0" collapsed="false">
      <c r="B11" s="9" t="n">
        <v>108</v>
      </c>
      <c r="C11" s="15" t="n">
        <f aca="false">B11+'Quote Calculator'!$C$12+'Quote Calculator'!$C$13</f>
        <v>143</v>
      </c>
      <c r="D11" s="18" t="n">
        <f aca="false">'Quote Calculator'!$C$39*'Quote Calculator'!$C$10*M11/360</f>
        <v>93304.134</v>
      </c>
      <c r="E11" s="18" t="n">
        <f aca="false">MAX('Quote Calculator'!$C$7*'Quote Calculator'!$C$19*((B11)+'Quote Calculator'!$C$12+'Quote Calculator'!$C$13)/360,'Quote Calculator'!$C$20)</f>
        <v>30864.1666666667</v>
      </c>
      <c r="F11" s="18" t="n">
        <f aca="false">'Quote Calculator'!$C$7*'Quote Calculator'!$C$21*(B11)/360</f>
        <v>86940</v>
      </c>
      <c r="G11" s="18" t="n">
        <f aca="false">'Quote Calculator'!$C$51</f>
        <v>7020</v>
      </c>
      <c r="H11" s="18" t="n">
        <f aca="false">E11+F11+G11</f>
        <v>124824.166666667</v>
      </c>
      <c r="I11" s="18" t="n">
        <f aca="false">'Quote Calculator'!$C$7*('Quote Calculator'!$C$30*(1-'Quote Calculator'!$C$31))*(1-(1-'Quote Calculator'!$C$34)^(((B11)+'Quote Calculator'!$C$36)/365))*'Quote Calculator'!$C$35</f>
        <v>1848.69677626981</v>
      </c>
      <c r="J11" s="18" t="n">
        <f aca="false">D11+H11+I11</f>
        <v>219976.997442936</v>
      </c>
      <c r="K11" s="18" t="n">
        <f aca="false">'Quote Calculator'!$C$42-J11</f>
        <v>86623.0025570635</v>
      </c>
      <c r="L11" s="33" t="n">
        <f aca="false">K11/'Quote Calculator'!$C$7</f>
        <v>0.0206245244183485</v>
      </c>
      <c r="M11" s="18" t="n">
        <f aca="false">'Quote Calculator'!$C$11+'Quote Calculator'!$C$12+'Quote Calculator'!$C$13+'Quote Calculator'!$C$27+'Quote Calculator'!$C$45</f>
        <v>116.82</v>
      </c>
      <c r="N11" s="33" t="n">
        <f aca="false">J11/'Quote Calculator'!$C$7*360/M11</f>
        <v>0.161403622747771</v>
      </c>
    </row>
    <row r="12" customFormat="false" ht="15" hidden="false" customHeight="false" outlineLevel="0" collapsed="false">
      <c r="B12" s="34" t="n">
        <v>120</v>
      </c>
      <c r="C12" s="35" t="n">
        <f aca="false">B12+'Quote Calculator'!$C$12+'Quote Calculator'!$C$13</f>
        <v>155</v>
      </c>
      <c r="D12" s="36" t="n">
        <f aca="false">'Quote Calculator'!$C$39*'Quote Calculator'!$C$10*M12/360</f>
        <v>93304.134</v>
      </c>
      <c r="E12" s="36" t="n">
        <f aca="false">MAX('Quote Calculator'!$C$7*'Quote Calculator'!$C$19*((B12)+'Quote Calculator'!$C$12+'Quote Calculator'!$C$13)/360,'Quote Calculator'!$C$20)</f>
        <v>33454.1666666667</v>
      </c>
      <c r="F12" s="36" t="n">
        <f aca="false">'Quote Calculator'!$C$7*'Quote Calculator'!$C$21*(B12)/360</f>
        <v>96600</v>
      </c>
      <c r="G12" s="36" t="n">
        <f aca="false">'Quote Calculator'!$C$51</f>
        <v>7020</v>
      </c>
      <c r="H12" s="36" t="n">
        <f aca="false">E12+F12+G12</f>
        <v>137074.166666667</v>
      </c>
      <c r="I12" s="36" t="n">
        <f aca="false">'Quote Calculator'!$C$7*('Quote Calculator'!$C$30*(1-'Quote Calculator'!$C$31))*(1-(1-'Quote Calculator'!$C$34)^(((B12)+'Quote Calculator'!$C$36)/365))*'Quote Calculator'!$C$35</f>
        <v>1979.38843816882</v>
      </c>
      <c r="J12" s="36" t="n">
        <f aca="false">D12+H12+I12</f>
        <v>232357.689104835</v>
      </c>
      <c r="K12" s="36" t="n">
        <f aca="false">'Quote Calculator'!$C$42-J12</f>
        <v>74242.3108951645</v>
      </c>
      <c r="L12" s="37" t="n">
        <f aca="false">K12/'Quote Calculator'!$C$7</f>
        <v>0.0176767406893249</v>
      </c>
      <c r="M12" s="36" t="n">
        <f aca="false">'Quote Calculator'!$C$11+'Quote Calculator'!$C$12+'Quote Calculator'!$C$13+'Quote Calculator'!$C$27+'Quote Calculator'!$C$45</f>
        <v>116.82</v>
      </c>
      <c r="N12" s="37" t="n">
        <f aca="false">J12/'Quote Calculator'!$C$7*360/M12</f>
        <v>0.170487702035979</v>
      </c>
    </row>
    <row r="13" customFormat="false" ht="15" hidden="false" customHeight="false" outlineLevel="0" collapsed="false">
      <c r="B13" s="9" t="n">
        <v>180</v>
      </c>
      <c r="C13" s="15" t="n">
        <f aca="false">B13+'Quote Calculator'!$C$12+'Quote Calculator'!$C$13</f>
        <v>215</v>
      </c>
      <c r="D13" s="18" t="n">
        <f aca="false">'Quote Calculator'!$C$39*'Quote Calculator'!$C$10*M13/360</f>
        <v>93304.134</v>
      </c>
      <c r="E13" s="18" t="n">
        <f aca="false">MAX('Quote Calculator'!$C$7*'Quote Calculator'!$C$19*((B13)+'Quote Calculator'!$C$12+'Quote Calculator'!$C$13)/360,'Quote Calculator'!$C$20)</f>
        <v>46404.1666666667</v>
      </c>
      <c r="F13" s="18" t="n">
        <f aca="false">'Quote Calculator'!$C$7*'Quote Calculator'!$C$21*(B13)/360</f>
        <v>144900</v>
      </c>
      <c r="G13" s="18" t="n">
        <f aca="false">'Quote Calculator'!$C$51</f>
        <v>7020</v>
      </c>
      <c r="H13" s="18" t="n">
        <f aca="false">E13+F13+G13</f>
        <v>198324.166666667</v>
      </c>
      <c r="I13" s="18" t="n">
        <f aca="false">'Quote Calculator'!$C$7*('Quote Calculator'!$C$30*(1-'Quote Calculator'!$C$31))*(1-(1-'Quote Calculator'!$C$34)^(((B13)+'Quote Calculator'!$C$36)/365))*'Quote Calculator'!$C$35</f>
        <v>2630.15536674274</v>
      </c>
      <c r="J13" s="18" t="n">
        <f aca="false">D13+H13+I13</f>
        <v>294258.456033409</v>
      </c>
      <c r="K13" s="18" t="n">
        <f aca="false">'Quote Calculator'!$C$42-J13</f>
        <v>12341.5439665906</v>
      </c>
      <c r="L13" s="33" t="n">
        <f aca="false">K13/'Quote Calculator'!$C$7</f>
        <v>0.00293846284918824</v>
      </c>
      <c r="M13" s="18" t="n">
        <f aca="false">'Quote Calculator'!$C$11+'Quote Calculator'!$C$12+'Quote Calculator'!$C$13+'Quote Calculator'!$C$27+'Quote Calculator'!$C$45</f>
        <v>116.82</v>
      </c>
      <c r="N13" s="33" t="n">
        <f aca="false">J13/'Quote Calculator'!$C$7*360/M13</f>
        <v>0.215906123731315</v>
      </c>
    </row>
    <row r="16" customFormat="false" ht="15" hidden="false" customHeight="false" outlineLevel="0" collapsed="false">
      <c r="B16" s="7" t="s">
        <v>161</v>
      </c>
      <c r="C16" s="8"/>
      <c r="D16" s="8"/>
      <c r="E16" s="8"/>
      <c r="F16" s="8"/>
      <c r="G16" s="8"/>
      <c r="H16" s="8"/>
    </row>
    <row r="17" customFormat="false" ht="15" hidden="false" customHeight="false" outlineLevel="0" collapsed="false">
      <c r="B17" s="3" t="s">
        <v>162</v>
      </c>
      <c r="H17" s="18" t="n">
        <f aca="false">J7</f>
        <v>108542.642561226</v>
      </c>
      <c r="I17" s="5" t="s">
        <v>163</v>
      </c>
    </row>
    <row r="18" customFormat="false" ht="15" hidden="false" customHeight="false" outlineLevel="0" collapsed="false">
      <c r="B18" s="3" t="s">
        <v>164</v>
      </c>
      <c r="H18" s="18" t="n">
        <f aca="false">J13</f>
        <v>294258.456033409</v>
      </c>
      <c r="I18" s="5" t="s">
        <v>165</v>
      </c>
    </row>
    <row r="19" customFormat="false" ht="15" hidden="false" customHeight="false" outlineLevel="0" collapsed="false">
      <c r="B19" s="4" t="s">
        <v>166</v>
      </c>
      <c r="H19" s="19" t="n">
        <f aca="false">J13-J7</f>
        <v>185715.813472183</v>
      </c>
      <c r="I19" s="5" t="s">
        <v>167</v>
      </c>
    </row>
    <row r="20" customFormat="false" ht="15" hidden="false" customHeight="false" outlineLevel="0" collapsed="false">
      <c r="B20" s="3" t="s">
        <v>168</v>
      </c>
      <c r="H20" s="15" t="n">
        <f aca="false">B13-B7</f>
        <v>180</v>
      </c>
    </row>
    <row r="21" customFormat="false" ht="15" hidden="false" customHeight="false" outlineLevel="0" collapsed="false">
      <c r="B21" s="25" t="s">
        <v>127</v>
      </c>
      <c r="H21" s="29" t="n">
        <f aca="false">ROUND(J13-J7,0)/(B13-B7)</f>
        <v>1031.75555555556</v>
      </c>
      <c r="I21" s="5" t="s">
        <v>169</v>
      </c>
    </row>
    <row r="22" customFormat="false" ht="15" hidden="false" customHeight="false" outlineLevel="0" collapsed="false">
      <c r="B22" s="3" t="s">
        <v>170</v>
      </c>
      <c r="H22" s="18" t="n">
        <f aca="false">(J13-J7)/(B13-B7)</f>
        <v>1031.75451928991</v>
      </c>
      <c r="I22" s="5" t="s">
        <v>171</v>
      </c>
    </row>
    <row r="24" customFormat="false" ht="15" hidden="false" customHeight="false" outlineLevel="0" collapsed="false">
      <c r="B24" s="7" t="s">
        <v>172</v>
      </c>
      <c r="C24" s="8"/>
      <c r="D24" s="8"/>
      <c r="E24" s="8"/>
      <c r="F24" s="8"/>
      <c r="G24" s="8"/>
      <c r="H24" s="8"/>
    </row>
    <row r="25" customFormat="false" ht="15" hidden="false" customHeight="false" outlineLevel="0" collapsed="false">
      <c r="B25" s="3" t="s">
        <v>173</v>
      </c>
      <c r="H25" s="18" t="n">
        <f aca="false">(ROUND(J13,0)-ROUND(J12,0))/(B13-B12)</f>
        <v>1031.66666666667</v>
      </c>
    </row>
    <row r="26" customFormat="false" ht="15" hidden="false" customHeight="false" outlineLevel="0" collapsed="false">
      <c r="B26" s="3" t="s">
        <v>174</v>
      </c>
      <c r="H26" s="18" t="n">
        <f aca="false">(ROUND(J12,0)-ROUND(J10,0))/(B12-B10)</f>
        <v>1031.73333333333</v>
      </c>
    </row>
    <row r="28" customFormat="false" ht="15" hidden="false" customHeight="false" outlineLevel="0" collapsed="false">
      <c r="B28" s="5" t="s">
        <v>175</v>
      </c>
    </row>
    <row r="29" customFormat="false" ht="15" hidden="false" customHeight="false" outlineLevel="0" collapsed="false">
      <c r="B29" s="5" t="s">
        <v>176</v>
      </c>
    </row>
    <row r="30" customFormat="false" ht="15" hidden="false" customHeight="false" outlineLevel="0" collapsed="false">
      <c r="B30" s="5" t="s">
        <v>177</v>
      </c>
    </row>
    <row r="31" customFormat="false" ht="15" hidden="false" customHeight="false" outlineLevel="0" collapsed="false">
      <c r="B31" s="5" t="s">
        <v>178</v>
      </c>
    </row>
    <row r="32" customFormat="false" ht="15" hidden="false" customHeight="false" outlineLevel="0" collapsed="false">
      <c r="B32" s="5" t="s">
        <v>179</v>
      </c>
    </row>
    <row r="33" customFormat="false" ht="15" hidden="false" customHeight="false" outlineLevel="0" collapsed="false">
      <c r="B33" s="5" t="s">
        <v>180</v>
      </c>
    </row>
    <row r="34" customFormat="false" ht="15" hidden="false" customHeight="false" outlineLevel="0" collapsed="false">
      <c r="B34" s="5" t="s">
        <v>181</v>
      </c>
    </row>
    <row r="35" customFormat="false" ht="15" hidden="false" customHeight="false" outlineLevel="0" collapsed="false">
      <c r="B35" s="5" t="s">
        <v>182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1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5" min="3" style="0" width="15"/>
    <col collapsed="false" customWidth="true" hidden="false" outlineLevel="0" max="7" min="6" style="0" width="20"/>
    <col collapsed="false" customWidth="true" hidden="false" outlineLevel="0" max="8" min="8" style="0" width="4"/>
  </cols>
  <sheetData>
    <row r="2" customFormat="false" ht="17.35" hidden="false" customHeight="false" outlineLevel="0" collapsed="false">
      <c r="B2" s="1" t="s">
        <v>183</v>
      </c>
    </row>
    <row r="3" customFormat="false" ht="15" hidden="false" customHeight="false" outlineLevel="0" collapsed="false">
      <c r="B3" s="3" t="s">
        <v>184</v>
      </c>
    </row>
    <row r="5" customFormat="false" ht="15" hidden="false" customHeight="false" outlineLevel="0" collapsed="false">
      <c r="B5" s="7" t="s">
        <v>185</v>
      </c>
      <c r="C5" s="8"/>
      <c r="D5" s="8"/>
      <c r="E5" s="8"/>
      <c r="F5" s="8"/>
      <c r="G5" s="8"/>
    </row>
    <row r="6" customFormat="false" ht="15" hidden="false" customHeight="false" outlineLevel="0" collapsed="false">
      <c r="B6" s="5" t="s">
        <v>186</v>
      </c>
    </row>
    <row r="7" customFormat="false" ht="23.85" hidden="false" customHeight="false" outlineLevel="0" collapsed="false">
      <c r="B7" s="30" t="s">
        <v>139</v>
      </c>
      <c r="C7" s="30" t="s">
        <v>140</v>
      </c>
      <c r="D7" s="30" t="s">
        <v>141</v>
      </c>
      <c r="E7" s="30" t="s">
        <v>142</v>
      </c>
      <c r="F7" s="30" t="s">
        <v>143</v>
      </c>
      <c r="G7" s="30" t="s">
        <v>187</v>
      </c>
    </row>
    <row r="8" customFormat="false" ht="15" hidden="false" customHeight="false" outlineLevel="0" collapsed="false">
      <c r="B8" s="3" t="n">
        <v>1</v>
      </c>
      <c r="C8" s="9" t="n">
        <v>0</v>
      </c>
      <c r="D8" s="9" t="n">
        <v>3000</v>
      </c>
      <c r="E8" s="15" t="n">
        <f aca="false">INT((C8+D8)/2)</f>
        <v>1500</v>
      </c>
      <c r="F8" s="18" t="n">
        <f aca="false">'Quote Calculator'!$C$48+MAX('Quote Calculator'!$C$7*'Quote Calculator'!$C$19*((E8)+'Quote Calculator'!$C$12+'Quote Calculator'!$C$13)/360,'Quote Calculator'!$C$20)+'Quote Calculator'!$C$7*'Quote Calculator'!$C$21*(E8)/360+'Quote Calculator'!$C$51+'Quote Calculator'!$C$7*('Quote Calculator'!$C$30*(1-'Quote Calculator'!$C$31))*(1-(1-'Quote Calculator'!$C$34)^(((E8)+'Quote Calculator'!$C$36)/365))*'Quote Calculator'!$C$35</f>
        <v>1654998.56921578</v>
      </c>
      <c r="G8" s="18" t="n">
        <f aca="false">'Quote Calculator'!$C$42-F8</f>
        <v>-1348398.56921578</v>
      </c>
    </row>
    <row r="9" customFormat="false" ht="15" hidden="false" customHeight="false" outlineLevel="0" collapsed="false">
      <c r="B9" s="3" t="n">
        <v>2</v>
      </c>
      <c r="C9" s="15" t="n">
        <f aca="false">IF(G8&gt;=0,E8,C8)</f>
        <v>0</v>
      </c>
      <c r="D9" s="15" t="n">
        <f aca="false">IF(G8&gt;=0,D8,E8)</f>
        <v>1500</v>
      </c>
      <c r="E9" s="15" t="n">
        <f aca="false">INT((C9+D9)/2)</f>
        <v>750</v>
      </c>
      <c r="F9" s="18" t="n">
        <f aca="false">'Quote Calculator'!$C$48+MAX('Quote Calculator'!$C$7*'Quote Calculator'!$C$19*((E9)+'Quote Calculator'!$C$12+'Quote Calculator'!$C$13)/360,'Quote Calculator'!$C$20)+'Quote Calculator'!$C$7*'Quote Calculator'!$C$21*(E9)/360+'Quote Calculator'!$C$51+'Quote Calculator'!$C$7*('Quote Calculator'!$C$30*(1-'Quote Calculator'!$C$31))*(1-(1-'Quote Calculator'!$C$34)^(((E9)+'Quote Calculator'!$C$36)/365))*'Quote Calculator'!$C$35</f>
        <v>882097.416721785</v>
      </c>
      <c r="G9" s="18" t="n">
        <f aca="false">'Quote Calculator'!$C$42-F9</f>
        <v>-575497.416721785</v>
      </c>
    </row>
    <row r="10" customFormat="false" ht="15" hidden="false" customHeight="false" outlineLevel="0" collapsed="false">
      <c r="B10" s="3" t="n">
        <v>3</v>
      </c>
      <c r="C10" s="15" t="n">
        <f aca="false">IF(G9&gt;=0,E9,C9)</f>
        <v>0</v>
      </c>
      <c r="D10" s="15" t="n">
        <f aca="false">IF(G9&gt;=0,D9,E9)</f>
        <v>750</v>
      </c>
      <c r="E10" s="15" t="n">
        <f aca="false">INT((C10+D10)/2)</f>
        <v>375</v>
      </c>
      <c r="F10" s="18" t="n">
        <f aca="false">'Quote Calculator'!$C$48+MAX('Quote Calculator'!$C$7*'Quote Calculator'!$C$19*((E10)+'Quote Calculator'!$C$12+'Quote Calculator'!$C$13)/360,'Quote Calculator'!$C$20)+'Quote Calculator'!$C$7*'Quote Calculator'!$C$21*(E10)/360+'Quote Calculator'!$C$51+'Quote Calculator'!$C$7*('Quote Calculator'!$C$30*(1-'Quote Calculator'!$C$31))*(1-(1-'Quote Calculator'!$C$34)^(((E10)+'Quote Calculator'!$C$36)/365))*'Quote Calculator'!$C$35</f>
        <v>495405.283712189</v>
      </c>
      <c r="G10" s="18" t="n">
        <f aca="false">'Quote Calculator'!$C$42-F10</f>
        <v>-188805.283712189</v>
      </c>
    </row>
    <row r="11" customFormat="false" ht="15" hidden="false" customHeight="false" outlineLevel="0" collapsed="false">
      <c r="B11" s="3" t="n">
        <v>4</v>
      </c>
      <c r="C11" s="15" t="n">
        <f aca="false">IF(G10&gt;=0,E10,C10)</f>
        <v>0</v>
      </c>
      <c r="D11" s="15" t="n">
        <f aca="false">IF(G10&gt;=0,D10,E10)</f>
        <v>375</v>
      </c>
      <c r="E11" s="15" t="n">
        <f aca="false">INT((C11+D11)/2)</f>
        <v>187</v>
      </c>
      <c r="F11" s="18" t="n">
        <f aca="false">'Quote Calculator'!$C$48+MAX('Quote Calculator'!$C$7*'Quote Calculator'!$C$19*((E11)+'Quote Calculator'!$C$12+'Quote Calculator'!$C$13)/360,'Quote Calculator'!$C$20)+'Quote Calculator'!$C$7*'Quote Calculator'!$C$21*(E11)/360+'Quote Calculator'!$C$51+'Quote Calculator'!$C$7*('Quote Calculator'!$C$30*(1-'Quote Calculator'!$C$31))*(1-(1-'Quote Calculator'!$C$34)^(((E11)+'Quote Calculator'!$C$36)/365))*'Quote Calculator'!$C$35</f>
        <v>301479.920867026</v>
      </c>
      <c r="G11" s="18" t="n">
        <f aca="false">'Quote Calculator'!$C$42-F11</f>
        <v>5120.07913297368</v>
      </c>
    </row>
    <row r="12" customFormat="false" ht="15" hidden="false" customHeight="false" outlineLevel="0" collapsed="false">
      <c r="B12" s="3" t="n">
        <v>5</v>
      </c>
      <c r="C12" s="15" t="n">
        <f aca="false">IF(G11&gt;=0,E11,C11)</f>
        <v>187</v>
      </c>
      <c r="D12" s="15" t="n">
        <f aca="false">IF(G11&gt;=0,D11,E11)</f>
        <v>375</v>
      </c>
      <c r="E12" s="15" t="n">
        <f aca="false">INT((C12+D12)/2)</f>
        <v>281</v>
      </c>
      <c r="F12" s="18" t="n">
        <f aca="false">'Quote Calculator'!$C$48+MAX('Quote Calculator'!$C$7*'Quote Calculator'!$C$19*((E12)+'Quote Calculator'!$C$12+'Quote Calculator'!$C$13)/360,'Quote Calculator'!$C$20)+'Quote Calculator'!$C$7*'Quote Calculator'!$C$21*(E12)/360+'Quote Calculator'!$C$51+'Quote Calculator'!$C$7*('Quote Calculator'!$C$30*(1-'Quote Calculator'!$C$31))*(1-(1-'Quote Calculator'!$C$34)^(((E12)+'Quote Calculator'!$C$36)/365))*'Quote Calculator'!$C$35</f>
        <v>398448.016409682</v>
      </c>
      <c r="G12" s="18" t="n">
        <f aca="false">'Quote Calculator'!$C$42-F12</f>
        <v>-91848.0164096822</v>
      </c>
    </row>
    <row r="13" customFormat="false" ht="15" hidden="false" customHeight="false" outlineLevel="0" collapsed="false">
      <c r="B13" s="3" t="n">
        <v>6</v>
      </c>
      <c r="C13" s="15" t="n">
        <f aca="false">IF(G12&gt;=0,E12,C12)</f>
        <v>187</v>
      </c>
      <c r="D13" s="15" t="n">
        <f aca="false">IF(G12&gt;=0,D12,E12)</f>
        <v>281</v>
      </c>
      <c r="E13" s="15" t="n">
        <f aca="false">INT((C13+D13)/2)</f>
        <v>234</v>
      </c>
      <c r="F13" s="18" t="n">
        <f aca="false">'Quote Calculator'!$C$48+MAX('Quote Calculator'!$C$7*'Quote Calculator'!$C$19*((E13)+'Quote Calculator'!$C$12+'Quote Calculator'!$C$13)/360,'Quote Calculator'!$C$20)+'Quote Calculator'!$C$7*'Quote Calculator'!$C$21*(E13)/360+'Quote Calculator'!$C$51+'Quote Calculator'!$C$7*('Quote Calculator'!$C$30*(1-'Quote Calculator'!$C$31))*(1-(1-'Quote Calculator'!$C$34)^(((E13)+'Quote Calculator'!$C$36)/365))*'Quote Calculator'!$C$35</f>
        <v>349965.329474708</v>
      </c>
      <c r="G13" s="18" t="n">
        <f aca="false">'Quote Calculator'!$C$42-F13</f>
        <v>-43365.3294747077</v>
      </c>
    </row>
    <row r="14" customFormat="false" ht="15" hidden="false" customHeight="false" outlineLevel="0" collapsed="false">
      <c r="B14" s="3" t="n">
        <v>7</v>
      </c>
      <c r="C14" s="15" t="n">
        <f aca="false">IF(G13&gt;=0,E13,C13)</f>
        <v>187</v>
      </c>
      <c r="D14" s="15" t="n">
        <f aca="false">IF(G13&gt;=0,D13,E13)</f>
        <v>234</v>
      </c>
      <c r="E14" s="15" t="n">
        <f aca="false">INT((C14+D14)/2)</f>
        <v>210</v>
      </c>
      <c r="F14" s="18" t="n">
        <f aca="false">'Quote Calculator'!$C$48+MAX('Quote Calculator'!$C$7*'Quote Calculator'!$C$19*((E14)+'Quote Calculator'!$C$12+'Quote Calculator'!$C$13)/360,'Quote Calculator'!$C$20)+'Quote Calculator'!$C$7*'Quote Calculator'!$C$21*(E14)/360+'Quote Calculator'!$C$51+'Quote Calculator'!$C$7*('Quote Calculator'!$C$30*(1-'Quote Calculator'!$C$31))*(1-(1-'Quote Calculator'!$C$34)^(((E14)+'Quote Calculator'!$C$36)/365))*'Quote Calculator'!$C$35</f>
        <v>325207.163930423</v>
      </c>
      <c r="G14" s="18" t="n">
        <f aca="false">'Quote Calculator'!$C$42-F14</f>
        <v>-18607.1639304226</v>
      </c>
    </row>
    <row r="15" customFormat="false" ht="15" hidden="false" customHeight="false" outlineLevel="0" collapsed="false">
      <c r="B15" s="3" t="n">
        <v>8</v>
      </c>
      <c r="C15" s="15" t="n">
        <f aca="false">IF(G14&gt;=0,E14,C14)</f>
        <v>187</v>
      </c>
      <c r="D15" s="15" t="n">
        <f aca="false">IF(G14&gt;=0,D14,E14)</f>
        <v>210</v>
      </c>
      <c r="E15" s="15" t="n">
        <f aca="false">INT((C15+D15)/2)</f>
        <v>198</v>
      </c>
      <c r="F15" s="18" t="n">
        <f aca="false">'Quote Calculator'!$C$48+MAX('Quote Calculator'!$C$7*'Quote Calculator'!$C$19*((E15)+'Quote Calculator'!$C$12+'Quote Calculator'!$C$13)/360,'Quote Calculator'!$C$20)+'Quote Calculator'!$C$7*'Quote Calculator'!$C$21*(E15)/360+'Quote Calculator'!$C$51+'Quote Calculator'!$C$7*('Quote Calculator'!$C$30*(1-'Quote Calculator'!$C$31))*(1-(1-'Quote Calculator'!$C$34)^(((E15)+'Quote Calculator'!$C$36)/365))*'Quote Calculator'!$C$35</f>
        <v>312827.814417583</v>
      </c>
      <c r="G15" s="18" t="n">
        <f aca="false">'Quote Calculator'!$C$42-F15</f>
        <v>-6227.81441758253</v>
      </c>
    </row>
    <row r="16" customFormat="false" ht="15" hidden="false" customHeight="false" outlineLevel="0" collapsed="false">
      <c r="B16" s="3" t="n">
        <v>9</v>
      </c>
      <c r="C16" s="15" t="n">
        <f aca="false">IF(G15&gt;=0,E15,C15)</f>
        <v>187</v>
      </c>
      <c r="D16" s="15" t="n">
        <f aca="false">IF(G15&gt;=0,D15,E15)</f>
        <v>198</v>
      </c>
      <c r="E16" s="15" t="n">
        <f aca="false">INT((C16+D16)/2)</f>
        <v>192</v>
      </c>
      <c r="F16" s="18" t="n">
        <f aca="false">'Quote Calculator'!$C$48+MAX('Quote Calculator'!$C$7*'Quote Calculator'!$C$19*((E16)+'Quote Calculator'!$C$12+'Quote Calculator'!$C$13)/360,'Quote Calculator'!$C$20)+'Quote Calculator'!$C$7*'Quote Calculator'!$C$21*(E16)/360+'Quote Calculator'!$C$51+'Quote Calculator'!$C$7*('Quote Calculator'!$C$30*(1-'Quote Calculator'!$C$31))*(1-(1-'Quote Calculator'!$C$34)^(((E16)+'Quote Calculator'!$C$36)/365))*'Quote Calculator'!$C$35</f>
        <v>306638.072868841</v>
      </c>
      <c r="G16" s="18" t="n">
        <f aca="false">'Quote Calculator'!$C$42-F16</f>
        <v>-38.0728688408271</v>
      </c>
    </row>
    <row r="17" customFormat="false" ht="15" hidden="false" customHeight="false" outlineLevel="0" collapsed="false">
      <c r="B17" s="3" t="n">
        <v>10</v>
      </c>
      <c r="C17" s="15" t="n">
        <f aca="false">IF(G16&gt;=0,E16,C16)</f>
        <v>187</v>
      </c>
      <c r="D17" s="15" t="n">
        <f aca="false">IF(G16&gt;=0,D16,E16)</f>
        <v>192</v>
      </c>
      <c r="E17" s="15" t="n">
        <f aca="false">INT((C17+D17)/2)</f>
        <v>189</v>
      </c>
      <c r="F17" s="18" t="n">
        <f aca="false">'Quote Calculator'!$C$48+MAX('Quote Calculator'!$C$7*'Quote Calculator'!$C$19*((E17)+'Quote Calculator'!$C$12+'Quote Calculator'!$C$13)/360,'Quote Calculator'!$C$20)+'Quote Calculator'!$C$7*'Quote Calculator'!$C$21*(E17)/360+'Quote Calculator'!$C$51+'Quote Calculator'!$C$7*('Quote Calculator'!$C$30*(1-'Quote Calculator'!$C$31))*(1-(1-'Quote Calculator'!$C$34)^(((E17)+'Quote Calculator'!$C$36)/365))*'Quote Calculator'!$C$35</f>
        <v>303543.185382979</v>
      </c>
      <c r="G17" s="18" t="n">
        <f aca="false">'Quote Calculator'!$C$42-F17</f>
        <v>3056.81461702113</v>
      </c>
    </row>
    <row r="18" customFormat="false" ht="15" hidden="false" customHeight="false" outlineLevel="0" collapsed="false">
      <c r="B18" s="3" t="n">
        <v>11</v>
      </c>
      <c r="C18" s="15" t="n">
        <f aca="false">IF(G17&gt;=0,E17,C17)</f>
        <v>189</v>
      </c>
      <c r="D18" s="15" t="n">
        <f aca="false">IF(G17&gt;=0,D17,E17)</f>
        <v>192</v>
      </c>
      <c r="E18" s="15" t="n">
        <f aca="false">INT((C18+D18)/2)</f>
        <v>190</v>
      </c>
      <c r="F18" s="18" t="n">
        <f aca="false">'Quote Calculator'!$C$48+MAX('Quote Calculator'!$C$7*'Quote Calculator'!$C$19*((E18)+'Quote Calculator'!$C$12+'Quote Calculator'!$C$13)/360,'Quote Calculator'!$C$20)+'Quote Calculator'!$C$7*'Quote Calculator'!$C$21*(E18)/360+'Quote Calculator'!$C$51+'Quote Calculator'!$C$7*('Quote Calculator'!$C$30*(1-'Quote Calculator'!$C$31))*(1-(1-'Quote Calculator'!$C$34)^(((E18)+'Quote Calculator'!$C$36)/365))*'Quote Calculator'!$C$35</f>
        <v>304574.8157832</v>
      </c>
      <c r="G18" s="18" t="n">
        <f aca="false">'Quote Calculator'!$C$42-F18</f>
        <v>2025.18421680026</v>
      </c>
    </row>
    <row r="19" customFormat="false" ht="15" hidden="false" customHeight="false" outlineLevel="0" collapsed="false">
      <c r="B19" s="3" t="n">
        <v>12</v>
      </c>
      <c r="C19" s="15" t="n">
        <f aca="false">IF(G18&gt;=0,E18,C18)</f>
        <v>190</v>
      </c>
      <c r="D19" s="15" t="n">
        <f aca="false">IF(G18&gt;=0,D18,E18)</f>
        <v>192</v>
      </c>
      <c r="E19" s="15" t="n">
        <f aca="false">INT((C19+D19)/2)</f>
        <v>191</v>
      </c>
      <c r="F19" s="18" t="n">
        <f aca="false">'Quote Calculator'!$C$48+MAX('Quote Calculator'!$C$7*'Quote Calculator'!$C$19*((E19)+'Quote Calculator'!$C$12+'Quote Calculator'!$C$13)/360,'Quote Calculator'!$C$20)+'Quote Calculator'!$C$7*'Quote Calculator'!$C$21*(E19)/360+'Quote Calculator'!$C$51+'Quote Calculator'!$C$7*('Quote Calculator'!$C$30*(1-'Quote Calculator'!$C$31))*(1-(1-'Quote Calculator'!$C$34)^(((E19)+'Quote Calculator'!$C$36)/365))*'Quote Calculator'!$C$35</f>
        <v>305606.444945106</v>
      </c>
      <c r="G19" s="18" t="n">
        <f aca="false">'Quote Calculator'!$C$42-F19</f>
        <v>993.555054893601</v>
      </c>
    </row>
    <row r="20" customFormat="false" ht="15" hidden="false" customHeight="false" outlineLevel="0" collapsed="false">
      <c r="B20" s="3" t="n">
        <v>13</v>
      </c>
      <c r="C20" s="15" t="n">
        <f aca="false">IF(G19&gt;=0,E19,C19)</f>
        <v>191</v>
      </c>
      <c r="D20" s="15" t="n">
        <f aca="false">IF(G19&gt;=0,D19,E19)</f>
        <v>192</v>
      </c>
      <c r="E20" s="15" t="n">
        <f aca="false">INT((C20+D20)/2)</f>
        <v>191</v>
      </c>
      <c r="F20" s="18" t="n">
        <f aca="false">'Quote Calculator'!$C$48+MAX('Quote Calculator'!$C$7*'Quote Calculator'!$C$19*((E20)+'Quote Calculator'!$C$12+'Quote Calculator'!$C$13)/360,'Quote Calculator'!$C$20)+'Quote Calculator'!$C$7*'Quote Calculator'!$C$21*(E20)/360+'Quote Calculator'!$C$51+'Quote Calculator'!$C$7*('Quote Calculator'!$C$30*(1-'Quote Calculator'!$C$31))*(1-(1-'Quote Calculator'!$C$34)^(((E20)+'Quote Calculator'!$C$36)/365))*'Quote Calculator'!$C$35</f>
        <v>305606.444945106</v>
      </c>
      <c r="G20" s="18" t="n">
        <f aca="false">'Quote Calculator'!$C$42-F20</f>
        <v>993.555054893601</v>
      </c>
    </row>
    <row r="21" customFormat="false" ht="15" hidden="false" customHeight="false" outlineLevel="0" collapsed="false">
      <c r="B21" s="3" t="n">
        <v>14</v>
      </c>
      <c r="C21" s="15" t="n">
        <f aca="false">IF(G20&gt;=0,E20,C20)</f>
        <v>191</v>
      </c>
      <c r="D21" s="15" t="n">
        <f aca="false">IF(G20&gt;=0,D20,E20)</f>
        <v>192</v>
      </c>
      <c r="E21" s="15" t="n">
        <f aca="false">INT((C21+D21)/2)</f>
        <v>191</v>
      </c>
      <c r="F21" s="18" t="n">
        <f aca="false">'Quote Calculator'!$C$48+MAX('Quote Calculator'!$C$7*'Quote Calculator'!$C$19*((E21)+'Quote Calculator'!$C$12+'Quote Calculator'!$C$13)/360,'Quote Calculator'!$C$20)+'Quote Calculator'!$C$7*'Quote Calculator'!$C$21*(E21)/360+'Quote Calculator'!$C$51+'Quote Calculator'!$C$7*('Quote Calculator'!$C$30*(1-'Quote Calculator'!$C$31))*(1-(1-'Quote Calculator'!$C$34)^(((E21)+'Quote Calculator'!$C$36)/365))*'Quote Calculator'!$C$35</f>
        <v>305606.444945106</v>
      </c>
      <c r="G21" s="18" t="n">
        <f aca="false">'Quote Calculator'!$C$42-F21</f>
        <v>993.555054893601</v>
      </c>
    </row>
    <row r="22" customFormat="false" ht="15" hidden="false" customHeight="false" outlineLevel="0" collapsed="false">
      <c r="B22" s="3" t="n">
        <v>15</v>
      </c>
      <c r="C22" s="15" t="n">
        <f aca="false">IF(G21&gt;=0,E21,C21)</f>
        <v>191</v>
      </c>
      <c r="D22" s="15" t="n">
        <f aca="false">IF(G21&gt;=0,D21,E21)</f>
        <v>192</v>
      </c>
      <c r="E22" s="15" t="n">
        <f aca="false">INT((C22+D22)/2)</f>
        <v>191</v>
      </c>
      <c r="F22" s="18" t="n">
        <f aca="false">'Quote Calculator'!$C$48+MAX('Quote Calculator'!$C$7*'Quote Calculator'!$C$19*((E22)+'Quote Calculator'!$C$12+'Quote Calculator'!$C$13)/360,'Quote Calculator'!$C$20)+'Quote Calculator'!$C$7*'Quote Calculator'!$C$21*(E22)/360+'Quote Calculator'!$C$51+'Quote Calculator'!$C$7*('Quote Calculator'!$C$30*(1-'Quote Calculator'!$C$31))*(1-(1-'Quote Calculator'!$C$34)^(((E22)+'Quote Calculator'!$C$36)/365))*'Quote Calculator'!$C$35</f>
        <v>305606.444945106</v>
      </c>
      <c r="G22" s="18" t="n">
        <f aca="false">'Quote Calculator'!$C$42-F22</f>
        <v>993.555054893601</v>
      </c>
    </row>
    <row r="23" customFormat="false" ht="15" hidden="false" customHeight="false" outlineLevel="0" collapsed="false">
      <c r="B23" s="3" t="n">
        <v>16</v>
      </c>
      <c r="C23" s="15" t="n">
        <f aca="false">IF(G22&gt;=0,E22,C22)</f>
        <v>191</v>
      </c>
      <c r="D23" s="15" t="n">
        <f aca="false">IF(G22&gt;=0,D22,E22)</f>
        <v>192</v>
      </c>
      <c r="E23" s="15" t="n">
        <f aca="false">INT((C23+D23)/2)</f>
        <v>191</v>
      </c>
      <c r="F23" s="18" t="n">
        <f aca="false">'Quote Calculator'!$C$48+MAX('Quote Calculator'!$C$7*'Quote Calculator'!$C$19*((E23)+'Quote Calculator'!$C$12+'Quote Calculator'!$C$13)/360,'Quote Calculator'!$C$20)+'Quote Calculator'!$C$7*'Quote Calculator'!$C$21*(E23)/360+'Quote Calculator'!$C$51+'Quote Calculator'!$C$7*('Quote Calculator'!$C$30*(1-'Quote Calculator'!$C$31))*(1-(1-'Quote Calculator'!$C$34)^(((E23)+'Quote Calculator'!$C$36)/365))*'Quote Calculator'!$C$35</f>
        <v>305606.444945106</v>
      </c>
      <c r="G23" s="18" t="n">
        <f aca="false">'Quote Calculator'!$C$42-F23</f>
        <v>993.555054893601</v>
      </c>
    </row>
    <row r="24" customFormat="false" ht="15" hidden="false" customHeight="false" outlineLevel="0" collapsed="false">
      <c r="B24" s="4" t="s">
        <v>145</v>
      </c>
      <c r="C24" s="20" t="n">
        <f aca="false">IF(G23&gt;=0,E23,C23)</f>
        <v>191</v>
      </c>
      <c r="D24" s="20" t="n">
        <f aca="false">IF(G23&gt;=0,D23,E23)</f>
        <v>192</v>
      </c>
    </row>
    <row r="26" customFormat="false" ht="15" hidden="false" customHeight="false" outlineLevel="0" collapsed="false">
      <c r="B26" s="7" t="s">
        <v>188</v>
      </c>
      <c r="C26" s="8"/>
      <c r="D26" s="8"/>
      <c r="E26" s="8"/>
      <c r="F26" s="8"/>
      <c r="G26" s="8"/>
    </row>
    <row r="27" customFormat="false" ht="15" hidden="false" customHeight="false" outlineLevel="0" collapsed="false">
      <c r="B27" s="23" t="s">
        <v>189</v>
      </c>
      <c r="C27" s="24" t="n">
        <f aca="false">D24</f>
        <v>192</v>
      </c>
    </row>
    <row r="28" customFormat="false" ht="15" hidden="false" customHeight="false" outlineLevel="0" collapsed="false">
      <c r="B28" s="3" t="s">
        <v>134</v>
      </c>
      <c r="C28" s="18" t="n">
        <f aca="false">'Quote Calculator'!$C$42-('Quote Calculator'!$C$48+MAX('Quote Calculator'!$C$7*'Quote Calculator'!$C$19*(($C$27-1)+'Quote Calculator'!$C$12+'Quote Calculator'!$C$13)/360,'Quote Calculator'!$C$20)+'Quote Calculator'!$C$7*'Quote Calculator'!$C$21*($C$27-1)/360+'Quote Calculator'!$C$51+'Quote Calculator'!$C$7*('Quote Calculator'!$C$30*(1-'Quote Calculator'!$C$31))*(1-(1-'Quote Calculator'!$C$34)^((($C$27-1)+'Quote Calculator'!$C$36)/365))*'Quote Calculator'!$C$35)</f>
        <v>993.555054893601</v>
      </c>
    </row>
    <row r="29" customFormat="false" ht="15" hidden="false" customHeight="false" outlineLevel="0" collapsed="false">
      <c r="B29" s="3" t="s">
        <v>190</v>
      </c>
      <c r="C29" s="18" t="n">
        <f aca="false">'Quote Calculator'!$C$42-('Quote Calculator'!$C$48+MAX('Quote Calculator'!$C$7*'Quote Calculator'!$C$19*(($C$27)+'Quote Calculator'!$C$12+'Quote Calculator'!$C$13)/360,'Quote Calculator'!$C$20)+'Quote Calculator'!$C$7*'Quote Calculator'!$C$21*($C$27)/360+'Quote Calculator'!$C$51+'Quote Calculator'!$C$7*('Quote Calculator'!$C$30*(1-'Quote Calculator'!$C$31))*(1-(1-'Quote Calculator'!$C$34)^((($C$27)+'Quote Calculator'!$C$36)/365))*'Quote Calculator'!$C$35)</f>
        <v>-38.0728688408271</v>
      </c>
    </row>
    <row r="30" customFormat="false" ht="15" hidden="false" customHeight="false" outlineLevel="0" collapsed="false">
      <c r="B30" s="5" t="s">
        <v>191</v>
      </c>
    </row>
    <row r="32" customFormat="false" ht="15" hidden="false" customHeight="false" outlineLevel="0" collapsed="false">
      <c r="B32" s="7" t="s">
        <v>192</v>
      </c>
      <c r="C32" s="8"/>
      <c r="D32" s="8"/>
      <c r="E32" s="8"/>
      <c r="F32" s="8"/>
      <c r="G32" s="8"/>
    </row>
    <row r="33" customFormat="false" ht="15" hidden="false" customHeight="false" outlineLevel="0" collapsed="false">
      <c r="B33" s="5" t="s">
        <v>193</v>
      </c>
    </row>
    <row r="34" customFormat="false" ht="23.85" hidden="false" customHeight="false" outlineLevel="0" collapsed="false">
      <c r="B34" s="30" t="s">
        <v>139</v>
      </c>
      <c r="C34" s="30" t="s">
        <v>140</v>
      </c>
      <c r="D34" s="30" t="s">
        <v>141</v>
      </c>
      <c r="E34" s="30" t="s">
        <v>142</v>
      </c>
      <c r="F34" s="30" t="s">
        <v>143</v>
      </c>
      <c r="G34" s="30" t="s">
        <v>187</v>
      </c>
    </row>
    <row r="35" customFormat="false" ht="15" hidden="false" customHeight="false" outlineLevel="0" collapsed="false">
      <c r="B35" s="3" t="n">
        <v>1</v>
      </c>
      <c r="C35" s="9" t="n">
        <v>0</v>
      </c>
      <c r="D35" s="9" t="n">
        <v>3000</v>
      </c>
      <c r="E35" s="15" t="n">
        <f aca="false">INT((C35+D35)/2)</f>
        <v>1500</v>
      </c>
      <c r="F35" s="18" t="n">
        <f aca="false">'Quote Calculator'!$C$39*'Quote Calculator'!$C$10*('Quote Calculator'!$C$11+'Quote Calculator'!$C$12+E35)/360+'Quote Calculator'!$C$7*(1-(1-'Quote Calculator'!$C$34)^((E35+'Quote Calculator'!$C$12)/365))*'Quote Calculator'!$C$35</f>
        <v>1692837.66128841</v>
      </c>
      <c r="G35" s="18" t="n">
        <f aca="false">'Quote Calculator'!$C$42-F35</f>
        <v>-1386237.66128841</v>
      </c>
    </row>
    <row r="36" customFormat="false" ht="15" hidden="false" customHeight="false" outlineLevel="0" collapsed="false">
      <c r="B36" s="3" t="n">
        <v>2</v>
      </c>
      <c r="C36" s="15" t="n">
        <f aca="false">IF(G35&gt;=0,E35,C35)</f>
        <v>0</v>
      </c>
      <c r="D36" s="15" t="n">
        <f aca="false">IF(G35&gt;=0,D35,E35)</f>
        <v>1500</v>
      </c>
      <c r="E36" s="15" t="n">
        <f aca="false">INT((C36+D36)/2)</f>
        <v>750</v>
      </c>
      <c r="F36" s="18" t="n">
        <f aca="false">'Quote Calculator'!$C$39*'Quote Calculator'!$C$10*('Quote Calculator'!$C$11+'Quote Calculator'!$C$12+E36)/360+'Quote Calculator'!$C$7*(1-(1-'Quote Calculator'!$C$34)^((E36+'Quote Calculator'!$C$12)/365))*'Quote Calculator'!$C$35</f>
        <v>897452.915234992</v>
      </c>
      <c r="G36" s="18" t="n">
        <f aca="false">'Quote Calculator'!$C$42-F36</f>
        <v>-590852.915234992</v>
      </c>
    </row>
    <row r="37" customFormat="false" ht="15" hidden="false" customHeight="false" outlineLevel="0" collapsed="false">
      <c r="B37" s="3" t="n">
        <v>3</v>
      </c>
      <c r="C37" s="15" t="n">
        <f aca="false">IF(G36&gt;=0,E36,C36)</f>
        <v>0</v>
      </c>
      <c r="D37" s="15" t="n">
        <f aca="false">IF(G36&gt;=0,D36,E36)</f>
        <v>750</v>
      </c>
      <c r="E37" s="15" t="n">
        <f aca="false">INT((C37+D37)/2)</f>
        <v>375</v>
      </c>
      <c r="F37" s="18" t="n">
        <f aca="false">'Quote Calculator'!$C$39*'Quote Calculator'!$C$10*('Quote Calculator'!$C$11+'Quote Calculator'!$C$12+E37)/360+'Quote Calculator'!$C$7*(1-(1-'Quote Calculator'!$C$34)^((E37+'Quote Calculator'!$C$12)/365))*'Quote Calculator'!$C$35</f>
        <v>493241.708992487</v>
      </c>
      <c r="G37" s="18" t="n">
        <f aca="false">'Quote Calculator'!$C$42-F37</f>
        <v>-186641.708992487</v>
      </c>
    </row>
    <row r="38" customFormat="false" ht="15" hidden="false" customHeight="false" outlineLevel="0" collapsed="false">
      <c r="B38" s="3" t="n">
        <v>4</v>
      </c>
      <c r="C38" s="15" t="n">
        <f aca="false">IF(G37&gt;=0,E37,C37)</f>
        <v>0</v>
      </c>
      <c r="D38" s="15" t="n">
        <f aca="false">IF(G37&gt;=0,D37,E37)</f>
        <v>375</v>
      </c>
      <c r="E38" s="15" t="n">
        <f aca="false">INT((C38+D38)/2)</f>
        <v>187</v>
      </c>
      <c r="F38" s="18" t="n">
        <f aca="false">'Quote Calculator'!$C$39*'Quote Calculator'!$C$10*('Quote Calculator'!$C$11+'Quote Calculator'!$C$12+E38)/360+'Quote Calculator'!$C$7*(1-(1-'Quote Calculator'!$C$34)^((E38+'Quote Calculator'!$C$12)/365))*'Quote Calculator'!$C$35</f>
        <v>288877.91697984</v>
      </c>
      <c r="G38" s="18" t="n">
        <f aca="false">'Quote Calculator'!$C$42-F38</f>
        <v>17722.0830201597</v>
      </c>
    </row>
    <row r="39" customFormat="false" ht="15" hidden="false" customHeight="false" outlineLevel="0" collapsed="false">
      <c r="B39" s="3" t="n">
        <v>5</v>
      </c>
      <c r="C39" s="15" t="n">
        <f aca="false">IF(G38&gt;=0,E38,C38)</f>
        <v>187</v>
      </c>
      <c r="D39" s="15" t="n">
        <f aca="false">IF(G38&gt;=0,D38,E38)</f>
        <v>375</v>
      </c>
      <c r="E39" s="15" t="n">
        <f aca="false">INT((C39+D39)/2)</f>
        <v>281</v>
      </c>
      <c r="F39" s="18" t="n">
        <f aca="false">'Quote Calculator'!$C$39*'Quote Calculator'!$C$10*('Quote Calculator'!$C$11+'Quote Calculator'!$C$12+E39)/360+'Quote Calculator'!$C$7*(1-(1-'Quote Calculator'!$C$34)^((E39+'Quote Calculator'!$C$12)/365))*'Quote Calculator'!$C$35</f>
        <v>391205.922519166</v>
      </c>
      <c r="G39" s="18" t="n">
        <f aca="false">'Quote Calculator'!$C$42-F39</f>
        <v>-84605.9225191656</v>
      </c>
    </row>
    <row r="40" customFormat="false" ht="15" hidden="false" customHeight="false" outlineLevel="0" collapsed="false">
      <c r="B40" s="3" t="n">
        <v>6</v>
      </c>
      <c r="C40" s="15" t="n">
        <f aca="false">IF(G39&gt;=0,E39,C39)</f>
        <v>187</v>
      </c>
      <c r="D40" s="15" t="n">
        <f aca="false">IF(G39&gt;=0,D39,E39)</f>
        <v>281</v>
      </c>
      <c r="E40" s="15" t="n">
        <f aca="false">INT((C40+D40)/2)</f>
        <v>234</v>
      </c>
      <c r="F40" s="18" t="n">
        <f aca="false">'Quote Calculator'!$C$39*'Quote Calculator'!$C$10*('Quote Calculator'!$C$11+'Quote Calculator'!$C$12+E40)/360+'Quote Calculator'!$C$7*(1-(1-'Quote Calculator'!$C$34)^((E40+'Quote Calculator'!$C$12)/365))*'Quote Calculator'!$C$35</f>
        <v>340078.644307022</v>
      </c>
      <c r="G40" s="18" t="n">
        <f aca="false">'Quote Calculator'!$C$42-F40</f>
        <v>-33478.644307022</v>
      </c>
    </row>
    <row r="41" customFormat="false" ht="15" hidden="false" customHeight="false" outlineLevel="0" collapsed="false">
      <c r="B41" s="3" t="n">
        <v>7</v>
      </c>
      <c r="C41" s="15" t="n">
        <f aca="false">IF(G40&gt;=0,E40,C40)</f>
        <v>187</v>
      </c>
      <c r="D41" s="15" t="n">
        <f aca="false">IF(G40&gt;=0,D40,E40)</f>
        <v>234</v>
      </c>
      <c r="E41" s="15" t="n">
        <f aca="false">INT((C41+D41)/2)</f>
        <v>210</v>
      </c>
      <c r="F41" s="18" t="n">
        <f aca="false">'Quote Calculator'!$C$39*'Quote Calculator'!$C$10*('Quote Calculator'!$C$11+'Quote Calculator'!$C$12+E41)/360+'Quote Calculator'!$C$7*(1-(1-'Quote Calculator'!$C$34)^((E41+'Quote Calculator'!$C$12)/365))*'Quote Calculator'!$C$35</f>
        <v>313942.793965871</v>
      </c>
      <c r="G41" s="18" t="n">
        <f aca="false">'Quote Calculator'!$C$42-F41</f>
        <v>-7342.79396587116</v>
      </c>
    </row>
    <row r="42" customFormat="false" ht="15" hidden="false" customHeight="false" outlineLevel="0" collapsed="false">
      <c r="B42" s="3" t="n">
        <v>8</v>
      </c>
      <c r="C42" s="15" t="n">
        <f aca="false">IF(G41&gt;=0,E41,C41)</f>
        <v>187</v>
      </c>
      <c r="D42" s="15" t="n">
        <f aca="false">IF(G41&gt;=0,D41,E41)</f>
        <v>210</v>
      </c>
      <c r="E42" s="15" t="n">
        <f aca="false">INT((C42+D42)/2)</f>
        <v>198</v>
      </c>
      <c r="F42" s="18" t="n">
        <f aca="false">'Quote Calculator'!$C$39*'Quote Calculator'!$C$10*('Quote Calculator'!$C$11+'Quote Calculator'!$C$12+E42)/360+'Quote Calculator'!$C$7*(1-(1-'Quote Calculator'!$C$34)^((E42+'Quote Calculator'!$C$12)/365))*'Quote Calculator'!$C$35</f>
        <v>300867.670329395</v>
      </c>
      <c r="G42" s="18" t="n">
        <f aca="false">'Quote Calculator'!$C$42-F42</f>
        <v>5732.32967060455</v>
      </c>
    </row>
    <row r="43" customFormat="false" ht="15" hidden="false" customHeight="false" outlineLevel="0" collapsed="false">
      <c r="B43" s="3" t="n">
        <v>9</v>
      </c>
      <c r="C43" s="15" t="n">
        <f aca="false">IF(G42&gt;=0,E42,C42)</f>
        <v>198</v>
      </c>
      <c r="D43" s="15" t="n">
        <f aca="false">IF(G42&gt;=0,D42,E42)</f>
        <v>210</v>
      </c>
      <c r="E43" s="15" t="n">
        <f aca="false">INT((C43+D43)/2)</f>
        <v>204</v>
      </c>
      <c r="F43" s="18" t="n">
        <f aca="false">'Quote Calculator'!$C$39*'Quote Calculator'!$C$10*('Quote Calculator'!$C$11+'Quote Calculator'!$C$12+E43)/360+'Quote Calculator'!$C$7*(1-(1-'Quote Calculator'!$C$34)^((E43+'Quote Calculator'!$C$12)/365))*'Quote Calculator'!$C$35</f>
        <v>307405.832708021</v>
      </c>
      <c r="G43" s="18" t="n">
        <f aca="false">'Quote Calculator'!$C$42-F43</f>
        <v>-805.832708020869</v>
      </c>
    </row>
    <row r="44" customFormat="false" ht="15" hidden="false" customHeight="false" outlineLevel="0" collapsed="false">
      <c r="B44" s="3" t="n">
        <v>10</v>
      </c>
      <c r="C44" s="15" t="n">
        <f aca="false">IF(G43&gt;=0,E43,C43)</f>
        <v>198</v>
      </c>
      <c r="D44" s="15" t="n">
        <f aca="false">IF(G43&gt;=0,D43,E43)</f>
        <v>204</v>
      </c>
      <c r="E44" s="15" t="n">
        <f aca="false">INT((C44+D44)/2)</f>
        <v>201</v>
      </c>
      <c r="F44" s="18" t="n">
        <f aca="false">'Quote Calculator'!$C$39*'Quote Calculator'!$C$10*('Quote Calculator'!$C$11+'Quote Calculator'!$C$12+E44)/360+'Quote Calculator'!$C$7*(1-(1-'Quote Calculator'!$C$34)^((E44+'Quote Calculator'!$C$12)/365))*'Quote Calculator'!$C$35</f>
        <v>304136.901710471</v>
      </c>
      <c r="G44" s="18" t="n">
        <f aca="false">'Quote Calculator'!$C$42-F44</f>
        <v>2463.0982895288</v>
      </c>
    </row>
    <row r="45" customFormat="false" ht="15" hidden="false" customHeight="false" outlineLevel="0" collapsed="false">
      <c r="B45" s="3" t="n">
        <v>11</v>
      </c>
      <c r="C45" s="15" t="n">
        <f aca="false">IF(G44&gt;=0,E44,C44)</f>
        <v>201</v>
      </c>
      <c r="D45" s="15" t="n">
        <f aca="false">IF(G44&gt;=0,D44,E44)</f>
        <v>204</v>
      </c>
      <c r="E45" s="15" t="n">
        <f aca="false">INT((C45+D45)/2)</f>
        <v>202</v>
      </c>
      <c r="F45" s="18" t="n">
        <f aca="false">'Quote Calculator'!$C$39*'Quote Calculator'!$C$10*('Quote Calculator'!$C$11+'Quote Calculator'!$C$12+E45)/360+'Quote Calculator'!$C$7*(1-(1-'Quote Calculator'!$C$34)^((E45+'Quote Calculator'!$C$12)/365))*'Quote Calculator'!$C$35</f>
        <v>305226.578747164</v>
      </c>
      <c r="G45" s="18" t="n">
        <f aca="false">'Quote Calculator'!$C$42-F45</f>
        <v>1373.42125283554</v>
      </c>
    </row>
    <row r="46" customFormat="false" ht="15" hidden="false" customHeight="false" outlineLevel="0" collapsed="false">
      <c r="B46" s="3" t="n">
        <v>12</v>
      </c>
      <c r="C46" s="15" t="n">
        <f aca="false">IF(G45&gt;=0,E45,C45)</f>
        <v>202</v>
      </c>
      <c r="D46" s="15" t="n">
        <f aca="false">IF(G45&gt;=0,D45,E45)</f>
        <v>204</v>
      </c>
      <c r="E46" s="15" t="n">
        <f aca="false">INT((C46+D46)/2)</f>
        <v>203</v>
      </c>
      <c r="F46" s="18" t="n">
        <f aca="false">'Quote Calculator'!$C$39*'Quote Calculator'!$C$10*('Quote Calculator'!$C$11+'Quote Calculator'!$C$12+E46)/360+'Quote Calculator'!$C$7*(1-(1-'Quote Calculator'!$C$34)^((E46+'Quote Calculator'!$C$12)/365))*'Quote Calculator'!$C$35</f>
        <v>306316.222411739</v>
      </c>
      <c r="G46" s="18" t="n">
        <f aca="false">'Quote Calculator'!$C$42-F46</f>
        <v>283.777588261408</v>
      </c>
    </row>
    <row r="47" customFormat="false" ht="15" hidden="false" customHeight="false" outlineLevel="0" collapsed="false">
      <c r="B47" s="3" t="n">
        <v>13</v>
      </c>
      <c r="C47" s="15" t="n">
        <f aca="false">IF(G46&gt;=0,E46,C46)</f>
        <v>203</v>
      </c>
      <c r="D47" s="15" t="n">
        <f aca="false">IF(G46&gt;=0,D46,E46)</f>
        <v>204</v>
      </c>
      <c r="E47" s="15" t="n">
        <f aca="false">INT((C47+D47)/2)</f>
        <v>203</v>
      </c>
      <c r="F47" s="18" t="n">
        <f aca="false">'Quote Calculator'!$C$39*'Quote Calculator'!$C$10*('Quote Calculator'!$C$11+'Quote Calculator'!$C$12+E47)/360+'Quote Calculator'!$C$7*(1-(1-'Quote Calculator'!$C$34)^((E47+'Quote Calculator'!$C$12)/365))*'Quote Calculator'!$C$35</f>
        <v>306316.222411739</v>
      </c>
      <c r="G47" s="18" t="n">
        <f aca="false">'Quote Calculator'!$C$42-F47</f>
        <v>283.777588261408</v>
      </c>
    </row>
    <row r="48" customFormat="false" ht="15" hidden="false" customHeight="false" outlineLevel="0" collapsed="false">
      <c r="B48" s="3" t="n">
        <v>14</v>
      </c>
      <c r="C48" s="15" t="n">
        <f aca="false">IF(G47&gt;=0,E47,C47)</f>
        <v>203</v>
      </c>
      <c r="D48" s="15" t="n">
        <f aca="false">IF(G47&gt;=0,D47,E47)</f>
        <v>204</v>
      </c>
      <c r="E48" s="15" t="n">
        <f aca="false">INT((C48+D48)/2)</f>
        <v>203</v>
      </c>
      <c r="F48" s="18" t="n">
        <f aca="false">'Quote Calculator'!$C$39*'Quote Calculator'!$C$10*('Quote Calculator'!$C$11+'Quote Calculator'!$C$12+E48)/360+'Quote Calculator'!$C$7*(1-(1-'Quote Calculator'!$C$34)^((E48+'Quote Calculator'!$C$12)/365))*'Quote Calculator'!$C$35</f>
        <v>306316.222411739</v>
      </c>
      <c r="G48" s="18" t="n">
        <f aca="false">'Quote Calculator'!$C$42-F48</f>
        <v>283.777588261408</v>
      </c>
    </row>
    <row r="49" customFormat="false" ht="15" hidden="false" customHeight="false" outlineLevel="0" collapsed="false">
      <c r="B49" s="3" t="n">
        <v>15</v>
      </c>
      <c r="C49" s="15" t="n">
        <f aca="false">IF(G48&gt;=0,E48,C48)</f>
        <v>203</v>
      </c>
      <c r="D49" s="15" t="n">
        <f aca="false">IF(G48&gt;=0,D48,E48)</f>
        <v>204</v>
      </c>
      <c r="E49" s="15" t="n">
        <f aca="false">INT((C49+D49)/2)</f>
        <v>203</v>
      </c>
      <c r="F49" s="18" t="n">
        <f aca="false">'Quote Calculator'!$C$39*'Quote Calculator'!$C$10*('Quote Calculator'!$C$11+'Quote Calculator'!$C$12+E49)/360+'Quote Calculator'!$C$7*(1-(1-'Quote Calculator'!$C$34)^((E49+'Quote Calculator'!$C$12)/365))*'Quote Calculator'!$C$35</f>
        <v>306316.222411739</v>
      </c>
      <c r="G49" s="18" t="n">
        <f aca="false">'Quote Calculator'!$C$42-F49</f>
        <v>283.777588261408</v>
      </c>
    </row>
    <row r="50" customFormat="false" ht="15" hidden="false" customHeight="false" outlineLevel="0" collapsed="false">
      <c r="B50" s="3" t="n">
        <v>16</v>
      </c>
      <c r="C50" s="15" t="n">
        <f aca="false">IF(G49&gt;=0,E49,C49)</f>
        <v>203</v>
      </c>
      <c r="D50" s="15" t="n">
        <f aca="false">IF(G49&gt;=0,D49,E49)</f>
        <v>204</v>
      </c>
      <c r="E50" s="15" t="n">
        <f aca="false">INT((C50+D50)/2)</f>
        <v>203</v>
      </c>
      <c r="F50" s="18" t="n">
        <f aca="false">'Quote Calculator'!$C$39*'Quote Calculator'!$C$10*('Quote Calculator'!$C$11+'Quote Calculator'!$C$12+E50)/360+'Quote Calculator'!$C$7*(1-(1-'Quote Calculator'!$C$34)^((E50+'Quote Calculator'!$C$12)/365))*'Quote Calculator'!$C$35</f>
        <v>306316.222411739</v>
      </c>
      <c r="G50" s="18" t="n">
        <f aca="false">'Quote Calculator'!$C$42-F50</f>
        <v>283.777588261408</v>
      </c>
    </row>
    <row r="51" customFormat="false" ht="15" hidden="false" customHeight="false" outlineLevel="0" collapsed="false">
      <c r="B51" s="4" t="s">
        <v>145</v>
      </c>
      <c r="C51" s="20" t="n">
        <f aca="false">IF(G50&gt;=0,E50,C50)</f>
        <v>203</v>
      </c>
      <c r="D51" s="20" t="n">
        <f aca="false">IF(G50&gt;=0,D50,E50)</f>
        <v>204</v>
      </c>
    </row>
    <row r="53" customFormat="false" ht="15" hidden="false" customHeight="false" outlineLevel="0" collapsed="false">
      <c r="B53" s="23" t="s">
        <v>194</v>
      </c>
      <c r="C53" s="24" t="n">
        <f aca="false">D51</f>
        <v>204</v>
      </c>
    </row>
    <row r="54" customFormat="false" ht="15" hidden="false" customHeight="false" outlineLevel="0" collapsed="false">
      <c r="B54" s="3" t="s">
        <v>134</v>
      </c>
      <c r="C54" s="18" t="n">
        <f aca="false">'Quote Calculator'!$C$42-('Quote Calculator'!$C$39*'Quote Calculator'!$C$10*('Quote Calculator'!$C$11+'Quote Calculator'!$C$12+$C$53-1)/360+'Quote Calculator'!$C$7*(1-(1-'Quote Calculator'!$C$34)^(($C$53-1+'Quote Calculator'!$C$12)/365))*'Quote Calculator'!$C$35)</f>
        <v>283.777588261408</v>
      </c>
    </row>
    <row r="55" customFormat="false" ht="15" hidden="false" customHeight="false" outlineLevel="0" collapsed="false">
      <c r="B55" s="3" t="s">
        <v>190</v>
      </c>
      <c r="C55" s="18" t="n">
        <f aca="false">'Quote Calculator'!$C$42-('Quote Calculator'!$C$39*'Quote Calculator'!$C$10*('Quote Calculator'!$C$11+'Quote Calculator'!$C$12+$C$53)/360+'Quote Calculator'!$C$7*(1-(1-'Quote Calculator'!$C$34)^(($C$53+'Quote Calculator'!$C$12)/365))*'Quote Calculator'!$C$35)</f>
        <v>-805.832708020869</v>
      </c>
    </row>
    <row r="56" customFormat="false" ht="15" hidden="false" customHeight="false" outlineLevel="0" collapsed="false">
      <c r="B56" s="4" t="s">
        <v>195</v>
      </c>
      <c r="C56" s="20" t="n">
        <f aca="false">C53-C27</f>
        <v>12</v>
      </c>
    </row>
    <row r="57" customFormat="false" ht="15" hidden="false" customHeight="false" outlineLevel="0" collapsed="false">
      <c r="B57" s="5" t="s">
        <v>196</v>
      </c>
    </row>
    <row r="59" customFormat="false" ht="15" hidden="false" customHeight="false" outlineLevel="0" collapsed="false">
      <c r="B59" s="7" t="s">
        <v>197</v>
      </c>
      <c r="C59" s="8"/>
      <c r="D59" s="8"/>
      <c r="E59" s="8"/>
      <c r="F59" s="8"/>
      <c r="G59" s="8"/>
    </row>
    <row r="60" customFormat="false" ht="15" hidden="false" customHeight="false" outlineLevel="0" collapsed="false">
      <c r="B60" s="5" t="s">
        <v>198</v>
      </c>
    </row>
    <row r="61" customFormat="false" ht="15" hidden="false" customHeight="false" outlineLevel="0" collapsed="false">
      <c r="B61" s="3" t="s">
        <v>199</v>
      </c>
      <c r="C61" s="12" t="n">
        <v>120</v>
      </c>
      <c r="F61" s="5" t="s">
        <v>200</v>
      </c>
    </row>
    <row r="63" customFormat="false" ht="23.85" hidden="false" customHeight="false" outlineLevel="0" collapsed="false">
      <c r="B63" s="30" t="s">
        <v>139</v>
      </c>
      <c r="C63" s="30" t="s">
        <v>201</v>
      </c>
      <c r="D63" s="30" t="s">
        <v>202</v>
      </c>
      <c r="E63" s="30" t="s">
        <v>203</v>
      </c>
      <c r="F63" s="30" t="s">
        <v>143</v>
      </c>
      <c r="G63" s="30" t="s">
        <v>204</v>
      </c>
    </row>
    <row r="64" customFormat="false" ht="15" hidden="false" customHeight="false" outlineLevel="0" collapsed="false">
      <c r="B64" s="3" t="n">
        <v>1</v>
      </c>
      <c r="C64" s="38" t="n">
        <v>5000</v>
      </c>
      <c r="D64" s="38" t="n">
        <v>40000000</v>
      </c>
      <c r="E64" s="18" t="n">
        <f aca="false">(C64+D64)/2</f>
        <v>20002500</v>
      </c>
      <c r="F64" s="18" t="n">
        <f aca="false">E64*'Quote Calculator'!$C$8*'Quote Calculator'!$C$10*('Quote Calculator'!$C$11+'Quote Calculator'!$C$12+'Quote Calculator'!$C$13+'Quote Calculator'!$C$27+'Quote Calculator'!$C$45)/360+MAX(E64*'Quote Calculator'!$C$19*($C$61+'Quote Calculator'!$C$12+'Quote Calculator'!$C$13)/360,'Quote Calculator'!$C$20)+E64*'Quote Calculator'!$C$21*$C$61/360+('Quote Calculator'!$C$22+MAX(E64*'Quote Calculator'!$C$23,'Quote Calculator'!$C$24)+'Quote Calculator'!$C$25+'Quote Calculator'!$C$26)+E64*('Quote Calculator'!$C$30*(1-'Quote Calculator'!$C$31))*(1-(1-'Quote Calculator'!$C$34)^(($C$61+'Quote Calculator'!$C$36)/365))*'Quote Calculator'!$C$35</f>
        <v>1099943.86936178</v>
      </c>
      <c r="G64" s="18" t="n">
        <f aca="false">F64-E64*'Quote Calculator'!$C$40/'Quote Calculator'!$C$7</f>
        <v>-2600518.63063822</v>
      </c>
    </row>
    <row r="65" customFormat="false" ht="15" hidden="false" customHeight="false" outlineLevel="0" collapsed="false">
      <c r="B65" s="3" t="n">
        <v>2</v>
      </c>
      <c r="C65" s="18" t="n">
        <f aca="false">IF(G64&gt;=0,E64,C64)</f>
        <v>5000</v>
      </c>
      <c r="D65" s="18" t="n">
        <f aca="false">IF(G64&gt;=0,D64,E64)</f>
        <v>20002500</v>
      </c>
      <c r="E65" s="18" t="n">
        <f aca="false">(C65+D65)/2</f>
        <v>10003750</v>
      </c>
      <c r="F65" s="18" t="n">
        <f aca="false">E65*'Quote Calculator'!$C$8*'Quote Calculator'!$C$10*('Quote Calculator'!$C$11+'Quote Calculator'!$C$12+'Quote Calculator'!$C$13+'Quote Calculator'!$C$27+'Quote Calculator'!$C$45)/360+MAX(E65*'Quote Calculator'!$C$19*($C$61+'Quote Calculator'!$C$12+'Quote Calculator'!$C$13)/360,'Quote Calculator'!$C$20)+E65*'Quote Calculator'!$C$21*$C$61/360+('Quote Calculator'!$C$22+MAX(E65*'Quote Calculator'!$C$23,'Quote Calculator'!$C$24)+'Quote Calculator'!$C$25+'Quote Calculator'!$C$26)+E65*('Quote Calculator'!$C$30*(1-'Quote Calculator'!$C$31))*(1-(1-'Quote Calculator'!$C$34)^(($C$61+'Quote Calculator'!$C$36)/365))*'Quote Calculator'!$C$35</f>
        <v>550994.189257738</v>
      </c>
      <c r="G65" s="18" t="n">
        <f aca="false">F65-E65*'Quote Calculator'!$C$40/'Quote Calculator'!$C$7</f>
        <v>-1299699.56074226</v>
      </c>
    </row>
    <row r="66" customFormat="false" ht="15" hidden="false" customHeight="false" outlineLevel="0" collapsed="false">
      <c r="B66" s="3" t="n">
        <v>3</v>
      </c>
      <c r="C66" s="18" t="n">
        <f aca="false">IF(G65&gt;=0,E65,C65)</f>
        <v>5000</v>
      </c>
      <c r="D66" s="18" t="n">
        <f aca="false">IF(G65&gt;=0,D65,E65)</f>
        <v>10003750</v>
      </c>
      <c r="E66" s="18" t="n">
        <f aca="false">(C66+D66)/2</f>
        <v>5004375</v>
      </c>
      <c r="F66" s="18" t="n">
        <f aca="false">E66*'Quote Calculator'!$C$8*'Quote Calculator'!$C$10*('Quote Calculator'!$C$11+'Quote Calculator'!$C$12+'Quote Calculator'!$C$13+'Quote Calculator'!$C$27+'Quote Calculator'!$C$45)/360+MAX(E66*'Quote Calculator'!$C$19*($C$61+'Quote Calculator'!$C$12+'Quote Calculator'!$C$13)/360,'Quote Calculator'!$C$20)+E66*'Quote Calculator'!$C$21*$C$61/360+('Quote Calculator'!$C$22+MAX(E66*'Quote Calculator'!$C$23,'Quote Calculator'!$C$24)+'Quote Calculator'!$C$25+'Quote Calculator'!$C$26)+E66*('Quote Calculator'!$C$30*(1-'Quote Calculator'!$C$31))*(1-(1-'Quote Calculator'!$C$34)^(($C$61+'Quote Calculator'!$C$36)/365))*'Quote Calculator'!$C$35</f>
        <v>276519.349205717</v>
      </c>
      <c r="G66" s="18" t="n">
        <f aca="false">F66-E66*'Quote Calculator'!$C$40/'Quote Calculator'!$C$7</f>
        <v>-649290.025794283</v>
      </c>
    </row>
    <row r="67" customFormat="false" ht="15" hidden="false" customHeight="false" outlineLevel="0" collapsed="false">
      <c r="B67" s="3" t="n">
        <v>4</v>
      </c>
      <c r="C67" s="18" t="n">
        <f aca="false">IF(G66&gt;=0,E66,C66)</f>
        <v>5000</v>
      </c>
      <c r="D67" s="18" t="n">
        <f aca="false">IF(G66&gt;=0,D66,E66)</f>
        <v>5004375</v>
      </c>
      <c r="E67" s="18" t="n">
        <f aca="false">(C67+D67)/2</f>
        <v>2504687.5</v>
      </c>
      <c r="F67" s="18" t="n">
        <f aca="false">E67*'Quote Calculator'!$C$8*'Quote Calculator'!$C$10*('Quote Calculator'!$C$11+'Quote Calculator'!$C$12+'Quote Calculator'!$C$13+'Quote Calculator'!$C$27+'Quote Calculator'!$C$45)/360+MAX(E67*'Quote Calculator'!$C$19*($C$61+'Quote Calculator'!$C$12+'Quote Calculator'!$C$13)/360,'Quote Calculator'!$C$20)+E67*'Quote Calculator'!$C$21*$C$61/360+('Quote Calculator'!$C$22+MAX(E67*'Quote Calculator'!$C$23,'Quote Calculator'!$C$24)+'Quote Calculator'!$C$25+'Quote Calculator'!$C$26)+E67*('Quote Calculator'!$C$30*(1-'Quote Calculator'!$C$31))*(1-(1-'Quote Calculator'!$C$34)^(($C$61+'Quote Calculator'!$C$36)/365))*'Quote Calculator'!$C$35</f>
        <v>139281.929179707</v>
      </c>
      <c r="G67" s="18" t="n">
        <f aca="false">F67-E67*'Quote Calculator'!$C$40/'Quote Calculator'!$C$7</f>
        <v>-324085.258320293</v>
      </c>
    </row>
    <row r="68" customFormat="false" ht="15" hidden="false" customHeight="false" outlineLevel="0" collapsed="false">
      <c r="B68" s="3" t="n">
        <v>5</v>
      </c>
      <c r="C68" s="18" t="n">
        <f aca="false">IF(G67&gt;=0,E67,C67)</f>
        <v>5000</v>
      </c>
      <c r="D68" s="18" t="n">
        <f aca="false">IF(G67&gt;=0,D67,E67)</f>
        <v>2504687.5</v>
      </c>
      <c r="E68" s="18" t="n">
        <f aca="false">(C68+D68)/2</f>
        <v>1254843.75</v>
      </c>
      <c r="F68" s="18" t="n">
        <f aca="false">E68*'Quote Calculator'!$C$8*'Quote Calculator'!$C$10*('Quote Calculator'!$C$11+'Quote Calculator'!$C$12+'Quote Calculator'!$C$13+'Quote Calculator'!$C$27+'Quote Calculator'!$C$45)/360+MAX(E68*'Quote Calculator'!$C$19*($C$61+'Quote Calculator'!$C$12+'Quote Calculator'!$C$13)/360,'Quote Calculator'!$C$20)+E68*'Quote Calculator'!$C$21*$C$61/360+('Quote Calculator'!$C$22+MAX(E68*'Quote Calculator'!$C$23,'Quote Calculator'!$C$24)+'Quote Calculator'!$C$25+'Quote Calculator'!$C$26)+E68*('Quote Calculator'!$C$30*(1-'Quote Calculator'!$C$31))*(1-(1-'Quote Calculator'!$C$34)^(($C$61+'Quote Calculator'!$C$36)/365))*'Quote Calculator'!$C$35</f>
        <v>70663.2191667014</v>
      </c>
      <c r="G68" s="18" t="n">
        <f aca="false">F68-E68*'Quote Calculator'!$C$40/'Quote Calculator'!$C$7</f>
        <v>-161482.874583299</v>
      </c>
    </row>
    <row r="69" customFormat="false" ht="15" hidden="false" customHeight="false" outlineLevel="0" collapsed="false">
      <c r="B69" s="3" t="n">
        <v>6</v>
      </c>
      <c r="C69" s="18" t="n">
        <f aca="false">IF(G68&gt;=0,E68,C68)</f>
        <v>5000</v>
      </c>
      <c r="D69" s="18" t="n">
        <f aca="false">IF(G68&gt;=0,D68,E68)</f>
        <v>1254843.75</v>
      </c>
      <c r="E69" s="18" t="n">
        <f aca="false">(C69+D69)/2</f>
        <v>629921.875</v>
      </c>
      <c r="F69" s="18" t="n">
        <f aca="false">E69*'Quote Calculator'!$C$8*'Quote Calculator'!$C$10*('Quote Calculator'!$C$11+'Quote Calculator'!$C$12+'Quote Calculator'!$C$13+'Quote Calculator'!$C$27+'Quote Calculator'!$C$45)/360+MAX(E69*'Quote Calculator'!$C$19*($C$61+'Quote Calculator'!$C$12+'Quote Calculator'!$C$13)/360,'Quote Calculator'!$C$20)+E69*'Quote Calculator'!$C$21*$C$61/360+('Quote Calculator'!$C$22+MAX(E69*'Quote Calculator'!$C$23,'Quote Calculator'!$C$24)+'Quote Calculator'!$C$25+'Quote Calculator'!$C$26)+E69*('Quote Calculator'!$C$30*(1-'Quote Calculator'!$C$31))*(1-(1-'Quote Calculator'!$C$34)^(($C$61+'Quote Calculator'!$C$36)/365))*'Quote Calculator'!$C$35</f>
        <v>36353.8641601988</v>
      </c>
      <c r="G69" s="18" t="n">
        <f aca="false">F69-E69*'Quote Calculator'!$C$40/'Quote Calculator'!$C$7</f>
        <v>-80181.6827148012</v>
      </c>
    </row>
    <row r="70" customFormat="false" ht="15" hidden="false" customHeight="false" outlineLevel="0" collapsed="false">
      <c r="B70" s="3" t="n">
        <v>7</v>
      </c>
      <c r="C70" s="18" t="n">
        <f aca="false">IF(G69&gt;=0,E69,C69)</f>
        <v>5000</v>
      </c>
      <c r="D70" s="18" t="n">
        <f aca="false">IF(G69&gt;=0,D69,E69)</f>
        <v>629921.875</v>
      </c>
      <c r="E70" s="18" t="n">
        <f aca="false">(C70+D70)/2</f>
        <v>317460.9375</v>
      </c>
      <c r="F70" s="18" t="n">
        <f aca="false">E70*'Quote Calculator'!$C$8*'Quote Calculator'!$C$10*('Quote Calculator'!$C$11+'Quote Calculator'!$C$12+'Quote Calculator'!$C$13+'Quote Calculator'!$C$27+'Quote Calculator'!$C$45)/360+MAX(E70*'Quote Calculator'!$C$19*($C$61+'Quote Calculator'!$C$12+'Quote Calculator'!$C$13)/360,'Quote Calculator'!$C$20)+E70*'Quote Calculator'!$C$21*$C$61/360+('Quote Calculator'!$C$22+MAX(E70*'Quote Calculator'!$C$23,'Quote Calculator'!$C$24)+'Quote Calculator'!$C$25+'Quote Calculator'!$C$26)+E70*('Quote Calculator'!$C$30*(1-'Quote Calculator'!$C$31))*(1-(1-'Quote Calculator'!$C$34)^(($C$61+'Quote Calculator'!$C$36)/365))*'Quote Calculator'!$C$35</f>
        <v>19227.3604850725</v>
      </c>
      <c r="G70" s="18" t="n">
        <f aca="false">F70-E70*'Quote Calculator'!$C$40/'Quote Calculator'!$C$7</f>
        <v>-39502.9129524275</v>
      </c>
    </row>
    <row r="71" customFormat="false" ht="15" hidden="false" customHeight="false" outlineLevel="0" collapsed="false">
      <c r="B71" s="3" t="n">
        <v>8</v>
      </c>
      <c r="C71" s="18" t="n">
        <f aca="false">IF(G70&gt;=0,E70,C70)</f>
        <v>5000</v>
      </c>
      <c r="D71" s="18" t="n">
        <f aca="false">IF(G70&gt;=0,D70,E70)</f>
        <v>317460.9375</v>
      </c>
      <c r="E71" s="18" t="n">
        <f aca="false">(C71+D71)/2</f>
        <v>161230.46875</v>
      </c>
      <c r="F71" s="18" t="n">
        <f aca="false">E71*'Quote Calculator'!$C$8*'Quote Calculator'!$C$10*('Quote Calculator'!$C$11+'Quote Calculator'!$C$12+'Quote Calculator'!$C$13+'Quote Calculator'!$C$27+'Quote Calculator'!$C$45)/360+MAX(E71*'Quote Calculator'!$C$19*($C$61+'Quote Calculator'!$C$12+'Quote Calculator'!$C$13)/360,'Quote Calculator'!$C$20)+E71*'Quote Calculator'!$C$21*$C$61/360+('Quote Calculator'!$C$22+MAX(E71*'Quote Calculator'!$C$23,'Quote Calculator'!$C$24)+'Quote Calculator'!$C$25+'Quote Calculator'!$C$26)+E71*('Quote Calculator'!$C$30*(1-'Quote Calculator'!$C$31))*(1-(1-'Quote Calculator'!$C$34)^(($C$61+'Quote Calculator'!$C$36)/365))*'Quote Calculator'!$C$35</f>
        <v>11061.0643495493</v>
      </c>
      <c r="G71" s="18" t="n">
        <f aca="false">F71-E71*'Quote Calculator'!$C$40/'Quote Calculator'!$C$7</f>
        <v>-18766.5723692007</v>
      </c>
    </row>
    <row r="72" customFormat="false" ht="15" hidden="false" customHeight="false" outlineLevel="0" collapsed="false">
      <c r="B72" s="3" t="n">
        <v>9</v>
      </c>
      <c r="C72" s="18" t="n">
        <f aca="false">IF(G71&gt;=0,E71,C71)</f>
        <v>5000</v>
      </c>
      <c r="D72" s="18" t="n">
        <f aca="false">IF(G71&gt;=0,D71,E71)</f>
        <v>161230.46875</v>
      </c>
      <c r="E72" s="18" t="n">
        <f aca="false">(C72+D72)/2</f>
        <v>83115.234375</v>
      </c>
      <c r="F72" s="18" t="n">
        <f aca="false">E72*'Quote Calculator'!$C$8*'Quote Calculator'!$C$10*('Quote Calculator'!$C$11+'Quote Calculator'!$C$12+'Quote Calculator'!$C$13+'Quote Calculator'!$C$27+'Quote Calculator'!$C$45)/360+MAX(E72*'Quote Calculator'!$C$19*($C$61+'Quote Calculator'!$C$12+'Quote Calculator'!$C$13)/360,'Quote Calculator'!$C$20)+E72*'Quote Calculator'!$C$21*$C$61/360+('Quote Calculator'!$C$22+MAX(E72*'Quote Calculator'!$C$23,'Quote Calculator'!$C$24)+'Quote Calculator'!$C$25+'Quote Calculator'!$C$26)+E72*('Quote Calculator'!$C$30*(1-'Quote Calculator'!$C$31))*(1-(1-'Quote Calculator'!$C$34)^(($C$61+'Quote Calculator'!$C$36)/365))*'Quote Calculator'!$C$35</f>
        <v>7492.24855717833</v>
      </c>
      <c r="G72" s="18" t="n">
        <f aca="false">F72-E72*'Quote Calculator'!$C$40/'Quote Calculator'!$C$7</f>
        <v>-7884.06980219667</v>
      </c>
    </row>
    <row r="73" customFormat="false" ht="15" hidden="false" customHeight="false" outlineLevel="0" collapsed="false">
      <c r="B73" s="3" t="n">
        <v>10</v>
      </c>
      <c r="C73" s="18" t="n">
        <f aca="false">IF(G72&gt;=0,E72,C72)</f>
        <v>5000</v>
      </c>
      <c r="D73" s="18" t="n">
        <f aca="false">IF(G72&gt;=0,D72,E72)</f>
        <v>83115.234375</v>
      </c>
      <c r="E73" s="18" t="n">
        <f aca="false">(C73+D73)/2</f>
        <v>44057.6171875</v>
      </c>
      <c r="F73" s="18" t="n">
        <f aca="false">E73*'Quote Calculator'!$C$8*'Quote Calculator'!$C$10*('Quote Calculator'!$C$11+'Quote Calculator'!$C$12+'Quote Calculator'!$C$13+'Quote Calculator'!$C$27+'Quote Calculator'!$C$45)/360+MAX(E73*'Quote Calculator'!$C$19*($C$61+'Quote Calculator'!$C$12+'Quote Calculator'!$C$13)/360,'Quote Calculator'!$C$20)+E73*'Quote Calculator'!$C$21*$C$61/360+('Quote Calculator'!$C$22+MAX(E73*'Quote Calculator'!$C$23,'Quote Calculator'!$C$24)+'Quote Calculator'!$C$25+'Quote Calculator'!$C$26)+E73*('Quote Calculator'!$C$30*(1-'Quote Calculator'!$C$31))*(1-(1-'Quote Calculator'!$C$34)^(($C$61+'Quote Calculator'!$C$36)/365))*'Quote Calculator'!$C$35</f>
        <v>5707.84066099284</v>
      </c>
      <c r="G73" s="18" t="n">
        <f aca="false">F73-E73*'Quote Calculator'!$C$40/'Quote Calculator'!$C$7</f>
        <v>-2442.81851869466</v>
      </c>
    </row>
    <row r="74" customFormat="false" ht="15" hidden="false" customHeight="false" outlineLevel="0" collapsed="false">
      <c r="B74" s="3" t="n">
        <v>11</v>
      </c>
      <c r="C74" s="18" t="n">
        <f aca="false">IF(G73&gt;=0,E73,C73)</f>
        <v>5000</v>
      </c>
      <c r="D74" s="18" t="n">
        <f aca="false">IF(G73&gt;=0,D73,E73)</f>
        <v>44057.6171875</v>
      </c>
      <c r="E74" s="18" t="n">
        <f aca="false">(C74+D74)/2</f>
        <v>24528.80859375</v>
      </c>
      <c r="F74" s="18" t="n">
        <f aca="false">E74*'Quote Calculator'!$C$8*'Quote Calculator'!$C$10*('Quote Calculator'!$C$11+'Quote Calculator'!$C$12+'Quote Calculator'!$C$13+'Quote Calculator'!$C$27+'Quote Calculator'!$C$45)/360+MAX(E74*'Quote Calculator'!$C$19*($C$61+'Quote Calculator'!$C$12+'Quote Calculator'!$C$13)/360,'Quote Calculator'!$C$20)+E74*'Quote Calculator'!$C$21*$C$61/360+('Quote Calculator'!$C$22+MAX(E74*'Quote Calculator'!$C$23,'Quote Calculator'!$C$24)+'Quote Calculator'!$C$25+'Quote Calculator'!$C$26)+E74*('Quote Calculator'!$C$30*(1-'Quote Calculator'!$C$31))*(1-(1-'Quote Calculator'!$C$34)^(($C$61+'Quote Calculator'!$C$36)/365))*'Quote Calculator'!$C$35</f>
        <v>4815.63671290009</v>
      </c>
      <c r="G74" s="18" t="n">
        <f aca="false">F74-E74*'Quote Calculator'!$C$40/'Quote Calculator'!$C$7</f>
        <v>277.807123056339</v>
      </c>
    </row>
    <row r="75" customFormat="false" ht="15" hidden="false" customHeight="false" outlineLevel="0" collapsed="false">
      <c r="B75" s="3" t="n">
        <v>12</v>
      </c>
      <c r="C75" s="18" t="n">
        <f aca="false">IF(G74&gt;=0,E74,C74)</f>
        <v>24528.80859375</v>
      </c>
      <c r="D75" s="18" t="n">
        <f aca="false">IF(G74&gt;=0,D74,E74)</f>
        <v>44057.6171875</v>
      </c>
      <c r="E75" s="18" t="n">
        <f aca="false">(C75+D75)/2</f>
        <v>34293.212890625</v>
      </c>
      <c r="F75" s="18" t="n">
        <f aca="false">E75*'Quote Calculator'!$C$8*'Quote Calculator'!$C$10*('Quote Calculator'!$C$11+'Quote Calculator'!$C$12+'Quote Calculator'!$C$13+'Quote Calculator'!$C$27+'Quote Calculator'!$C$45)/360+MAX(E75*'Quote Calculator'!$C$19*($C$61+'Quote Calculator'!$C$12+'Quote Calculator'!$C$13)/360,'Quote Calculator'!$C$20)+E75*'Quote Calculator'!$C$21*$C$61/360+('Quote Calculator'!$C$22+MAX(E75*'Quote Calculator'!$C$23,'Quote Calculator'!$C$24)+'Quote Calculator'!$C$25+'Quote Calculator'!$C$26)+E75*('Quote Calculator'!$C$30*(1-'Quote Calculator'!$C$31))*(1-(1-'Quote Calculator'!$C$34)^(($C$61+'Quote Calculator'!$C$36)/365))*'Quote Calculator'!$C$35</f>
        <v>5261.73868694646</v>
      </c>
      <c r="G75" s="18" t="n">
        <f aca="false">F75-E75*'Quote Calculator'!$C$40/'Quote Calculator'!$C$7</f>
        <v>-1082.50569781916</v>
      </c>
    </row>
    <row r="76" customFormat="false" ht="15" hidden="false" customHeight="false" outlineLevel="0" collapsed="false">
      <c r="B76" s="3" t="n">
        <v>13</v>
      </c>
      <c r="C76" s="18" t="n">
        <f aca="false">IF(G75&gt;=0,E75,C75)</f>
        <v>24528.80859375</v>
      </c>
      <c r="D76" s="18" t="n">
        <f aca="false">IF(G75&gt;=0,D75,E75)</f>
        <v>34293.212890625</v>
      </c>
      <c r="E76" s="18" t="n">
        <f aca="false">(C76+D76)/2</f>
        <v>29411.0107421875</v>
      </c>
      <c r="F76" s="18" t="n">
        <f aca="false">E76*'Quote Calculator'!$C$8*'Quote Calculator'!$C$10*('Quote Calculator'!$C$11+'Quote Calculator'!$C$12+'Quote Calculator'!$C$13+'Quote Calculator'!$C$27+'Quote Calculator'!$C$45)/360+MAX(E76*'Quote Calculator'!$C$19*($C$61+'Quote Calculator'!$C$12+'Quote Calculator'!$C$13)/360,'Quote Calculator'!$C$20)+E76*'Quote Calculator'!$C$21*$C$61/360+('Quote Calculator'!$C$22+MAX(E76*'Quote Calculator'!$C$23,'Quote Calculator'!$C$24)+'Quote Calculator'!$C$25+'Quote Calculator'!$C$26)+E76*('Quote Calculator'!$C$30*(1-'Quote Calculator'!$C$31))*(1-(1-'Quote Calculator'!$C$34)^(($C$61+'Quote Calculator'!$C$36)/365))*'Quote Calculator'!$C$35</f>
        <v>5038.68769992328</v>
      </c>
      <c r="G76" s="18" t="n">
        <f aca="false">F76-E76*'Quote Calculator'!$C$40/'Quote Calculator'!$C$7</f>
        <v>-402.349287381411</v>
      </c>
    </row>
    <row r="77" customFormat="false" ht="15" hidden="false" customHeight="false" outlineLevel="0" collapsed="false">
      <c r="B77" s="3" t="n">
        <v>14</v>
      </c>
      <c r="C77" s="18" t="n">
        <f aca="false">IF(G76&gt;=0,E76,C76)</f>
        <v>24528.80859375</v>
      </c>
      <c r="D77" s="18" t="n">
        <f aca="false">IF(G76&gt;=0,D76,E76)</f>
        <v>29411.0107421875</v>
      </c>
      <c r="E77" s="18" t="n">
        <f aca="false">(C77+D77)/2</f>
        <v>26969.9096679688</v>
      </c>
      <c r="F77" s="18" t="n">
        <f aca="false">E77*'Quote Calculator'!$C$8*'Quote Calculator'!$C$10*('Quote Calculator'!$C$11+'Quote Calculator'!$C$12+'Quote Calculator'!$C$13+'Quote Calculator'!$C$27+'Quote Calculator'!$C$45)/360+MAX(E77*'Quote Calculator'!$C$19*($C$61+'Quote Calculator'!$C$12+'Quote Calculator'!$C$13)/360,'Quote Calculator'!$C$20)+E77*'Quote Calculator'!$C$21*$C$61/360+('Quote Calculator'!$C$22+MAX(E77*'Quote Calculator'!$C$23,'Quote Calculator'!$C$24)+'Quote Calculator'!$C$25+'Quote Calculator'!$C$26)+E77*('Quote Calculator'!$C$30*(1-'Quote Calculator'!$C$31))*(1-(1-'Quote Calculator'!$C$34)^(($C$61+'Quote Calculator'!$C$36)/365))*'Quote Calculator'!$C$35</f>
        <v>4927.16220641168</v>
      </c>
      <c r="G77" s="18" t="n">
        <f aca="false">F77-E77*'Quote Calculator'!$C$40/'Quote Calculator'!$C$7</f>
        <v>-62.271082162536</v>
      </c>
    </row>
    <row r="78" customFormat="false" ht="15" hidden="false" customHeight="false" outlineLevel="0" collapsed="false">
      <c r="B78" s="3" t="n">
        <v>15</v>
      </c>
      <c r="C78" s="18" t="n">
        <f aca="false">IF(G77&gt;=0,E77,C77)</f>
        <v>24528.80859375</v>
      </c>
      <c r="D78" s="18" t="n">
        <f aca="false">IF(G77&gt;=0,D77,E77)</f>
        <v>26969.9096679688</v>
      </c>
      <c r="E78" s="18" t="n">
        <f aca="false">(C78+D78)/2</f>
        <v>25749.3591308594</v>
      </c>
      <c r="F78" s="18" t="n">
        <f aca="false">E78*'Quote Calculator'!$C$8*'Quote Calculator'!$C$10*('Quote Calculator'!$C$11+'Quote Calculator'!$C$12+'Quote Calculator'!$C$13+'Quote Calculator'!$C$27+'Quote Calculator'!$C$45)/360+MAX(E78*'Quote Calculator'!$C$19*($C$61+'Quote Calculator'!$C$12+'Quote Calculator'!$C$13)/360,'Quote Calculator'!$C$20)+E78*'Quote Calculator'!$C$21*$C$61/360+('Quote Calculator'!$C$22+MAX(E78*'Quote Calculator'!$C$23,'Quote Calculator'!$C$24)+'Quote Calculator'!$C$25+'Quote Calculator'!$C$26)+E78*('Quote Calculator'!$C$30*(1-'Quote Calculator'!$C$31))*(1-(1-'Quote Calculator'!$C$34)^(($C$61+'Quote Calculator'!$C$36)/365))*'Quote Calculator'!$C$35</f>
        <v>4871.39945965589</v>
      </c>
      <c r="G78" s="18" t="n">
        <f aca="false">F78-E78*'Quote Calculator'!$C$40/'Quote Calculator'!$C$7</f>
        <v>107.768020446902</v>
      </c>
    </row>
    <row r="79" customFormat="false" ht="15" hidden="false" customHeight="false" outlineLevel="0" collapsed="false">
      <c r="B79" s="3" t="n">
        <v>16</v>
      </c>
      <c r="C79" s="18" t="n">
        <f aca="false">IF(G78&gt;=0,E78,C78)</f>
        <v>25749.3591308594</v>
      </c>
      <c r="D79" s="18" t="n">
        <f aca="false">IF(G78&gt;=0,D78,E78)</f>
        <v>26969.9096679688</v>
      </c>
      <c r="E79" s="18" t="n">
        <f aca="false">(C79+D79)/2</f>
        <v>26359.6343994141</v>
      </c>
      <c r="F79" s="18" t="n">
        <f aca="false">E79*'Quote Calculator'!$C$8*'Quote Calculator'!$C$10*('Quote Calculator'!$C$11+'Quote Calculator'!$C$12+'Quote Calculator'!$C$13+'Quote Calculator'!$C$27+'Quote Calculator'!$C$45)/360+MAX(E79*'Quote Calculator'!$C$19*($C$61+'Quote Calculator'!$C$12+'Quote Calculator'!$C$13)/360,'Quote Calculator'!$C$20)+E79*'Quote Calculator'!$C$21*$C$61/360+('Quote Calculator'!$C$22+MAX(E79*'Quote Calculator'!$C$23,'Quote Calculator'!$C$24)+'Quote Calculator'!$C$25+'Quote Calculator'!$C$26)+E79*('Quote Calculator'!$C$30*(1-'Quote Calculator'!$C$31))*(1-(1-'Quote Calculator'!$C$34)^(($C$61+'Quote Calculator'!$C$36)/365))*'Quote Calculator'!$C$35</f>
        <v>4899.28083303378</v>
      </c>
      <c r="G79" s="18" t="n">
        <f aca="false">F79-E79*'Quote Calculator'!$C$40/'Quote Calculator'!$C$7</f>
        <v>22.7484691421823</v>
      </c>
    </row>
    <row r="80" customFormat="false" ht="15" hidden="false" customHeight="false" outlineLevel="0" collapsed="false">
      <c r="B80" s="3" t="n">
        <v>17</v>
      </c>
      <c r="C80" s="18" t="n">
        <f aca="false">IF(G79&gt;=0,E79,C79)</f>
        <v>26359.6343994141</v>
      </c>
      <c r="D80" s="18" t="n">
        <f aca="false">IF(G79&gt;=0,D79,E79)</f>
        <v>26969.9096679688</v>
      </c>
      <c r="E80" s="18" t="n">
        <f aca="false">(C80+D80)/2</f>
        <v>26664.7720336914</v>
      </c>
      <c r="F80" s="18" t="n">
        <f aca="false">E80*'Quote Calculator'!$C$8*'Quote Calculator'!$C$10*('Quote Calculator'!$C$11+'Quote Calculator'!$C$12+'Quote Calculator'!$C$13+'Quote Calculator'!$C$27+'Quote Calculator'!$C$45)/360+MAX(E80*'Quote Calculator'!$C$19*($C$61+'Quote Calculator'!$C$12+'Quote Calculator'!$C$13)/360,'Quote Calculator'!$C$20)+E80*'Quote Calculator'!$C$21*$C$61/360+('Quote Calculator'!$C$22+MAX(E80*'Quote Calculator'!$C$23,'Quote Calculator'!$C$24)+'Quote Calculator'!$C$25+'Quote Calculator'!$C$26)+E80*('Quote Calculator'!$C$30*(1-'Quote Calculator'!$C$31))*(1-(1-'Quote Calculator'!$C$34)^(($C$61+'Quote Calculator'!$C$36)/365))*'Quote Calculator'!$C$35</f>
        <v>4913.22151972273</v>
      </c>
      <c r="G80" s="18" t="n">
        <f aca="false">F80-E80*'Quote Calculator'!$C$40/'Quote Calculator'!$C$7</f>
        <v>-19.7613065101759</v>
      </c>
    </row>
    <row r="81" customFormat="false" ht="15" hidden="false" customHeight="false" outlineLevel="0" collapsed="false">
      <c r="B81" s="3" t="n">
        <v>18</v>
      </c>
      <c r="C81" s="18" t="n">
        <f aca="false">IF(G80&gt;=0,E80,C80)</f>
        <v>26359.6343994141</v>
      </c>
      <c r="D81" s="18" t="n">
        <f aca="false">IF(G80&gt;=0,D80,E80)</f>
        <v>26664.7720336914</v>
      </c>
      <c r="E81" s="18" t="n">
        <f aca="false">(C81+D81)/2</f>
        <v>26512.2032165527</v>
      </c>
      <c r="F81" s="18" t="n">
        <f aca="false">E81*'Quote Calculator'!$C$8*'Quote Calculator'!$C$10*('Quote Calculator'!$C$11+'Quote Calculator'!$C$12+'Quote Calculator'!$C$13+'Quote Calculator'!$C$27+'Quote Calculator'!$C$45)/360+MAX(E81*'Quote Calculator'!$C$19*($C$61+'Quote Calculator'!$C$12+'Quote Calculator'!$C$13)/360,'Quote Calculator'!$C$20)+E81*'Quote Calculator'!$C$21*$C$61/360+('Quote Calculator'!$C$22+MAX(E81*'Quote Calculator'!$C$23,'Quote Calculator'!$C$24)+'Quote Calculator'!$C$25+'Quote Calculator'!$C$26)+E81*('Quote Calculator'!$C$30*(1-'Quote Calculator'!$C$31))*(1-(1-'Quote Calculator'!$C$34)^(($C$61+'Quote Calculator'!$C$36)/365))*'Quote Calculator'!$C$35</f>
        <v>4906.25117637826</v>
      </c>
      <c r="G81" s="18" t="n">
        <f aca="false">F81-E81*'Quote Calculator'!$C$40/'Quote Calculator'!$C$7</f>
        <v>1.49358131600366</v>
      </c>
    </row>
    <row r="82" customFormat="false" ht="15" hidden="false" customHeight="false" outlineLevel="0" collapsed="false">
      <c r="B82" s="3" t="n">
        <v>19</v>
      </c>
      <c r="C82" s="18" t="n">
        <f aca="false">IF(G81&gt;=0,E81,C81)</f>
        <v>26512.2032165527</v>
      </c>
      <c r="D82" s="18" t="n">
        <f aca="false">IF(G81&gt;=0,D81,E81)</f>
        <v>26664.7720336914</v>
      </c>
      <c r="E82" s="18" t="n">
        <f aca="false">(C82+D82)/2</f>
        <v>26588.4876251221</v>
      </c>
      <c r="F82" s="18" t="n">
        <f aca="false">E82*'Quote Calculator'!$C$8*'Quote Calculator'!$C$10*('Quote Calculator'!$C$11+'Quote Calculator'!$C$12+'Quote Calculator'!$C$13+'Quote Calculator'!$C$27+'Quote Calculator'!$C$45)/360+MAX(E82*'Quote Calculator'!$C$19*($C$61+'Quote Calculator'!$C$12+'Quote Calculator'!$C$13)/360,'Quote Calculator'!$C$20)+E82*'Quote Calculator'!$C$21*$C$61/360+('Quote Calculator'!$C$22+MAX(E82*'Quote Calculator'!$C$23,'Quote Calculator'!$C$24)+'Quote Calculator'!$C$25+'Quote Calculator'!$C$26)+E82*('Quote Calculator'!$C$30*(1-'Quote Calculator'!$C$31))*(1-(1-'Quote Calculator'!$C$34)^(($C$61+'Quote Calculator'!$C$36)/365))*'Quote Calculator'!$C$35</f>
        <v>4909.7363480505</v>
      </c>
      <c r="G82" s="18" t="n">
        <f aca="false">F82-E82*'Quote Calculator'!$C$40/'Quote Calculator'!$C$7</f>
        <v>-9.13386259708568</v>
      </c>
    </row>
    <row r="83" customFormat="false" ht="15" hidden="false" customHeight="false" outlineLevel="0" collapsed="false">
      <c r="B83" s="3" t="n">
        <v>20</v>
      </c>
      <c r="C83" s="18" t="n">
        <f aca="false">IF(G82&gt;=0,E82,C82)</f>
        <v>26512.2032165527</v>
      </c>
      <c r="D83" s="18" t="n">
        <f aca="false">IF(G82&gt;=0,D82,E82)</f>
        <v>26588.4876251221</v>
      </c>
      <c r="E83" s="18" t="n">
        <f aca="false">(C83+D83)/2</f>
        <v>26550.3454208374</v>
      </c>
      <c r="F83" s="18" t="n">
        <f aca="false">E83*'Quote Calculator'!$C$8*'Quote Calculator'!$C$10*('Quote Calculator'!$C$11+'Quote Calculator'!$C$12+'Quote Calculator'!$C$13+'Quote Calculator'!$C$27+'Quote Calculator'!$C$45)/360+MAX(E83*'Quote Calculator'!$C$19*($C$61+'Quote Calculator'!$C$12+'Quote Calculator'!$C$13)/360,'Quote Calculator'!$C$20)+E83*'Quote Calculator'!$C$21*$C$61/360+('Quote Calculator'!$C$22+MAX(E83*'Quote Calculator'!$C$23,'Quote Calculator'!$C$24)+'Quote Calculator'!$C$25+'Quote Calculator'!$C$26)+E83*('Quote Calculator'!$C$30*(1-'Quote Calculator'!$C$31))*(1-(1-'Quote Calculator'!$C$34)^(($C$61+'Quote Calculator'!$C$36)/365))*'Quote Calculator'!$C$35</f>
        <v>4907.99376221438</v>
      </c>
      <c r="G83" s="18" t="n">
        <f aca="false">F83-E83*'Quote Calculator'!$C$40/'Quote Calculator'!$C$7</f>
        <v>-3.82014064054147</v>
      </c>
    </row>
    <row r="84" customFormat="false" ht="15" hidden="false" customHeight="false" outlineLevel="0" collapsed="false">
      <c r="B84" s="3" t="n">
        <v>21</v>
      </c>
      <c r="C84" s="18" t="n">
        <f aca="false">IF(G83&gt;=0,E83,C83)</f>
        <v>26512.2032165527</v>
      </c>
      <c r="D84" s="18" t="n">
        <f aca="false">IF(G83&gt;=0,D83,E83)</f>
        <v>26550.3454208374</v>
      </c>
      <c r="E84" s="18" t="n">
        <f aca="false">(C84+D84)/2</f>
        <v>26531.2743186951</v>
      </c>
      <c r="F84" s="18" t="n">
        <f aca="false">E84*'Quote Calculator'!$C$8*'Quote Calculator'!$C$10*('Quote Calculator'!$C$11+'Quote Calculator'!$C$12+'Quote Calculator'!$C$13+'Quote Calculator'!$C$27+'Quote Calculator'!$C$45)/360+MAX(E84*'Quote Calculator'!$C$19*($C$61+'Quote Calculator'!$C$12+'Quote Calculator'!$C$13)/360,'Quote Calculator'!$C$20)+E84*'Quote Calculator'!$C$21*$C$61/360+('Quote Calculator'!$C$22+MAX(E84*'Quote Calculator'!$C$23,'Quote Calculator'!$C$24)+'Quote Calculator'!$C$25+'Quote Calculator'!$C$26)+E84*('Quote Calculator'!$C$30*(1-'Quote Calculator'!$C$31))*(1-(1-'Quote Calculator'!$C$34)^(($C$61+'Quote Calculator'!$C$36)/365))*'Quote Calculator'!$C$35</f>
        <v>4907.12246929632</v>
      </c>
      <c r="G84" s="18" t="n">
        <f aca="false">F84-E84*'Quote Calculator'!$C$40/'Quote Calculator'!$C$7</f>
        <v>-1.16327966226982</v>
      </c>
    </row>
    <row r="85" customFormat="false" ht="15" hidden="false" customHeight="false" outlineLevel="0" collapsed="false">
      <c r="B85" s="3" t="n">
        <v>22</v>
      </c>
      <c r="C85" s="18" t="n">
        <f aca="false">IF(G84&gt;=0,E84,C84)</f>
        <v>26512.2032165527</v>
      </c>
      <c r="D85" s="18" t="n">
        <f aca="false">IF(G84&gt;=0,D84,E84)</f>
        <v>26531.2743186951</v>
      </c>
      <c r="E85" s="18" t="n">
        <f aca="false">(C85+D85)/2</f>
        <v>26521.7387676239</v>
      </c>
      <c r="F85" s="18" t="n">
        <f aca="false">E85*'Quote Calculator'!$C$8*'Quote Calculator'!$C$10*('Quote Calculator'!$C$11+'Quote Calculator'!$C$12+'Quote Calculator'!$C$13+'Quote Calculator'!$C$27+'Quote Calculator'!$C$45)/360+MAX(E85*'Quote Calculator'!$C$19*($C$61+'Quote Calculator'!$C$12+'Quote Calculator'!$C$13)/360,'Quote Calculator'!$C$20)+E85*'Quote Calculator'!$C$21*$C$61/360+('Quote Calculator'!$C$22+MAX(E85*'Quote Calculator'!$C$23,'Quote Calculator'!$C$24)+'Quote Calculator'!$C$25+'Quote Calculator'!$C$26)+E85*('Quote Calculator'!$C$30*(1-'Quote Calculator'!$C$31))*(1-(1-'Quote Calculator'!$C$34)^(($C$61+'Quote Calculator'!$C$36)/365))*'Quote Calculator'!$C$35</f>
        <v>4906.68682283729</v>
      </c>
      <c r="G85" s="18" t="n">
        <f aca="false">F85-E85*'Quote Calculator'!$C$40/'Quote Calculator'!$C$7</f>
        <v>0.16515082686692</v>
      </c>
    </row>
    <row r="86" customFormat="false" ht="15" hidden="false" customHeight="false" outlineLevel="0" collapsed="false">
      <c r="B86" s="3" t="n">
        <v>23</v>
      </c>
      <c r="C86" s="18" t="n">
        <f aca="false">IF(G85&gt;=0,E85,C85)</f>
        <v>26521.7387676239</v>
      </c>
      <c r="D86" s="18" t="n">
        <f aca="false">IF(G85&gt;=0,D85,E85)</f>
        <v>26531.2743186951</v>
      </c>
      <c r="E86" s="18" t="n">
        <f aca="false">(C86+D86)/2</f>
        <v>26526.5065431595</v>
      </c>
      <c r="F86" s="18" t="n">
        <f aca="false">E86*'Quote Calculator'!$C$8*'Quote Calculator'!$C$10*('Quote Calculator'!$C$11+'Quote Calculator'!$C$12+'Quote Calculator'!$C$13+'Quote Calculator'!$C$27+'Quote Calculator'!$C$45)/360+MAX(E86*'Quote Calculator'!$C$19*($C$61+'Quote Calculator'!$C$12+'Quote Calculator'!$C$13)/360,'Quote Calculator'!$C$20)+E86*'Quote Calculator'!$C$21*$C$61/360+('Quote Calculator'!$C$22+MAX(E86*'Quote Calculator'!$C$23,'Quote Calculator'!$C$24)+'Quote Calculator'!$C$25+'Quote Calculator'!$C$26)+E86*('Quote Calculator'!$C$30*(1-'Quote Calculator'!$C$31))*(1-(1-'Quote Calculator'!$C$34)^(($C$61+'Quote Calculator'!$C$36)/365))*'Quote Calculator'!$C$35</f>
        <v>4906.9046460668</v>
      </c>
      <c r="G86" s="18" t="n">
        <f aca="false">F86-E86*'Quote Calculator'!$C$40/'Quote Calculator'!$C$7</f>
        <v>-0.499064417701447</v>
      </c>
    </row>
    <row r="87" customFormat="false" ht="15" hidden="false" customHeight="false" outlineLevel="0" collapsed="false">
      <c r="B87" s="3" t="n">
        <v>24</v>
      </c>
      <c r="C87" s="18" t="n">
        <f aca="false">IF(G86&gt;=0,E86,C86)</f>
        <v>26521.7387676239</v>
      </c>
      <c r="D87" s="18" t="n">
        <f aca="false">IF(G86&gt;=0,D86,E86)</f>
        <v>26526.5065431595</v>
      </c>
      <c r="E87" s="18" t="n">
        <f aca="false">(C87+D87)/2</f>
        <v>26524.1226553917</v>
      </c>
      <c r="F87" s="18" t="n">
        <f aca="false">E87*'Quote Calculator'!$C$8*'Quote Calculator'!$C$10*('Quote Calculator'!$C$11+'Quote Calculator'!$C$12+'Quote Calculator'!$C$13+'Quote Calculator'!$C$27+'Quote Calculator'!$C$45)/360+MAX(E87*'Quote Calculator'!$C$19*($C$61+'Quote Calculator'!$C$12+'Quote Calculator'!$C$13)/360,'Quote Calculator'!$C$20)+E87*'Quote Calculator'!$C$21*$C$61/360+('Quote Calculator'!$C$22+MAX(E87*'Quote Calculator'!$C$23,'Quote Calculator'!$C$24)+'Quote Calculator'!$C$25+'Quote Calculator'!$C$26)+E87*('Quote Calculator'!$C$30*(1-'Quote Calculator'!$C$31))*(1-(1-'Quote Calculator'!$C$34)^(($C$61+'Quote Calculator'!$C$36)/365))*'Quote Calculator'!$C$35</f>
        <v>4906.79573445205</v>
      </c>
      <c r="G87" s="18" t="n">
        <f aca="false">F87-E87*'Quote Calculator'!$C$40/'Quote Calculator'!$C$7</f>
        <v>-0.166956795416809</v>
      </c>
    </row>
    <row r="88" customFormat="false" ht="15" hidden="false" customHeight="false" outlineLevel="0" collapsed="false">
      <c r="B88" s="3" t="n">
        <v>25</v>
      </c>
      <c r="C88" s="18" t="n">
        <f aca="false">IF(G87&gt;=0,E87,C87)</f>
        <v>26521.7387676239</v>
      </c>
      <c r="D88" s="18" t="n">
        <f aca="false">IF(G87&gt;=0,D87,E87)</f>
        <v>26524.1226553917</v>
      </c>
      <c r="E88" s="18" t="n">
        <f aca="false">(C88+D88)/2</f>
        <v>26522.9307115078</v>
      </c>
      <c r="F88" s="18" t="n">
        <f aca="false">E88*'Quote Calculator'!$C$8*'Quote Calculator'!$C$10*('Quote Calculator'!$C$11+'Quote Calculator'!$C$12+'Quote Calculator'!$C$13+'Quote Calculator'!$C$27+'Quote Calculator'!$C$45)/360+MAX(E88*'Quote Calculator'!$C$19*($C$61+'Quote Calculator'!$C$12+'Quote Calculator'!$C$13)/360,'Quote Calculator'!$C$20)+E88*'Quote Calculator'!$C$21*$C$61/360+('Quote Calculator'!$C$22+MAX(E88*'Quote Calculator'!$C$23,'Quote Calculator'!$C$24)+'Quote Calculator'!$C$25+'Quote Calculator'!$C$26)+E88*('Quote Calculator'!$C$30*(1-'Quote Calculator'!$C$31))*(1-(1-'Quote Calculator'!$C$34)^(($C$61+'Quote Calculator'!$C$36)/365))*'Quote Calculator'!$C$35</f>
        <v>4906.74127864467</v>
      </c>
      <c r="G88" s="18" t="n">
        <f aca="false">F88-E88*'Quote Calculator'!$C$40/'Quote Calculator'!$C$7</f>
        <v>-0.000902984274944174</v>
      </c>
    </row>
    <row r="89" customFormat="false" ht="15" hidden="false" customHeight="false" outlineLevel="0" collapsed="false">
      <c r="B89" s="3" t="n">
        <v>26</v>
      </c>
      <c r="C89" s="18" t="n">
        <f aca="false">IF(G88&gt;=0,E88,C88)</f>
        <v>26521.7387676239</v>
      </c>
      <c r="D89" s="18" t="n">
        <f aca="false">IF(G88&gt;=0,D88,E88)</f>
        <v>26522.9307115078</v>
      </c>
      <c r="E89" s="18" t="n">
        <f aca="false">(C89+D89)/2</f>
        <v>26522.3347395659</v>
      </c>
      <c r="F89" s="18" t="n">
        <f aca="false">E89*'Quote Calculator'!$C$8*'Quote Calculator'!$C$10*('Quote Calculator'!$C$11+'Quote Calculator'!$C$12+'Quote Calculator'!$C$13+'Quote Calculator'!$C$27+'Quote Calculator'!$C$45)/360+MAX(E89*'Quote Calculator'!$C$19*($C$61+'Quote Calculator'!$C$12+'Quote Calculator'!$C$13)/360,'Quote Calculator'!$C$20)+E89*'Quote Calculator'!$C$21*$C$61/360+('Quote Calculator'!$C$22+MAX(E89*'Quote Calculator'!$C$23,'Quote Calculator'!$C$24)+'Quote Calculator'!$C$25+'Quote Calculator'!$C$26)+E89*('Quote Calculator'!$C$30*(1-'Quote Calculator'!$C$31))*(1-(1-'Quote Calculator'!$C$34)^(($C$61+'Quote Calculator'!$C$36)/365))*'Quote Calculator'!$C$35</f>
        <v>4906.71405074098</v>
      </c>
      <c r="G89" s="18" t="n">
        <f aca="false">F89-E89*'Quote Calculator'!$C$40/'Quote Calculator'!$C$7</f>
        <v>0.0821239212955334</v>
      </c>
    </row>
    <row r="90" customFormat="false" ht="15" hidden="false" customHeight="false" outlineLevel="0" collapsed="false">
      <c r="B90" s="3" t="n">
        <v>27</v>
      </c>
      <c r="C90" s="18" t="n">
        <f aca="false">IF(G89&gt;=0,E89,C89)</f>
        <v>26522.3347395659</v>
      </c>
      <c r="D90" s="18" t="n">
        <f aca="false">IF(G89&gt;=0,D89,E89)</f>
        <v>26522.9307115078</v>
      </c>
      <c r="E90" s="18" t="n">
        <f aca="false">(C90+D90)/2</f>
        <v>26522.6327255368</v>
      </c>
      <c r="F90" s="18" t="n">
        <f aca="false">E90*'Quote Calculator'!$C$8*'Quote Calculator'!$C$10*('Quote Calculator'!$C$11+'Quote Calculator'!$C$12+'Quote Calculator'!$C$13+'Quote Calculator'!$C$27+'Quote Calculator'!$C$45)/360+MAX(E90*'Quote Calculator'!$C$19*($C$61+'Quote Calculator'!$C$12+'Quote Calculator'!$C$13)/360,'Quote Calculator'!$C$20)+E90*'Quote Calculator'!$C$21*$C$61/360+('Quote Calculator'!$C$22+MAX(E90*'Quote Calculator'!$C$23,'Quote Calculator'!$C$24)+'Quote Calculator'!$C$25+'Quote Calculator'!$C$26)+E90*('Quote Calculator'!$C$30*(1-'Quote Calculator'!$C$31))*(1-(1-'Quote Calculator'!$C$34)^(($C$61+'Quote Calculator'!$C$36)/365))*'Quote Calculator'!$C$35</f>
        <v>4906.72766469282</v>
      </c>
      <c r="G90" s="18" t="n">
        <f aca="false">F90-E90*'Quote Calculator'!$C$40/'Quote Calculator'!$C$7</f>
        <v>0.0406104685098399</v>
      </c>
    </row>
    <row r="91" customFormat="false" ht="15" hidden="false" customHeight="false" outlineLevel="0" collapsed="false">
      <c r="B91" s="3" t="n">
        <v>28</v>
      </c>
      <c r="C91" s="18" t="n">
        <f aca="false">IF(G90&gt;=0,E90,C90)</f>
        <v>26522.6327255368</v>
      </c>
      <c r="D91" s="18" t="n">
        <f aca="false">IF(G90&gt;=0,D90,E90)</f>
        <v>26522.9307115078</v>
      </c>
      <c r="E91" s="18" t="n">
        <f aca="false">(C91+D91)/2</f>
        <v>26522.7817185223</v>
      </c>
      <c r="F91" s="18" t="n">
        <f aca="false">E91*'Quote Calculator'!$C$8*'Quote Calculator'!$C$10*('Quote Calculator'!$C$11+'Quote Calculator'!$C$12+'Quote Calculator'!$C$13+'Quote Calculator'!$C$27+'Quote Calculator'!$C$45)/360+MAX(E91*'Quote Calculator'!$C$19*($C$61+'Quote Calculator'!$C$12+'Quote Calculator'!$C$13)/360,'Quote Calculator'!$C$20)+E91*'Quote Calculator'!$C$21*$C$61/360+('Quote Calculator'!$C$22+MAX(E91*'Quote Calculator'!$C$23,'Quote Calculator'!$C$24)+'Quote Calculator'!$C$25+'Quote Calculator'!$C$26)+E91*('Quote Calculator'!$C$30*(1-'Quote Calculator'!$C$31))*(1-(1-'Quote Calculator'!$C$34)^(($C$61+'Quote Calculator'!$C$36)/365))*'Quote Calculator'!$C$35</f>
        <v>4906.73447166875</v>
      </c>
      <c r="G91" s="18" t="n">
        <f aca="false">F91-E91*'Quote Calculator'!$C$40/'Quote Calculator'!$C$7</f>
        <v>0.0198537421174478</v>
      </c>
    </row>
    <row r="92" customFormat="false" ht="15" hidden="false" customHeight="false" outlineLevel="0" collapsed="false">
      <c r="B92" s="3" t="n">
        <v>29</v>
      </c>
      <c r="C92" s="18" t="n">
        <f aca="false">IF(G91&gt;=0,E91,C91)</f>
        <v>26522.7817185223</v>
      </c>
      <c r="D92" s="18" t="n">
        <f aca="false">IF(G91&gt;=0,D91,E91)</f>
        <v>26522.9307115078</v>
      </c>
      <c r="E92" s="18" t="n">
        <f aca="false">(C92+D92)/2</f>
        <v>26522.8562150151</v>
      </c>
      <c r="F92" s="18" t="n">
        <f aca="false">E92*'Quote Calculator'!$C$8*'Quote Calculator'!$C$10*('Quote Calculator'!$C$11+'Quote Calculator'!$C$12+'Quote Calculator'!$C$13+'Quote Calculator'!$C$27+'Quote Calculator'!$C$45)/360+MAX(E92*'Quote Calculator'!$C$19*($C$61+'Quote Calculator'!$C$12+'Quote Calculator'!$C$13)/360,'Quote Calculator'!$C$20)+E92*'Quote Calculator'!$C$21*$C$61/360+('Quote Calculator'!$C$22+MAX(E92*'Quote Calculator'!$C$23,'Quote Calculator'!$C$24)+'Quote Calculator'!$C$25+'Quote Calculator'!$C$26)+E92*('Quote Calculator'!$C$30*(1-'Quote Calculator'!$C$31))*(1-(1-'Quote Calculator'!$C$34)^(($C$61+'Quote Calculator'!$C$36)/365))*'Quote Calculator'!$C$35</f>
        <v>4906.73787515671</v>
      </c>
      <c r="G92" s="18" t="n">
        <f aca="false">F92-E92*'Quote Calculator'!$C$40/'Quote Calculator'!$C$7</f>
        <v>0.00947537892079708</v>
      </c>
    </row>
    <row r="93" customFormat="false" ht="15" hidden="false" customHeight="false" outlineLevel="0" collapsed="false">
      <c r="B93" s="3" t="n">
        <v>30</v>
      </c>
      <c r="C93" s="18" t="n">
        <f aca="false">IF(G92&gt;=0,E92,C92)</f>
        <v>26522.8562150151</v>
      </c>
      <c r="D93" s="18" t="n">
        <f aca="false">IF(G92&gt;=0,D92,E92)</f>
        <v>26522.9307115078</v>
      </c>
      <c r="E93" s="18" t="n">
        <f aca="false">(C93+D93)/2</f>
        <v>26522.8934632614</v>
      </c>
      <c r="F93" s="18" t="n">
        <f aca="false">E93*'Quote Calculator'!$C$8*'Quote Calculator'!$C$10*('Quote Calculator'!$C$11+'Quote Calculator'!$C$12+'Quote Calculator'!$C$13+'Quote Calculator'!$C$27+'Quote Calculator'!$C$45)/360+MAX(E93*'Quote Calculator'!$C$19*($C$61+'Quote Calculator'!$C$12+'Quote Calculator'!$C$13)/360,'Quote Calculator'!$C$20)+E93*'Quote Calculator'!$C$21*$C$61/360+('Quote Calculator'!$C$22+MAX(E93*'Quote Calculator'!$C$23,'Quote Calculator'!$C$24)+'Quote Calculator'!$C$25+'Quote Calculator'!$C$26)+E93*('Quote Calculator'!$C$30*(1-'Quote Calculator'!$C$31))*(1-(1-'Quote Calculator'!$C$34)^(($C$61+'Quote Calculator'!$C$36)/365))*'Quote Calculator'!$C$35</f>
        <v>4906.73957690069</v>
      </c>
      <c r="G93" s="18" t="n">
        <f aca="false">F93-E93*'Quote Calculator'!$C$40/'Quote Calculator'!$C$7</f>
        <v>0.0042861973233812</v>
      </c>
    </row>
    <row r="94" customFormat="false" ht="15" hidden="false" customHeight="false" outlineLevel="0" collapsed="false">
      <c r="B94" s="3" t="n">
        <v>31</v>
      </c>
      <c r="C94" s="18" t="n">
        <f aca="false">IF(G93&gt;=0,E93,C93)</f>
        <v>26522.8934632614</v>
      </c>
      <c r="D94" s="18" t="n">
        <f aca="false">IF(G93&gt;=0,D93,E93)</f>
        <v>26522.9307115078</v>
      </c>
      <c r="E94" s="18" t="n">
        <f aca="false">(C94+D94)/2</f>
        <v>26522.9120873846</v>
      </c>
      <c r="F94" s="18" t="n">
        <f aca="false">E94*'Quote Calculator'!$C$8*'Quote Calculator'!$C$10*('Quote Calculator'!$C$11+'Quote Calculator'!$C$12+'Quote Calculator'!$C$13+'Quote Calculator'!$C$27+'Quote Calculator'!$C$45)/360+MAX(E94*'Quote Calculator'!$C$19*($C$61+'Quote Calculator'!$C$12+'Quote Calculator'!$C$13)/360,'Quote Calculator'!$C$20)+E94*'Quote Calculator'!$C$21*$C$61/360+('Quote Calculator'!$C$22+MAX(E94*'Quote Calculator'!$C$23,'Quote Calculator'!$C$24)+'Quote Calculator'!$C$25+'Quote Calculator'!$C$26)+E94*('Quote Calculator'!$C$30*(1-'Quote Calculator'!$C$31))*(1-(1-'Quote Calculator'!$C$34)^(($C$61+'Quote Calculator'!$C$36)/365))*'Quote Calculator'!$C$35</f>
        <v>4906.74042777268</v>
      </c>
      <c r="G94" s="18" t="n">
        <f aca="false">F94-E94*'Quote Calculator'!$C$40/'Quote Calculator'!$C$7</f>
        <v>0.00169160652421851</v>
      </c>
    </row>
    <row r="95" customFormat="false" ht="15" hidden="false" customHeight="false" outlineLevel="0" collapsed="false">
      <c r="B95" s="3" t="n">
        <v>32</v>
      </c>
      <c r="C95" s="18" t="n">
        <f aca="false">IF(G94&gt;=0,E94,C94)</f>
        <v>26522.9120873846</v>
      </c>
      <c r="D95" s="18" t="n">
        <f aca="false">IF(G94&gt;=0,D94,E94)</f>
        <v>26522.9307115078</v>
      </c>
      <c r="E95" s="18" t="n">
        <f aca="false">(C95+D95)/2</f>
        <v>26522.9213994462</v>
      </c>
      <c r="F95" s="18" t="n">
        <f aca="false">E95*'Quote Calculator'!$C$8*'Quote Calculator'!$C$10*('Quote Calculator'!$C$11+'Quote Calculator'!$C$12+'Quote Calculator'!$C$13+'Quote Calculator'!$C$27+'Quote Calculator'!$C$45)/360+MAX(E95*'Quote Calculator'!$C$19*($C$61+'Quote Calculator'!$C$12+'Quote Calculator'!$C$13)/360,'Quote Calculator'!$C$20)+E95*'Quote Calculator'!$C$21*$C$61/360+('Quote Calculator'!$C$22+MAX(E95*'Quote Calculator'!$C$23,'Quote Calculator'!$C$24)+'Quote Calculator'!$C$25+'Quote Calculator'!$C$26)+E95*('Quote Calculator'!$C$30*(1-'Quote Calculator'!$C$31))*(1-(1-'Quote Calculator'!$C$34)^(($C$61+'Quote Calculator'!$C$36)/365))*'Quote Calculator'!$C$35</f>
        <v>4906.74085320867</v>
      </c>
      <c r="G95" s="18" t="n">
        <f aca="false">F95-E95*'Quote Calculator'!$C$40/'Quote Calculator'!$C$7</f>
        <v>0.000394311124182423</v>
      </c>
    </row>
    <row r="96" customFormat="false" ht="15" hidden="false" customHeight="false" outlineLevel="0" collapsed="false">
      <c r="B96" s="3" t="n">
        <v>33</v>
      </c>
      <c r="C96" s="18" t="n">
        <f aca="false">IF(G95&gt;=0,E95,C95)</f>
        <v>26522.9213994462</v>
      </c>
      <c r="D96" s="18" t="n">
        <f aca="false">IF(G95&gt;=0,D95,E95)</f>
        <v>26522.9307115078</v>
      </c>
      <c r="E96" s="18" t="n">
        <f aca="false">(C96+D96)/2</f>
        <v>26522.926055477</v>
      </c>
      <c r="F96" s="18" t="n">
        <f aca="false">E96*'Quote Calculator'!$C$8*'Quote Calculator'!$C$10*('Quote Calculator'!$C$11+'Quote Calculator'!$C$12+'Quote Calculator'!$C$13+'Quote Calculator'!$C$27+'Quote Calculator'!$C$45)/360+MAX(E96*'Quote Calculator'!$C$19*($C$61+'Quote Calculator'!$C$12+'Quote Calculator'!$C$13)/360,'Quote Calculator'!$C$20)+E96*'Quote Calculator'!$C$21*$C$61/360+('Quote Calculator'!$C$22+MAX(E96*'Quote Calculator'!$C$23,'Quote Calculator'!$C$24)+'Quote Calculator'!$C$25+'Quote Calculator'!$C$26)+E96*('Quote Calculator'!$C$30*(1-'Quote Calculator'!$C$31))*(1-(1-'Quote Calculator'!$C$34)^(($C$61+'Quote Calculator'!$C$36)/365))*'Quote Calculator'!$C$35</f>
        <v>4906.74106592667</v>
      </c>
      <c r="G96" s="18" t="n">
        <f aca="false">F96-E96*'Quote Calculator'!$C$40/'Quote Calculator'!$C$7</f>
        <v>-0.000254336575380876</v>
      </c>
    </row>
    <row r="97" customFormat="false" ht="15" hidden="false" customHeight="false" outlineLevel="0" collapsed="false">
      <c r="B97" s="3" t="n">
        <v>34</v>
      </c>
      <c r="C97" s="18" t="n">
        <f aca="false">IF(G96&gt;=0,E96,C96)</f>
        <v>26522.9213994462</v>
      </c>
      <c r="D97" s="18" t="n">
        <f aca="false">IF(G96&gt;=0,D96,E96)</f>
        <v>26522.926055477</v>
      </c>
      <c r="E97" s="18" t="n">
        <f aca="false">(C97+D97)/2</f>
        <v>26522.9237274616</v>
      </c>
      <c r="F97" s="18" t="n">
        <f aca="false">E97*'Quote Calculator'!$C$8*'Quote Calculator'!$C$10*('Quote Calculator'!$C$11+'Quote Calculator'!$C$12+'Quote Calculator'!$C$13+'Quote Calculator'!$C$27+'Quote Calculator'!$C$45)/360+MAX(E97*'Quote Calculator'!$C$19*($C$61+'Quote Calculator'!$C$12+'Quote Calculator'!$C$13)/360,'Quote Calculator'!$C$20)+E97*'Quote Calculator'!$C$21*$C$61/360+('Quote Calculator'!$C$22+MAX(E97*'Quote Calculator'!$C$23,'Quote Calculator'!$C$24)+'Quote Calculator'!$C$25+'Quote Calculator'!$C$26)+E97*('Quote Calculator'!$C$30*(1-'Quote Calculator'!$C$31))*(1-(1-'Quote Calculator'!$C$34)^(($C$61+'Quote Calculator'!$C$36)/365))*'Quote Calculator'!$C$35</f>
        <v>4906.74095956767</v>
      </c>
      <c r="G97" s="18" t="n">
        <f aca="false">F97-E97*'Quote Calculator'!$C$40/'Quote Calculator'!$C$7</f>
        <v>6.99872753102682E-005</v>
      </c>
    </row>
    <row r="98" customFormat="false" ht="15" hidden="false" customHeight="false" outlineLevel="0" collapsed="false">
      <c r="B98" s="3" t="n">
        <v>35</v>
      </c>
      <c r="C98" s="18" t="n">
        <f aca="false">IF(G97&gt;=0,E97,C97)</f>
        <v>26522.9237274616</v>
      </c>
      <c r="D98" s="18" t="n">
        <f aca="false">IF(G97&gt;=0,D97,E97)</f>
        <v>26522.926055477</v>
      </c>
      <c r="E98" s="18" t="n">
        <f aca="false">(C98+D98)/2</f>
        <v>26522.9248914693</v>
      </c>
      <c r="F98" s="18" t="n">
        <f aca="false">E98*'Quote Calculator'!$C$8*'Quote Calculator'!$C$10*('Quote Calculator'!$C$11+'Quote Calculator'!$C$12+'Quote Calculator'!$C$13+'Quote Calculator'!$C$27+'Quote Calculator'!$C$45)/360+MAX(E98*'Quote Calculator'!$C$19*($C$61+'Quote Calculator'!$C$12+'Quote Calculator'!$C$13)/360,'Quote Calculator'!$C$20)+E98*'Quote Calculator'!$C$21*$C$61/360+('Quote Calculator'!$C$22+MAX(E98*'Quote Calculator'!$C$23,'Quote Calculator'!$C$24)+'Quote Calculator'!$C$25+'Quote Calculator'!$C$26)+E98*('Quote Calculator'!$C$30*(1-'Quote Calculator'!$C$31))*(1-(1-'Quote Calculator'!$C$34)^(($C$61+'Quote Calculator'!$C$36)/365))*'Quote Calculator'!$C$35</f>
        <v>4906.74101274717</v>
      </c>
      <c r="G98" s="18" t="n">
        <f aca="false">F98-E98*'Quote Calculator'!$C$40/'Quote Calculator'!$C$7</f>
        <v>-9.21746504900511E-005</v>
      </c>
    </row>
    <row r="99" customFormat="false" ht="15" hidden="false" customHeight="false" outlineLevel="0" collapsed="false">
      <c r="B99" s="3" t="n">
        <v>36</v>
      </c>
      <c r="C99" s="18" t="n">
        <f aca="false">IF(G98&gt;=0,E98,C98)</f>
        <v>26522.9237274616</v>
      </c>
      <c r="D99" s="18" t="n">
        <f aca="false">IF(G98&gt;=0,D98,E98)</f>
        <v>26522.9248914693</v>
      </c>
      <c r="E99" s="18" t="n">
        <f aca="false">(C99+D99)/2</f>
        <v>26522.9243094655</v>
      </c>
      <c r="F99" s="18" t="n">
        <f aca="false">E99*'Quote Calculator'!$C$8*'Quote Calculator'!$C$10*('Quote Calculator'!$C$11+'Quote Calculator'!$C$12+'Quote Calculator'!$C$13+'Quote Calculator'!$C$27+'Quote Calculator'!$C$45)/360+MAX(E99*'Quote Calculator'!$C$19*($C$61+'Quote Calculator'!$C$12+'Quote Calculator'!$C$13)/360,'Quote Calculator'!$C$20)+E99*'Quote Calculator'!$C$21*$C$61/360+('Quote Calculator'!$C$22+MAX(E99*'Quote Calculator'!$C$23,'Quote Calculator'!$C$24)+'Quote Calculator'!$C$25+'Quote Calculator'!$C$26)+E99*('Quote Calculator'!$C$30*(1-'Quote Calculator'!$C$31))*(1-(1-'Quote Calculator'!$C$34)^(($C$61+'Quote Calculator'!$C$36)/365))*'Quote Calculator'!$C$35</f>
        <v>4906.74098615742</v>
      </c>
      <c r="G99" s="18" t="n">
        <f aca="false">F99-E99*'Quote Calculator'!$C$40/'Quote Calculator'!$C$7</f>
        <v>-1.10936880446388E-005</v>
      </c>
    </row>
    <row r="101" customFormat="false" ht="15" hidden="false" customHeight="false" outlineLevel="0" collapsed="false">
      <c r="B101" s="23" t="s">
        <v>205</v>
      </c>
      <c r="C101" s="29" t="n">
        <f aca="false">(C99+D99)/2</f>
        <v>26522.9243094655</v>
      </c>
    </row>
    <row r="102" customFormat="false" ht="15" hidden="false" customHeight="false" outlineLevel="0" collapsed="false">
      <c r="B102" s="3" t="s">
        <v>206</v>
      </c>
      <c r="C102" s="18" t="n">
        <f aca="false">$C$101*'Quote Calculator'!$C$8*'Quote Calculator'!$C$10*('Quote Calculator'!$C$11+'Quote Calculator'!$C$12+'Quote Calculator'!$C$13+'Quote Calculator'!$C$27+'Quote Calculator'!$C$45)/360+MAX($C$101*'Quote Calculator'!$C$19*($C$61+'Quote Calculator'!$C$12+'Quote Calculator'!$C$13)/360,'Quote Calculator'!$C$20)+$C$101*'Quote Calculator'!$C$21*$C$61/360+('Quote Calculator'!$C$22+MAX($C$101*'Quote Calculator'!$C$23,'Quote Calculator'!$C$24)+'Quote Calculator'!$C$25+'Quote Calculator'!$C$26)+$C$101*('Quote Calculator'!$C$30*(1-'Quote Calculator'!$C$31))*(1-(1-'Quote Calculator'!$C$34)^(($C$61+'Quote Calculator'!$C$36)/365))*'Quote Calculator'!$C$35</f>
        <v>4906.74098615742</v>
      </c>
    </row>
    <row r="103" customFormat="false" ht="15" hidden="false" customHeight="false" outlineLevel="0" collapsed="false">
      <c r="B103" s="3" t="s">
        <v>207</v>
      </c>
      <c r="C103" s="18" t="n">
        <f aca="false">$C$101*'Quote Calculator'!$C$40/'Quote Calculator'!$C$7</f>
        <v>4906.74099725111</v>
      </c>
    </row>
    <row r="104" customFormat="false" ht="15" hidden="false" customHeight="false" outlineLevel="0" collapsed="false">
      <c r="B104" s="3" t="s">
        <v>208</v>
      </c>
      <c r="C104" s="18" t="n">
        <f aca="false">('Quote Calculator'!$C$22+'Quote Calculator'!$C$24+'Quote Calculator'!$C$25+'Quote Calculator'!$C$26+'Quote Calculator'!$C$20)/('Quote Calculator'!$C$40/'Quote Calculator'!$C$7-('Quote Calculator'!$C$8*'Quote Calculator'!$C$10*('Quote Calculator'!$C$11+'Quote Calculator'!$C$12+'Quote Calculator'!$C$13+'Quote Calculator'!$C$27+'Quote Calculator'!$C$45)/360+'Quote Calculator'!$C$21*$C$61/360+('Quote Calculator'!$C$30*(1-'Quote Calculator'!$C$31))*(1-(1-'Quote Calculator'!$C$34)^(($C$61+'Quote Calculator'!$C$36)/365))*'Quote Calculator'!$C$35))</f>
        <v>26522.9242298343</v>
      </c>
      <c r="F104" s="5" t="s">
        <v>209</v>
      </c>
    </row>
    <row r="106" customFormat="false" ht="15" hidden="false" customHeight="false" outlineLevel="0" collapsed="false">
      <c r="B106" s="5" t="s">
        <v>210</v>
      </c>
    </row>
    <row r="107" customFormat="false" ht="15" hidden="false" customHeight="false" outlineLevel="0" collapsed="false">
      <c r="B107" s="5" t="s">
        <v>211</v>
      </c>
    </row>
    <row r="108" customFormat="false" ht="15" hidden="false" customHeight="false" outlineLevel="0" collapsed="false">
      <c r="B108" s="5" t="s">
        <v>212</v>
      </c>
    </row>
    <row r="109" customFormat="false" ht="15" hidden="false" customHeight="false" outlineLevel="0" collapsed="false">
      <c r="B109" s="5" t="s">
        <v>213</v>
      </c>
    </row>
    <row r="110" customFormat="false" ht="15" hidden="false" customHeight="false" outlineLevel="0" collapsed="false">
      <c r="B110" s="5" t="s">
        <v>214</v>
      </c>
    </row>
    <row r="111" customFormat="false" ht="15" hidden="false" customHeight="false" outlineLevel="0" collapsed="false">
      <c r="B111" s="5" t="s">
        <v>215</v>
      </c>
    </row>
    <row r="112" customFormat="false" ht="15" hidden="false" customHeight="false" outlineLevel="0" collapsed="false">
      <c r="B112" s="5" t="s">
        <v>216</v>
      </c>
    </row>
    <row r="113" customFormat="false" ht="15" hidden="false" customHeight="false" outlineLevel="0" collapsed="false">
      <c r="B113" s="5" t="s">
        <v>217</v>
      </c>
    </row>
    <row r="114" customFormat="false" ht="15" hidden="false" customHeight="false" outlineLevel="0" collapsed="false">
      <c r="B114" s="5" t="s">
        <v>218</v>
      </c>
    </row>
    <row r="116" customFormat="false" ht="15" hidden="false" customHeight="false" outlineLevel="0" collapsed="false">
      <c r="B116" s="2" t="s">
        <v>219</v>
      </c>
    </row>
    <row r="117" customFormat="false" ht="15" hidden="false" customHeight="false" outlineLevel="0" collapsed="false">
      <c r="B117" s="39" t="s">
        <v>220</v>
      </c>
    </row>
    <row r="118" customFormat="false" ht="15" hidden="false" customHeight="false" outlineLevel="0" collapsed="false">
      <c r="B118" s="4" t="s">
        <v>139</v>
      </c>
      <c r="C118" s="4" t="s">
        <v>201</v>
      </c>
      <c r="D118" s="4" t="s">
        <v>202</v>
      </c>
      <c r="E118" s="4" t="s">
        <v>203</v>
      </c>
      <c r="F118" s="4" t="s">
        <v>143</v>
      </c>
      <c r="G118" s="4" t="s">
        <v>221</v>
      </c>
    </row>
    <row r="119" customFormat="false" ht="15" hidden="false" customHeight="false" outlineLevel="0" collapsed="false">
      <c r="B119" s="3" t="n">
        <v>1</v>
      </c>
      <c r="C119" s="9" t="n">
        <v>5000</v>
      </c>
      <c r="D119" s="9" t="n">
        <v>40000000</v>
      </c>
      <c r="E119" s="18" t="n">
        <f aca="false">(C119+D119)/2</f>
        <v>20002500</v>
      </c>
      <c r="F119" s="18" t="n">
        <f aca="false">E119*'Quote Calculator'!$C$8*'Quote Calculator'!$C$10*('Quote Calculator'!$C$11+'Quote Calculator'!$C$12+'Quote Calculator'!$C$13+'Quote Calculator'!$C$27+'Quote Calculator'!$C$45)/360+MAX(E119*'Quote Calculator'!$C$19*($C$61+'Quote Calculator'!$C$12+'Quote Calculator'!$C$13)/360,'Quote Calculator'!$C$20)+E119*'Quote Calculator'!$C$21*$C$61/360+('Quote Calculator'!$C$22+MAX(E119*'Quote Calculator'!$C$23,'Quote Calculator'!$C$24)+'Quote Calculator'!$C$25+'Quote Calculator'!$C$26)+E119*('Quote Calculator'!$C$30*(1-'Quote Calculator'!$C$31))*(1-(1-'Quote Calculator'!$C$34)^(($C$61+'Quote Calculator'!$C$36)/365))*'Quote Calculator'!$C$35</f>
        <v>1099943.86936178</v>
      </c>
      <c r="G119" s="18" t="n">
        <f aca="false">F119-E119*'Quote Calculator'!$C$42/'Quote Calculator'!$C$7</f>
        <v>-360238.630638221</v>
      </c>
    </row>
    <row r="120" customFormat="false" ht="15" hidden="false" customHeight="false" outlineLevel="0" collapsed="false">
      <c r="B120" s="3" t="n">
        <v>2</v>
      </c>
      <c r="C120" s="18" t="n">
        <f aca="false">IF(G119&gt;=0,E119,C119)</f>
        <v>5000</v>
      </c>
      <c r="D120" s="18" t="n">
        <f aca="false">IF(G119&gt;=0,D119,E119)</f>
        <v>20002500</v>
      </c>
      <c r="E120" s="18" t="n">
        <f aca="false">(C120+D120)/2</f>
        <v>10003750</v>
      </c>
      <c r="F120" s="18" t="n">
        <f aca="false">E120*'Quote Calculator'!$C$8*'Quote Calculator'!$C$10*('Quote Calculator'!$C$11+'Quote Calculator'!$C$12+'Quote Calculator'!$C$13+'Quote Calculator'!$C$27+'Quote Calculator'!$C$45)/360+MAX(E120*'Quote Calculator'!$C$19*($C$61+'Quote Calculator'!$C$12+'Quote Calculator'!$C$13)/360,'Quote Calculator'!$C$20)+E120*'Quote Calculator'!$C$21*$C$61/360+('Quote Calculator'!$C$22+MAX(E120*'Quote Calculator'!$C$23,'Quote Calculator'!$C$24)+'Quote Calculator'!$C$25+'Quote Calculator'!$C$26)+E120*('Quote Calculator'!$C$30*(1-'Quote Calculator'!$C$31))*(1-(1-'Quote Calculator'!$C$34)^(($C$61+'Quote Calculator'!$C$36)/365))*'Quote Calculator'!$C$35</f>
        <v>550994.189257738</v>
      </c>
      <c r="G120" s="18" t="n">
        <f aca="false">F120-E120*'Quote Calculator'!$C$42/'Quote Calculator'!$C$7</f>
        <v>-179279.560742262</v>
      </c>
    </row>
    <row r="121" customFormat="false" ht="15" hidden="false" customHeight="false" outlineLevel="0" collapsed="false">
      <c r="B121" s="3" t="n">
        <v>3</v>
      </c>
      <c r="C121" s="18" t="n">
        <f aca="false">IF(G120&gt;=0,E120,C120)</f>
        <v>5000</v>
      </c>
      <c r="D121" s="18" t="n">
        <f aca="false">IF(G120&gt;=0,D120,E120)</f>
        <v>10003750</v>
      </c>
      <c r="E121" s="18" t="n">
        <f aca="false">(C121+D121)/2</f>
        <v>5004375</v>
      </c>
      <c r="F121" s="18" t="n">
        <f aca="false">E121*'Quote Calculator'!$C$8*'Quote Calculator'!$C$10*('Quote Calculator'!$C$11+'Quote Calculator'!$C$12+'Quote Calculator'!$C$13+'Quote Calculator'!$C$27+'Quote Calculator'!$C$45)/360+MAX(E121*'Quote Calculator'!$C$19*($C$61+'Quote Calculator'!$C$12+'Quote Calculator'!$C$13)/360,'Quote Calculator'!$C$20)+E121*'Quote Calculator'!$C$21*$C$61/360+('Quote Calculator'!$C$22+MAX(E121*'Quote Calculator'!$C$23,'Quote Calculator'!$C$24)+'Quote Calculator'!$C$25+'Quote Calculator'!$C$26)+E121*('Quote Calculator'!$C$30*(1-'Quote Calculator'!$C$31))*(1-(1-'Quote Calculator'!$C$34)^(($C$61+'Quote Calculator'!$C$36)/365))*'Quote Calculator'!$C$35</f>
        <v>276519.349205717</v>
      </c>
      <c r="G121" s="18" t="n">
        <f aca="false">F121-E121*'Quote Calculator'!$C$42/'Quote Calculator'!$C$7</f>
        <v>-88800.0257942831</v>
      </c>
    </row>
    <row r="122" customFormat="false" ht="15" hidden="false" customHeight="false" outlineLevel="0" collapsed="false">
      <c r="B122" s="3" t="n">
        <v>4</v>
      </c>
      <c r="C122" s="18" t="n">
        <f aca="false">IF(G121&gt;=0,E121,C121)</f>
        <v>5000</v>
      </c>
      <c r="D122" s="18" t="n">
        <f aca="false">IF(G121&gt;=0,D121,E121)</f>
        <v>5004375</v>
      </c>
      <c r="E122" s="18" t="n">
        <f aca="false">(C122+D122)/2</f>
        <v>2504687.5</v>
      </c>
      <c r="F122" s="18" t="n">
        <f aca="false">E122*'Quote Calculator'!$C$8*'Quote Calculator'!$C$10*('Quote Calculator'!$C$11+'Quote Calculator'!$C$12+'Quote Calculator'!$C$13+'Quote Calculator'!$C$27+'Quote Calculator'!$C$45)/360+MAX(E122*'Quote Calculator'!$C$19*($C$61+'Quote Calculator'!$C$12+'Quote Calculator'!$C$13)/360,'Quote Calculator'!$C$20)+E122*'Quote Calculator'!$C$21*$C$61/360+('Quote Calculator'!$C$22+MAX(E122*'Quote Calculator'!$C$23,'Quote Calculator'!$C$24)+'Quote Calculator'!$C$25+'Quote Calculator'!$C$26)+E122*('Quote Calculator'!$C$30*(1-'Quote Calculator'!$C$31))*(1-(1-'Quote Calculator'!$C$34)^(($C$61+'Quote Calculator'!$C$36)/365))*'Quote Calculator'!$C$35</f>
        <v>139281.929179707</v>
      </c>
      <c r="G122" s="18" t="n">
        <f aca="false">F122-E122*'Quote Calculator'!$C$42/'Quote Calculator'!$C$7</f>
        <v>-43560.2583202934</v>
      </c>
    </row>
    <row r="123" customFormat="false" ht="15" hidden="false" customHeight="false" outlineLevel="0" collapsed="false">
      <c r="B123" s="3" t="n">
        <v>5</v>
      </c>
      <c r="C123" s="18" t="n">
        <f aca="false">IF(G122&gt;=0,E122,C122)</f>
        <v>5000</v>
      </c>
      <c r="D123" s="18" t="n">
        <f aca="false">IF(G122&gt;=0,D122,E122)</f>
        <v>2504687.5</v>
      </c>
      <c r="E123" s="18" t="n">
        <f aca="false">(C123+D123)/2</f>
        <v>1254843.75</v>
      </c>
      <c r="F123" s="18" t="n">
        <f aca="false">E123*'Quote Calculator'!$C$8*'Quote Calculator'!$C$10*('Quote Calculator'!$C$11+'Quote Calculator'!$C$12+'Quote Calculator'!$C$13+'Quote Calculator'!$C$27+'Quote Calculator'!$C$45)/360+MAX(E123*'Quote Calculator'!$C$19*($C$61+'Quote Calculator'!$C$12+'Quote Calculator'!$C$13)/360,'Quote Calculator'!$C$20)+E123*'Quote Calculator'!$C$21*$C$61/360+('Quote Calculator'!$C$22+MAX(E123*'Quote Calculator'!$C$23,'Quote Calculator'!$C$24)+'Quote Calculator'!$C$25+'Quote Calculator'!$C$26)+E123*('Quote Calculator'!$C$30*(1-'Quote Calculator'!$C$31))*(1-(1-'Quote Calculator'!$C$34)^(($C$61+'Quote Calculator'!$C$36)/365))*'Quote Calculator'!$C$35</f>
        <v>70663.2191667014</v>
      </c>
      <c r="G123" s="18" t="n">
        <f aca="false">F123-E123*'Quote Calculator'!$C$42/'Quote Calculator'!$C$7</f>
        <v>-20940.3745832986</v>
      </c>
    </row>
    <row r="124" customFormat="false" ht="15" hidden="false" customHeight="false" outlineLevel="0" collapsed="false">
      <c r="B124" s="3" t="n">
        <v>6</v>
      </c>
      <c r="C124" s="18" t="n">
        <f aca="false">IF(G123&gt;=0,E123,C123)</f>
        <v>5000</v>
      </c>
      <c r="D124" s="18" t="n">
        <f aca="false">IF(G123&gt;=0,D123,E123)</f>
        <v>1254843.75</v>
      </c>
      <c r="E124" s="18" t="n">
        <f aca="false">(C124+D124)/2</f>
        <v>629921.875</v>
      </c>
      <c r="F124" s="18" t="n">
        <f aca="false">E124*'Quote Calculator'!$C$8*'Quote Calculator'!$C$10*('Quote Calculator'!$C$11+'Quote Calculator'!$C$12+'Quote Calculator'!$C$13+'Quote Calculator'!$C$27+'Quote Calculator'!$C$45)/360+MAX(E124*'Quote Calculator'!$C$19*($C$61+'Quote Calculator'!$C$12+'Quote Calculator'!$C$13)/360,'Quote Calculator'!$C$20)+E124*'Quote Calculator'!$C$21*$C$61/360+('Quote Calculator'!$C$22+MAX(E124*'Quote Calculator'!$C$23,'Quote Calculator'!$C$24)+'Quote Calculator'!$C$25+'Quote Calculator'!$C$26)+E124*('Quote Calculator'!$C$30*(1-'Quote Calculator'!$C$31))*(1-(1-'Quote Calculator'!$C$34)^(($C$61+'Quote Calculator'!$C$36)/365))*'Quote Calculator'!$C$35</f>
        <v>36353.8641601988</v>
      </c>
      <c r="G124" s="18" t="n">
        <f aca="false">F124-E124*'Quote Calculator'!$C$42/'Quote Calculator'!$C$7</f>
        <v>-9630.43271480118</v>
      </c>
    </row>
    <row r="125" customFormat="false" ht="15" hidden="false" customHeight="false" outlineLevel="0" collapsed="false">
      <c r="B125" s="3" t="n">
        <v>7</v>
      </c>
      <c r="C125" s="18" t="n">
        <f aca="false">IF(G124&gt;=0,E124,C124)</f>
        <v>5000</v>
      </c>
      <c r="D125" s="18" t="n">
        <f aca="false">IF(G124&gt;=0,D124,E124)</f>
        <v>629921.875</v>
      </c>
      <c r="E125" s="18" t="n">
        <f aca="false">(C125+D125)/2</f>
        <v>317460.9375</v>
      </c>
      <c r="F125" s="18" t="n">
        <f aca="false">E125*'Quote Calculator'!$C$8*'Quote Calculator'!$C$10*('Quote Calculator'!$C$11+'Quote Calculator'!$C$12+'Quote Calculator'!$C$13+'Quote Calculator'!$C$27+'Quote Calculator'!$C$45)/360+MAX(E125*'Quote Calculator'!$C$19*($C$61+'Quote Calculator'!$C$12+'Quote Calculator'!$C$13)/360,'Quote Calculator'!$C$20)+E125*'Quote Calculator'!$C$21*$C$61/360+('Quote Calculator'!$C$22+MAX(E125*'Quote Calculator'!$C$23,'Quote Calculator'!$C$24)+'Quote Calculator'!$C$25+'Quote Calculator'!$C$26)+E125*('Quote Calculator'!$C$30*(1-'Quote Calculator'!$C$31))*(1-(1-'Quote Calculator'!$C$34)^(($C$61+'Quote Calculator'!$C$36)/365))*'Quote Calculator'!$C$35</f>
        <v>19227.3604850725</v>
      </c>
      <c r="G125" s="18" t="n">
        <f aca="false">F125-E125*'Quote Calculator'!$C$42/'Quote Calculator'!$C$7</f>
        <v>-3947.28795242748</v>
      </c>
    </row>
    <row r="126" customFormat="false" ht="15" hidden="false" customHeight="false" outlineLevel="0" collapsed="false">
      <c r="B126" s="3" t="n">
        <v>8</v>
      </c>
      <c r="C126" s="18" t="n">
        <f aca="false">IF(G125&gt;=0,E125,C125)</f>
        <v>5000</v>
      </c>
      <c r="D126" s="18" t="n">
        <f aca="false">IF(G125&gt;=0,D125,E125)</f>
        <v>317460.9375</v>
      </c>
      <c r="E126" s="18" t="n">
        <f aca="false">(C126+D126)/2</f>
        <v>161230.46875</v>
      </c>
      <c r="F126" s="18" t="n">
        <f aca="false">E126*'Quote Calculator'!$C$8*'Quote Calculator'!$C$10*('Quote Calculator'!$C$11+'Quote Calculator'!$C$12+'Quote Calculator'!$C$13+'Quote Calculator'!$C$27+'Quote Calculator'!$C$45)/360+MAX(E126*'Quote Calculator'!$C$19*($C$61+'Quote Calculator'!$C$12+'Quote Calculator'!$C$13)/360,'Quote Calculator'!$C$20)+E126*'Quote Calculator'!$C$21*$C$61/360+('Quote Calculator'!$C$22+MAX(E126*'Quote Calculator'!$C$23,'Quote Calculator'!$C$24)+'Quote Calculator'!$C$25+'Quote Calculator'!$C$26)+E126*('Quote Calculator'!$C$30*(1-'Quote Calculator'!$C$31))*(1-(1-'Quote Calculator'!$C$34)^(($C$61+'Quote Calculator'!$C$36)/365))*'Quote Calculator'!$C$35</f>
        <v>11061.0643495493</v>
      </c>
      <c r="G126" s="18" t="n">
        <f aca="false">F126-E126*'Quote Calculator'!$C$42/'Quote Calculator'!$C$7</f>
        <v>-708.75986920069</v>
      </c>
    </row>
    <row r="127" customFormat="false" ht="15" hidden="false" customHeight="false" outlineLevel="0" collapsed="false">
      <c r="B127" s="3" t="n">
        <v>9</v>
      </c>
      <c r="C127" s="18" t="n">
        <f aca="false">IF(G126&gt;=0,E126,C126)</f>
        <v>5000</v>
      </c>
      <c r="D127" s="18" t="n">
        <f aca="false">IF(G126&gt;=0,D126,E126)</f>
        <v>161230.46875</v>
      </c>
      <c r="E127" s="18" t="n">
        <f aca="false">(C127+D127)/2</f>
        <v>83115.234375</v>
      </c>
      <c r="F127" s="18" t="n">
        <f aca="false">E127*'Quote Calculator'!$C$8*'Quote Calculator'!$C$10*('Quote Calculator'!$C$11+'Quote Calculator'!$C$12+'Quote Calculator'!$C$13+'Quote Calculator'!$C$27+'Quote Calculator'!$C$45)/360+MAX(E127*'Quote Calculator'!$C$19*($C$61+'Quote Calculator'!$C$12+'Quote Calculator'!$C$13)/360,'Quote Calculator'!$C$20)+E127*'Quote Calculator'!$C$21*$C$61/360+('Quote Calculator'!$C$22+MAX(E127*'Quote Calculator'!$C$23,'Quote Calculator'!$C$24)+'Quote Calculator'!$C$25+'Quote Calculator'!$C$26)+E127*('Quote Calculator'!$C$30*(1-'Quote Calculator'!$C$31))*(1-(1-'Quote Calculator'!$C$34)^(($C$61+'Quote Calculator'!$C$36)/365))*'Quote Calculator'!$C$35</f>
        <v>7492.24855717833</v>
      </c>
      <c r="G127" s="18" t="n">
        <f aca="false">F127-E127*'Quote Calculator'!$C$42/'Quote Calculator'!$C$7</f>
        <v>1424.83644780333</v>
      </c>
    </row>
    <row r="128" customFormat="false" ht="15" hidden="false" customHeight="false" outlineLevel="0" collapsed="false">
      <c r="B128" s="3" t="n">
        <v>10</v>
      </c>
      <c r="C128" s="18" t="n">
        <f aca="false">IF(G127&gt;=0,E127,C127)</f>
        <v>83115.234375</v>
      </c>
      <c r="D128" s="18" t="n">
        <f aca="false">IF(G127&gt;=0,D127,E127)</f>
        <v>161230.46875</v>
      </c>
      <c r="E128" s="18" t="n">
        <f aca="false">(C128+D128)/2</f>
        <v>122172.8515625</v>
      </c>
      <c r="F128" s="18" t="n">
        <f aca="false">E128*'Quote Calculator'!$C$8*'Quote Calculator'!$C$10*('Quote Calculator'!$C$11+'Quote Calculator'!$C$12+'Quote Calculator'!$C$13+'Quote Calculator'!$C$27+'Quote Calculator'!$C$45)/360+MAX(E128*'Quote Calculator'!$C$19*($C$61+'Quote Calculator'!$C$12+'Quote Calculator'!$C$13)/360,'Quote Calculator'!$C$20)+E128*'Quote Calculator'!$C$21*$C$61/360+('Quote Calculator'!$C$22+MAX(E128*'Quote Calculator'!$C$23,'Quote Calculator'!$C$24)+'Quote Calculator'!$C$25+'Quote Calculator'!$C$26)+E128*('Quote Calculator'!$C$30*(1-'Quote Calculator'!$C$31))*(1-(1-'Quote Calculator'!$C$34)^(($C$61+'Quote Calculator'!$C$36)/365))*'Quote Calculator'!$C$35</f>
        <v>9276.65645336382</v>
      </c>
      <c r="G128" s="18" t="n">
        <f aca="false">F128-E128*'Quote Calculator'!$C$42/'Quote Calculator'!$C$7</f>
        <v>358.038289301319</v>
      </c>
    </row>
    <row r="129" customFormat="false" ht="15" hidden="false" customHeight="false" outlineLevel="0" collapsed="false">
      <c r="B129" s="3" t="n">
        <v>11</v>
      </c>
      <c r="C129" s="18" t="n">
        <f aca="false">IF(G128&gt;=0,E128,C128)</f>
        <v>122172.8515625</v>
      </c>
      <c r="D129" s="18" t="n">
        <f aca="false">IF(G128&gt;=0,D128,E128)</f>
        <v>161230.46875</v>
      </c>
      <c r="E129" s="18" t="n">
        <f aca="false">(C129+D129)/2</f>
        <v>141701.66015625</v>
      </c>
      <c r="F129" s="18" t="n">
        <f aca="false">E129*'Quote Calculator'!$C$8*'Quote Calculator'!$C$10*('Quote Calculator'!$C$11+'Quote Calculator'!$C$12+'Quote Calculator'!$C$13+'Quote Calculator'!$C$27+'Quote Calculator'!$C$45)/360+MAX(E129*'Quote Calculator'!$C$19*($C$61+'Quote Calculator'!$C$12+'Quote Calculator'!$C$13)/360,'Quote Calculator'!$C$20)+E129*'Quote Calculator'!$C$21*$C$61/360+('Quote Calculator'!$C$22+MAX(E129*'Quote Calculator'!$C$23,'Quote Calculator'!$C$24)+'Quote Calculator'!$C$25+'Quote Calculator'!$C$26)+E129*('Quote Calculator'!$C$30*(1-'Quote Calculator'!$C$31))*(1-(1-'Quote Calculator'!$C$34)^(($C$61+'Quote Calculator'!$C$36)/365))*'Quote Calculator'!$C$35</f>
        <v>10168.8604014566</v>
      </c>
      <c r="G129" s="18" t="n">
        <f aca="false">F129-E129*'Quote Calculator'!$C$42/'Quote Calculator'!$C$7</f>
        <v>-175.360789949687</v>
      </c>
    </row>
    <row r="130" customFormat="false" ht="15" hidden="false" customHeight="false" outlineLevel="0" collapsed="false">
      <c r="B130" s="3" t="n">
        <v>12</v>
      </c>
      <c r="C130" s="18" t="n">
        <f aca="false">IF(G129&gt;=0,E129,C129)</f>
        <v>122172.8515625</v>
      </c>
      <c r="D130" s="18" t="n">
        <f aca="false">IF(G129&gt;=0,D129,E129)</f>
        <v>141701.66015625</v>
      </c>
      <c r="E130" s="18" t="n">
        <f aca="false">(C130+D130)/2</f>
        <v>131937.255859375</v>
      </c>
      <c r="F130" s="18" t="n">
        <f aca="false">E130*'Quote Calculator'!$C$8*'Quote Calculator'!$C$10*('Quote Calculator'!$C$11+'Quote Calculator'!$C$12+'Quote Calculator'!$C$13+'Quote Calculator'!$C$27+'Quote Calculator'!$C$45)/360+MAX(E130*'Quote Calculator'!$C$19*($C$61+'Quote Calculator'!$C$12+'Quote Calculator'!$C$13)/360,'Quote Calculator'!$C$20)+E130*'Quote Calculator'!$C$21*$C$61/360+('Quote Calculator'!$C$22+MAX(E130*'Quote Calculator'!$C$23,'Quote Calculator'!$C$24)+'Quote Calculator'!$C$25+'Quote Calculator'!$C$26)+E130*('Quote Calculator'!$C$30*(1-'Quote Calculator'!$C$31))*(1-(1-'Quote Calculator'!$C$34)^(($C$61+'Quote Calculator'!$C$36)/365))*'Quote Calculator'!$C$35</f>
        <v>9722.75842741019</v>
      </c>
      <c r="G130" s="18" t="n">
        <f aca="false">F130-E130*'Quote Calculator'!$C$42/'Quote Calculator'!$C$7</f>
        <v>91.3387496758169</v>
      </c>
    </row>
    <row r="131" customFormat="false" ht="15" hidden="false" customHeight="false" outlineLevel="0" collapsed="false">
      <c r="B131" s="3" t="n">
        <v>13</v>
      </c>
      <c r="C131" s="18" t="n">
        <f aca="false">IF(G130&gt;=0,E130,C130)</f>
        <v>131937.255859375</v>
      </c>
      <c r="D131" s="18" t="n">
        <f aca="false">IF(G130&gt;=0,D130,E130)</f>
        <v>141701.66015625</v>
      </c>
      <c r="E131" s="18" t="n">
        <f aca="false">(C131+D131)/2</f>
        <v>136819.458007813</v>
      </c>
      <c r="F131" s="18" t="n">
        <f aca="false">E131*'Quote Calculator'!$C$8*'Quote Calculator'!$C$10*('Quote Calculator'!$C$11+'Quote Calculator'!$C$12+'Quote Calculator'!$C$13+'Quote Calculator'!$C$27+'Quote Calculator'!$C$45)/360+MAX(E131*'Quote Calculator'!$C$19*($C$61+'Quote Calculator'!$C$12+'Quote Calculator'!$C$13)/360,'Quote Calculator'!$C$20)+E131*'Quote Calculator'!$C$21*$C$61/360+('Quote Calculator'!$C$22+MAX(E131*'Quote Calculator'!$C$23,'Quote Calculator'!$C$24)+'Quote Calculator'!$C$25+'Quote Calculator'!$C$26)+E131*('Quote Calculator'!$C$30*(1-'Quote Calculator'!$C$31))*(1-(1-'Quote Calculator'!$C$34)^(($C$61+'Quote Calculator'!$C$36)/365))*'Quote Calculator'!$C$35</f>
        <v>9945.80941443338</v>
      </c>
      <c r="G131" s="18" t="n">
        <f aca="false">F131-E131*'Quote Calculator'!$C$42/'Quote Calculator'!$C$7</f>
        <v>-42.0110201369353</v>
      </c>
    </row>
    <row r="132" customFormat="false" ht="15" hidden="false" customHeight="false" outlineLevel="0" collapsed="false">
      <c r="B132" s="3" t="n">
        <v>14</v>
      </c>
      <c r="C132" s="18" t="n">
        <f aca="false">IF(G131&gt;=0,E131,C131)</f>
        <v>131937.255859375</v>
      </c>
      <c r="D132" s="18" t="n">
        <f aca="false">IF(G131&gt;=0,D131,E131)</f>
        <v>136819.458007813</v>
      </c>
      <c r="E132" s="18" t="n">
        <f aca="false">(C132+D132)/2</f>
        <v>134378.356933594</v>
      </c>
      <c r="F132" s="18" t="n">
        <f aca="false">E132*'Quote Calculator'!$C$8*'Quote Calculator'!$C$10*('Quote Calculator'!$C$11+'Quote Calculator'!$C$12+'Quote Calculator'!$C$13+'Quote Calculator'!$C$27+'Quote Calculator'!$C$45)/360+MAX(E132*'Quote Calculator'!$C$19*($C$61+'Quote Calculator'!$C$12+'Quote Calculator'!$C$13)/360,'Quote Calculator'!$C$20)+E132*'Quote Calculator'!$C$21*$C$61/360+('Quote Calculator'!$C$22+MAX(E132*'Quote Calculator'!$C$23,'Quote Calculator'!$C$24)+'Quote Calculator'!$C$25+'Quote Calculator'!$C$26)+E132*('Quote Calculator'!$C$30*(1-'Quote Calculator'!$C$31))*(1-(1-'Quote Calculator'!$C$34)^(($C$61+'Quote Calculator'!$C$36)/365))*'Quote Calculator'!$C$35</f>
        <v>9834.28392092178</v>
      </c>
      <c r="G132" s="18" t="n">
        <f aca="false">F132-E132*'Quote Calculator'!$C$42/'Quote Calculator'!$C$7</f>
        <v>24.6638647694399</v>
      </c>
    </row>
    <row r="133" customFormat="false" ht="15" hidden="false" customHeight="false" outlineLevel="0" collapsed="false">
      <c r="B133" s="3" t="n">
        <v>15</v>
      </c>
      <c r="C133" s="18" t="n">
        <f aca="false">IF(G132&gt;=0,E132,C132)</f>
        <v>134378.356933594</v>
      </c>
      <c r="D133" s="18" t="n">
        <f aca="false">IF(G132&gt;=0,D132,E132)</f>
        <v>136819.458007813</v>
      </c>
      <c r="E133" s="18" t="n">
        <f aca="false">(C133+D133)/2</f>
        <v>135598.907470703</v>
      </c>
      <c r="F133" s="18" t="n">
        <f aca="false">E133*'Quote Calculator'!$C$8*'Quote Calculator'!$C$10*('Quote Calculator'!$C$11+'Quote Calculator'!$C$12+'Quote Calculator'!$C$13+'Quote Calculator'!$C$27+'Quote Calculator'!$C$45)/360+MAX(E133*'Quote Calculator'!$C$19*($C$61+'Quote Calculator'!$C$12+'Quote Calculator'!$C$13)/360,'Quote Calculator'!$C$20)+E133*'Quote Calculator'!$C$21*$C$61/360+('Quote Calculator'!$C$22+MAX(E133*'Quote Calculator'!$C$23,'Quote Calculator'!$C$24)+'Quote Calculator'!$C$25+'Quote Calculator'!$C$26)+E133*('Quote Calculator'!$C$30*(1-'Quote Calculator'!$C$31))*(1-(1-'Quote Calculator'!$C$34)^(($C$61+'Quote Calculator'!$C$36)/365))*'Quote Calculator'!$C$35</f>
        <v>9890.04666767758</v>
      </c>
      <c r="G133" s="18" t="n">
        <f aca="false">F133-E133*'Quote Calculator'!$C$42/'Quote Calculator'!$C$7</f>
        <v>-8.67357768374677</v>
      </c>
    </row>
    <row r="134" customFormat="false" ht="15" hidden="false" customHeight="false" outlineLevel="0" collapsed="false">
      <c r="B134" s="3" t="n">
        <v>16</v>
      </c>
      <c r="C134" s="18" t="n">
        <f aca="false">IF(G133&gt;=0,E133,C133)</f>
        <v>134378.356933594</v>
      </c>
      <c r="D134" s="18" t="n">
        <f aca="false">IF(G133&gt;=0,D133,E133)</f>
        <v>135598.907470703</v>
      </c>
      <c r="E134" s="18" t="n">
        <f aca="false">(C134+D134)/2</f>
        <v>134988.632202148</v>
      </c>
      <c r="F134" s="18" t="n">
        <f aca="false">E134*'Quote Calculator'!$C$8*'Quote Calculator'!$C$10*('Quote Calculator'!$C$11+'Quote Calculator'!$C$12+'Quote Calculator'!$C$13+'Quote Calculator'!$C$27+'Quote Calculator'!$C$45)/360+MAX(E134*'Quote Calculator'!$C$19*($C$61+'Quote Calculator'!$C$12+'Quote Calculator'!$C$13)/360,'Quote Calculator'!$C$20)+E134*'Quote Calculator'!$C$21*$C$61/360+('Quote Calculator'!$C$22+MAX(E134*'Quote Calculator'!$C$23,'Quote Calculator'!$C$24)+'Quote Calculator'!$C$25+'Quote Calculator'!$C$26)+E134*('Quote Calculator'!$C$30*(1-'Quote Calculator'!$C$31))*(1-(1-'Quote Calculator'!$C$34)^(($C$61+'Quote Calculator'!$C$36)/365))*'Quote Calculator'!$C$35</f>
        <v>9862.16529429968</v>
      </c>
      <c r="G134" s="18" t="n">
        <f aca="false">F134-E134*'Quote Calculator'!$C$42/'Quote Calculator'!$C$7</f>
        <v>7.99514354284838</v>
      </c>
    </row>
    <row r="135" customFormat="false" ht="15" hidden="false" customHeight="false" outlineLevel="0" collapsed="false">
      <c r="B135" s="3" t="n">
        <v>17</v>
      </c>
      <c r="C135" s="18" t="n">
        <f aca="false">IF(G134&gt;=0,E134,C134)</f>
        <v>134988.632202148</v>
      </c>
      <c r="D135" s="18" t="n">
        <f aca="false">IF(G134&gt;=0,D134,E134)</f>
        <v>135598.907470703</v>
      </c>
      <c r="E135" s="18" t="n">
        <f aca="false">(C135+D135)/2</f>
        <v>135293.769836426</v>
      </c>
      <c r="F135" s="18" t="n">
        <f aca="false">E135*'Quote Calculator'!$C$8*'Quote Calculator'!$C$10*('Quote Calculator'!$C$11+'Quote Calculator'!$C$12+'Quote Calculator'!$C$13+'Quote Calculator'!$C$27+'Quote Calculator'!$C$45)/360+MAX(E135*'Quote Calculator'!$C$19*($C$61+'Quote Calculator'!$C$12+'Quote Calculator'!$C$13)/360,'Quote Calculator'!$C$20)+E135*'Quote Calculator'!$C$21*$C$61/360+('Quote Calculator'!$C$22+MAX(E135*'Quote Calculator'!$C$23,'Quote Calculator'!$C$24)+'Quote Calculator'!$C$25+'Quote Calculator'!$C$26)+E135*('Quote Calculator'!$C$30*(1-'Quote Calculator'!$C$31))*(1-(1-'Quote Calculator'!$C$34)^(($C$61+'Quote Calculator'!$C$36)/365))*'Quote Calculator'!$C$35</f>
        <v>9876.10598098863</v>
      </c>
      <c r="G135" s="18" t="n">
        <f aca="false">F135-E135*'Quote Calculator'!$C$42/'Quote Calculator'!$C$7</f>
        <v>-0.339217070451923</v>
      </c>
    </row>
    <row r="136" customFormat="false" ht="15" hidden="false" customHeight="false" outlineLevel="0" collapsed="false">
      <c r="B136" s="3" t="n">
        <v>18</v>
      </c>
      <c r="C136" s="18" t="n">
        <f aca="false">IF(G135&gt;=0,E135,C135)</f>
        <v>134988.632202148</v>
      </c>
      <c r="D136" s="18" t="n">
        <f aca="false">IF(G135&gt;=0,D135,E135)</f>
        <v>135293.769836426</v>
      </c>
      <c r="E136" s="18" t="n">
        <f aca="false">(C136+D136)/2</f>
        <v>135141.201019287</v>
      </c>
      <c r="F136" s="18" t="n">
        <f aca="false">E136*'Quote Calculator'!$C$8*'Quote Calculator'!$C$10*('Quote Calculator'!$C$11+'Quote Calculator'!$C$12+'Quote Calculator'!$C$13+'Quote Calculator'!$C$27+'Quote Calculator'!$C$45)/360+MAX(E136*'Quote Calculator'!$C$19*($C$61+'Quote Calculator'!$C$12+'Quote Calculator'!$C$13)/360,'Quote Calculator'!$C$20)+E136*'Quote Calculator'!$C$21*$C$61/360+('Quote Calculator'!$C$22+MAX(E136*'Quote Calculator'!$C$23,'Quote Calculator'!$C$24)+'Quote Calculator'!$C$25+'Quote Calculator'!$C$26)+E136*('Quote Calculator'!$C$30*(1-'Quote Calculator'!$C$31))*(1-(1-'Quote Calculator'!$C$34)^(($C$61+'Quote Calculator'!$C$36)/365))*'Quote Calculator'!$C$35</f>
        <v>9869.13563764416</v>
      </c>
      <c r="G136" s="18" t="n">
        <f aca="false">F136-E136*'Quote Calculator'!$C$42/'Quote Calculator'!$C$7</f>
        <v>3.82796323619914</v>
      </c>
    </row>
    <row r="137" customFormat="false" ht="15" hidden="false" customHeight="false" outlineLevel="0" collapsed="false">
      <c r="B137" s="3" t="n">
        <v>19</v>
      </c>
      <c r="C137" s="18" t="n">
        <f aca="false">IF(G136&gt;=0,E136,C136)</f>
        <v>135141.201019287</v>
      </c>
      <c r="D137" s="18" t="n">
        <f aca="false">IF(G136&gt;=0,D136,E136)</f>
        <v>135293.769836426</v>
      </c>
      <c r="E137" s="18" t="n">
        <f aca="false">(C137+D137)/2</f>
        <v>135217.485427856</v>
      </c>
      <c r="F137" s="18" t="n">
        <f aca="false">E137*'Quote Calculator'!$C$8*'Quote Calculator'!$C$10*('Quote Calculator'!$C$11+'Quote Calculator'!$C$12+'Quote Calculator'!$C$13+'Quote Calculator'!$C$27+'Quote Calculator'!$C$45)/360+MAX(E137*'Quote Calculator'!$C$19*($C$61+'Quote Calculator'!$C$12+'Quote Calculator'!$C$13)/360,'Quote Calculator'!$C$20)+E137*'Quote Calculator'!$C$21*$C$61/360+('Quote Calculator'!$C$22+MAX(E137*'Quote Calculator'!$C$23,'Quote Calculator'!$C$24)+'Quote Calculator'!$C$25+'Quote Calculator'!$C$26)+E137*('Quote Calculator'!$C$30*(1-'Quote Calculator'!$C$31))*(1-(1-'Quote Calculator'!$C$34)^(($C$61+'Quote Calculator'!$C$36)/365))*'Quote Calculator'!$C$35</f>
        <v>9872.62080931639</v>
      </c>
      <c r="G137" s="18" t="n">
        <f aca="false">F137-E137*'Quote Calculator'!$C$42/'Quote Calculator'!$C$7</f>
        <v>1.7443730828727</v>
      </c>
    </row>
    <row r="138" customFormat="false" ht="15" hidden="false" customHeight="false" outlineLevel="0" collapsed="false">
      <c r="B138" s="3" t="n">
        <v>20</v>
      </c>
      <c r="C138" s="18" t="n">
        <f aca="false">IF(G137&gt;=0,E137,C137)</f>
        <v>135217.485427856</v>
      </c>
      <c r="D138" s="18" t="n">
        <f aca="false">IF(G137&gt;=0,D137,E137)</f>
        <v>135293.769836426</v>
      </c>
      <c r="E138" s="18" t="n">
        <f aca="false">(C138+D138)/2</f>
        <v>135255.627632141</v>
      </c>
      <c r="F138" s="18" t="n">
        <f aca="false">E138*'Quote Calculator'!$C$8*'Quote Calculator'!$C$10*('Quote Calculator'!$C$11+'Quote Calculator'!$C$12+'Quote Calculator'!$C$13+'Quote Calculator'!$C$27+'Quote Calculator'!$C$45)/360+MAX(E138*'Quote Calculator'!$C$19*($C$61+'Quote Calculator'!$C$12+'Quote Calculator'!$C$13)/360,'Quote Calculator'!$C$20)+E138*'Quote Calculator'!$C$21*$C$61/360+('Quote Calculator'!$C$22+MAX(E138*'Quote Calculator'!$C$23,'Quote Calculator'!$C$24)+'Quote Calculator'!$C$25+'Quote Calculator'!$C$26)+E138*('Quote Calculator'!$C$30*(1-'Quote Calculator'!$C$31))*(1-(1-'Quote Calculator'!$C$34)^(($C$61+'Quote Calculator'!$C$36)/365))*'Quote Calculator'!$C$35</f>
        <v>9874.36339515251</v>
      </c>
      <c r="G138" s="18" t="n">
        <f aca="false">F138-E138*'Quote Calculator'!$C$42/'Quote Calculator'!$C$7</f>
        <v>0.702578006212207</v>
      </c>
    </row>
    <row r="139" customFormat="false" ht="15" hidden="false" customHeight="false" outlineLevel="0" collapsed="false">
      <c r="B139" s="3" t="n">
        <v>21</v>
      </c>
      <c r="C139" s="18" t="n">
        <f aca="false">IF(G138&gt;=0,E138,C138)</f>
        <v>135255.627632141</v>
      </c>
      <c r="D139" s="18" t="n">
        <f aca="false">IF(G138&gt;=0,D138,E138)</f>
        <v>135293.769836426</v>
      </c>
      <c r="E139" s="18" t="n">
        <f aca="false">(C139+D139)/2</f>
        <v>135274.698734283</v>
      </c>
      <c r="F139" s="18" t="n">
        <f aca="false">E139*'Quote Calculator'!$C$8*'Quote Calculator'!$C$10*('Quote Calculator'!$C$11+'Quote Calculator'!$C$12+'Quote Calculator'!$C$13+'Quote Calculator'!$C$27+'Quote Calculator'!$C$45)/360+MAX(E139*'Quote Calculator'!$C$19*($C$61+'Quote Calculator'!$C$12+'Quote Calculator'!$C$13)/360,'Quote Calculator'!$C$20)+E139*'Quote Calculator'!$C$21*$C$61/360+('Quote Calculator'!$C$22+MAX(E139*'Quote Calculator'!$C$23,'Quote Calculator'!$C$24)+'Quote Calculator'!$C$25+'Quote Calculator'!$C$26)+E139*('Quote Calculator'!$C$30*(1-'Quote Calculator'!$C$31))*(1-(1-'Quote Calculator'!$C$34)^(($C$61+'Quote Calculator'!$C$36)/365))*'Quote Calculator'!$C$35</f>
        <v>9875.23468807057</v>
      </c>
      <c r="G139" s="18" t="n">
        <f aca="false">F139-E139*'Quote Calculator'!$C$42/'Quote Calculator'!$C$7</f>
        <v>0.181680467880142</v>
      </c>
    </row>
    <row r="140" customFormat="false" ht="15" hidden="false" customHeight="false" outlineLevel="0" collapsed="false">
      <c r="B140" s="3" t="n">
        <v>22</v>
      </c>
      <c r="C140" s="18" t="n">
        <f aca="false">IF(G139&gt;=0,E139,C139)</f>
        <v>135274.698734283</v>
      </c>
      <c r="D140" s="18" t="n">
        <f aca="false">IF(G139&gt;=0,D139,E139)</f>
        <v>135293.769836426</v>
      </c>
      <c r="E140" s="18" t="n">
        <f aca="false">(C140+D140)/2</f>
        <v>135284.234285355</v>
      </c>
      <c r="F140" s="18" t="n">
        <f aca="false">E140*'Quote Calculator'!$C$8*'Quote Calculator'!$C$10*('Quote Calculator'!$C$11+'Quote Calculator'!$C$12+'Quote Calculator'!$C$13+'Quote Calculator'!$C$27+'Quote Calculator'!$C$45)/360+MAX(E140*'Quote Calculator'!$C$19*($C$61+'Quote Calculator'!$C$12+'Quote Calculator'!$C$13)/360,'Quote Calculator'!$C$20)+E140*'Quote Calculator'!$C$21*$C$61/360+('Quote Calculator'!$C$22+MAX(E140*'Quote Calculator'!$C$23,'Quote Calculator'!$C$24)+'Quote Calculator'!$C$25+'Quote Calculator'!$C$26)+E140*('Quote Calculator'!$C$30*(1-'Quote Calculator'!$C$31))*(1-(1-'Quote Calculator'!$C$34)^(($C$61+'Quote Calculator'!$C$36)/365))*'Quote Calculator'!$C$35</f>
        <v>9875.6703345296</v>
      </c>
      <c r="G140" s="18" t="n">
        <f aca="false">F140-E140*'Quote Calculator'!$C$42/'Quote Calculator'!$C$7</f>
        <v>-0.0787683012858906</v>
      </c>
    </row>
    <row r="141" customFormat="false" ht="15" hidden="false" customHeight="false" outlineLevel="0" collapsed="false">
      <c r="B141" s="3" t="n">
        <v>23</v>
      </c>
      <c r="C141" s="18" t="n">
        <f aca="false">IF(G140&gt;=0,E140,C140)</f>
        <v>135274.698734283</v>
      </c>
      <c r="D141" s="18" t="n">
        <f aca="false">IF(G140&gt;=0,D140,E140)</f>
        <v>135284.234285355</v>
      </c>
      <c r="E141" s="18" t="n">
        <f aca="false">(C141+D141)/2</f>
        <v>135279.466509819</v>
      </c>
      <c r="F141" s="18" t="n">
        <f aca="false">E141*'Quote Calculator'!$C$8*'Quote Calculator'!$C$10*('Quote Calculator'!$C$11+'Quote Calculator'!$C$12+'Quote Calculator'!$C$13+'Quote Calculator'!$C$27+'Quote Calculator'!$C$45)/360+MAX(E141*'Quote Calculator'!$C$19*($C$61+'Quote Calculator'!$C$12+'Quote Calculator'!$C$13)/360,'Quote Calculator'!$C$20)+E141*'Quote Calculator'!$C$21*$C$61/360+('Quote Calculator'!$C$22+MAX(E141*'Quote Calculator'!$C$23,'Quote Calculator'!$C$24)+'Quote Calculator'!$C$25+'Quote Calculator'!$C$26)+E141*('Quote Calculator'!$C$30*(1-'Quote Calculator'!$C$31))*(1-(1-'Quote Calculator'!$C$34)^(($C$61+'Quote Calculator'!$C$36)/365))*'Quote Calculator'!$C$35</f>
        <v>9875.45251130009</v>
      </c>
      <c r="G141" s="18" t="n">
        <f aca="false">F141-E141*'Quote Calculator'!$C$42/'Quote Calculator'!$C$7</f>
        <v>0.0514560832998541</v>
      </c>
    </row>
    <row r="142" customFormat="false" ht="15" hidden="false" customHeight="false" outlineLevel="0" collapsed="false">
      <c r="B142" s="3" t="n">
        <v>24</v>
      </c>
      <c r="C142" s="18" t="n">
        <f aca="false">IF(G141&gt;=0,E141,C141)</f>
        <v>135279.466509819</v>
      </c>
      <c r="D142" s="18" t="n">
        <f aca="false">IF(G141&gt;=0,D141,E141)</f>
        <v>135284.234285355</v>
      </c>
      <c r="E142" s="18" t="n">
        <f aca="false">(C142+D142)/2</f>
        <v>135281.850397587</v>
      </c>
      <c r="F142" s="18" t="n">
        <f aca="false">E142*'Quote Calculator'!$C$8*'Quote Calculator'!$C$10*('Quote Calculator'!$C$11+'Quote Calculator'!$C$12+'Quote Calculator'!$C$13+'Quote Calculator'!$C$27+'Quote Calculator'!$C$45)/360+MAX(E142*'Quote Calculator'!$C$19*($C$61+'Quote Calculator'!$C$12+'Quote Calculator'!$C$13)/360,'Quote Calculator'!$C$20)+E142*'Quote Calculator'!$C$21*$C$61/360+('Quote Calculator'!$C$22+MAX(E142*'Quote Calculator'!$C$23,'Quote Calculator'!$C$24)+'Quote Calculator'!$C$25+'Quote Calculator'!$C$26)+E142*('Quote Calculator'!$C$30*(1-'Quote Calculator'!$C$31))*(1-(1-'Quote Calculator'!$C$34)^(($C$61+'Quote Calculator'!$C$36)/365))*'Quote Calculator'!$C$35</f>
        <v>9875.56142291485</v>
      </c>
      <c r="G142" s="18" t="n">
        <f aca="false">F142-E142*'Quote Calculator'!$C$42/'Quote Calculator'!$C$7</f>
        <v>-0.0136561089930183</v>
      </c>
    </row>
    <row r="143" customFormat="false" ht="15" hidden="false" customHeight="false" outlineLevel="0" collapsed="false">
      <c r="B143" s="3" t="n">
        <v>25</v>
      </c>
      <c r="C143" s="18" t="n">
        <f aca="false">IF(G142&gt;=0,E142,C142)</f>
        <v>135279.466509819</v>
      </c>
      <c r="D143" s="18" t="n">
        <f aca="false">IF(G142&gt;=0,D142,E142)</f>
        <v>135281.850397587</v>
      </c>
      <c r="E143" s="18" t="n">
        <f aca="false">(C143+D143)/2</f>
        <v>135280.658453703</v>
      </c>
      <c r="F143" s="18" t="n">
        <f aca="false">E143*'Quote Calculator'!$C$8*'Quote Calculator'!$C$10*('Quote Calculator'!$C$11+'Quote Calculator'!$C$12+'Quote Calculator'!$C$13+'Quote Calculator'!$C$27+'Quote Calculator'!$C$45)/360+MAX(E143*'Quote Calculator'!$C$19*($C$61+'Quote Calculator'!$C$12+'Quote Calculator'!$C$13)/360,'Quote Calculator'!$C$20)+E143*'Quote Calculator'!$C$21*$C$61/360+('Quote Calculator'!$C$22+MAX(E143*'Quote Calculator'!$C$23,'Quote Calculator'!$C$24)+'Quote Calculator'!$C$25+'Quote Calculator'!$C$26)+E143*('Quote Calculator'!$C$30*(1-'Quote Calculator'!$C$31))*(1-(1-'Quote Calculator'!$C$34)^(($C$61+'Quote Calculator'!$C$36)/365))*'Quote Calculator'!$C$35</f>
        <v>9875.50696710747</v>
      </c>
      <c r="G143" s="18" t="n">
        <f aca="false">F143-E143*'Quote Calculator'!$C$42/'Quote Calculator'!$C$7</f>
        <v>0.0188999871534179</v>
      </c>
    </row>
    <row r="144" customFormat="false" ht="15" hidden="false" customHeight="false" outlineLevel="0" collapsed="false">
      <c r="B144" s="3" t="n">
        <v>26</v>
      </c>
      <c r="C144" s="18" t="n">
        <f aca="false">IF(G143&gt;=0,E143,C143)</f>
        <v>135280.658453703</v>
      </c>
      <c r="D144" s="18" t="n">
        <f aca="false">IF(G143&gt;=0,D143,E143)</f>
        <v>135281.850397587</v>
      </c>
      <c r="E144" s="18" t="n">
        <f aca="false">(C144+D144)/2</f>
        <v>135281.254425645</v>
      </c>
      <c r="F144" s="18" t="n">
        <f aca="false">E144*'Quote Calculator'!$C$8*'Quote Calculator'!$C$10*('Quote Calculator'!$C$11+'Quote Calculator'!$C$12+'Quote Calculator'!$C$13+'Quote Calculator'!$C$27+'Quote Calculator'!$C$45)/360+MAX(E144*'Quote Calculator'!$C$19*($C$61+'Quote Calculator'!$C$12+'Quote Calculator'!$C$13)/360,'Quote Calculator'!$C$20)+E144*'Quote Calculator'!$C$21*$C$61/360+('Quote Calculator'!$C$22+MAX(E144*'Quote Calculator'!$C$23,'Quote Calculator'!$C$24)+'Quote Calculator'!$C$25+'Quote Calculator'!$C$26)+E144*('Quote Calculator'!$C$30*(1-'Quote Calculator'!$C$31))*(1-(1-'Quote Calculator'!$C$34)^(($C$61+'Quote Calculator'!$C$36)/365))*'Quote Calculator'!$C$35</f>
        <v>9875.53419501116</v>
      </c>
      <c r="G144" s="18" t="n">
        <f aca="false">F144-E144*'Quote Calculator'!$C$42/'Quote Calculator'!$C$7</f>
        <v>0.00262193908019981</v>
      </c>
    </row>
    <row r="145" customFormat="false" ht="15" hidden="false" customHeight="false" outlineLevel="0" collapsed="false">
      <c r="B145" s="3" t="n">
        <v>27</v>
      </c>
      <c r="C145" s="18" t="n">
        <f aca="false">IF(G144&gt;=0,E144,C144)</f>
        <v>135281.254425645</v>
      </c>
      <c r="D145" s="18" t="n">
        <f aca="false">IF(G144&gt;=0,D144,E144)</f>
        <v>135281.850397587</v>
      </c>
      <c r="E145" s="18" t="n">
        <f aca="false">(C145+D145)/2</f>
        <v>135281.552411616</v>
      </c>
      <c r="F145" s="18" t="n">
        <f aca="false">E145*'Quote Calculator'!$C$8*'Quote Calculator'!$C$10*('Quote Calculator'!$C$11+'Quote Calculator'!$C$12+'Quote Calculator'!$C$13+'Quote Calculator'!$C$27+'Quote Calculator'!$C$45)/360+MAX(E145*'Quote Calculator'!$C$19*($C$61+'Quote Calculator'!$C$12+'Quote Calculator'!$C$13)/360,'Quote Calculator'!$C$20)+E145*'Quote Calculator'!$C$21*$C$61/360+('Quote Calculator'!$C$22+MAX(E145*'Quote Calculator'!$C$23,'Quote Calculator'!$C$24)+'Quote Calculator'!$C$25+'Quote Calculator'!$C$26)+E145*('Quote Calculator'!$C$30*(1-'Quote Calculator'!$C$31))*(1-(1-'Quote Calculator'!$C$34)^(($C$61+'Quote Calculator'!$C$36)/365))*'Quote Calculator'!$C$35</f>
        <v>9875.547808963</v>
      </c>
      <c r="G145" s="18" t="n">
        <f aca="false">F145-E145*'Quote Calculator'!$C$42/'Quote Calculator'!$C$7</f>
        <v>-0.00551708495549974</v>
      </c>
    </row>
    <row r="146" customFormat="false" ht="15" hidden="false" customHeight="false" outlineLevel="0" collapsed="false">
      <c r="B146" s="3" t="n">
        <v>28</v>
      </c>
      <c r="C146" s="18" t="n">
        <f aca="false">IF(G145&gt;=0,E145,C145)</f>
        <v>135281.254425645</v>
      </c>
      <c r="D146" s="18" t="n">
        <f aca="false">IF(G145&gt;=0,D145,E145)</f>
        <v>135281.552411616</v>
      </c>
      <c r="E146" s="18" t="n">
        <f aca="false">(C146+D146)/2</f>
        <v>135281.40341863</v>
      </c>
      <c r="F146" s="18" t="n">
        <f aca="false">E146*'Quote Calculator'!$C$8*'Quote Calculator'!$C$10*('Quote Calculator'!$C$11+'Quote Calculator'!$C$12+'Quote Calculator'!$C$13+'Quote Calculator'!$C$27+'Quote Calculator'!$C$45)/360+MAX(E146*'Quote Calculator'!$C$19*($C$61+'Quote Calculator'!$C$12+'Quote Calculator'!$C$13)/360,'Quote Calculator'!$C$20)+E146*'Quote Calculator'!$C$21*$C$61/360+('Quote Calculator'!$C$22+MAX(E146*'Quote Calculator'!$C$23,'Quote Calculator'!$C$24)+'Quote Calculator'!$C$25+'Quote Calculator'!$C$26)+E146*('Quote Calculator'!$C$30*(1-'Quote Calculator'!$C$31))*(1-(1-'Quote Calculator'!$C$34)^(($C$61+'Quote Calculator'!$C$36)/365))*'Quote Calculator'!$C$35</f>
        <v>9875.54100198708</v>
      </c>
      <c r="G146" s="18" t="n">
        <f aca="false">F146-E146*'Quote Calculator'!$C$42/'Quote Calculator'!$C$7</f>
        <v>-0.00144757293855946</v>
      </c>
    </row>
    <row r="147" customFormat="false" ht="15" hidden="false" customHeight="false" outlineLevel="0" collapsed="false">
      <c r="B147" s="3" t="n">
        <v>29</v>
      </c>
      <c r="C147" s="18" t="n">
        <f aca="false">IF(G146&gt;=0,E146,C146)</f>
        <v>135281.254425645</v>
      </c>
      <c r="D147" s="18" t="n">
        <f aca="false">IF(G146&gt;=0,D146,E146)</f>
        <v>135281.40341863</v>
      </c>
      <c r="E147" s="18" t="n">
        <f aca="false">(C147+D147)/2</f>
        <v>135281.328922138</v>
      </c>
      <c r="F147" s="18" t="n">
        <f aca="false">E147*'Quote Calculator'!$C$8*'Quote Calculator'!$C$10*('Quote Calculator'!$C$11+'Quote Calculator'!$C$12+'Quote Calculator'!$C$13+'Quote Calculator'!$C$27+'Quote Calculator'!$C$45)/360+MAX(E147*'Quote Calculator'!$C$19*($C$61+'Quote Calculator'!$C$12+'Quote Calculator'!$C$13)/360,'Quote Calculator'!$C$20)+E147*'Quote Calculator'!$C$21*$C$61/360+('Quote Calculator'!$C$22+MAX(E147*'Quote Calculator'!$C$23,'Quote Calculator'!$C$24)+'Quote Calculator'!$C$25+'Quote Calculator'!$C$26)+E147*('Quote Calculator'!$C$30*(1-'Quote Calculator'!$C$31))*(1-(1-'Quote Calculator'!$C$34)^(($C$61+'Quote Calculator'!$C$36)/365))*'Quote Calculator'!$C$35</f>
        <v>9875.53759849912</v>
      </c>
      <c r="G147" s="18" t="n">
        <f aca="false">F147-E147*'Quote Calculator'!$C$42/'Quote Calculator'!$C$7</f>
        <v>0.000587183070820174</v>
      </c>
    </row>
    <row r="148" customFormat="false" ht="15" hidden="false" customHeight="false" outlineLevel="0" collapsed="false">
      <c r="B148" s="3" t="n">
        <v>30</v>
      </c>
      <c r="C148" s="18" t="n">
        <f aca="false">IF(G147&gt;=0,E147,C147)</f>
        <v>135281.328922138</v>
      </c>
      <c r="D148" s="18" t="n">
        <f aca="false">IF(G147&gt;=0,D147,E147)</f>
        <v>135281.40341863</v>
      </c>
      <c r="E148" s="18" t="n">
        <f aca="false">(C148+D148)/2</f>
        <v>135281.366170384</v>
      </c>
      <c r="F148" s="18" t="n">
        <f aca="false">E148*'Quote Calculator'!$C$8*'Quote Calculator'!$C$10*('Quote Calculator'!$C$11+'Quote Calculator'!$C$12+'Quote Calculator'!$C$13+'Quote Calculator'!$C$27+'Quote Calculator'!$C$45)/360+MAX(E148*'Quote Calculator'!$C$19*($C$61+'Quote Calculator'!$C$12+'Quote Calculator'!$C$13)/360,'Quote Calculator'!$C$20)+E148*'Quote Calculator'!$C$21*$C$61/360+('Quote Calculator'!$C$22+MAX(E148*'Quote Calculator'!$C$23,'Quote Calculator'!$C$24)+'Quote Calculator'!$C$25+'Quote Calculator'!$C$26)+E148*('Quote Calculator'!$C$30*(1-'Quote Calculator'!$C$31))*(1-(1-'Quote Calculator'!$C$34)^(($C$61+'Quote Calculator'!$C$36)/365))*'Quote Calculator'!$C$35</f>
        <v>9875.5393002431</v>
      </c>
      <c r="G148" s="18" t="n">
        <f aca="false">F148-E148*'Quote Calculator'!$C$42/'Quote Calculator'!$C$7</f>
        <v>-0.000430194933869643</v>
      </c>
    </row>
    <row r="149" customFormat="false" ht="15" hidden="false" customHeight="false" outlineLevel="0" collapsed="false">
      <c r="B149" s="3" t="n">
        <v>31</v>
      </c>
      <c r="C149" s="18" t="n">
        <f aca="false">IF(G148&gt;=0,E148,C148)</f>
        <v>135281.328922138</v>
      </c>
      <c r="D149" s="18" t="n">
        <f aca="false">IF(G148&gt;=0,D148,E148)</f>
        <v>135281.366170384</v>
      </c>
      <c r="E149" s="18" t="n">
        <f aca="false">(C149+D149)/2</f>
        <v>135281.347546261</v>
      </c>
      <c r="F149" s="18" t="n">
        <f aca="false">E149*'Quote Calculator'!$C$8*'Quote Calculator'!$C$10*('Quote Calculator'!$C$11+'Quote Calculator'!$C$12+'Quote Calculator'!$C$13+'Quote Calculator'!$C$27+'Quote Calculator'!$C$45)/360+MAX(E149*'Quote Calculator'!$C$19*($C$61+'Quote Calculator'!$C$12+'Quote Calculator'!$C$13)/360,'Quote Calculator'!$C$20)+E149*'Quote Calculator'!$C$21*$C$61/360+('Quote Calculator'!$C$22+MAX(E149*'Quote Calculator'!$C$23,'Quote Calculator'!$C$24)+'Quote Calculator'!$C$25+'Quote Calculator'!$C$26)+E149*('Quote Calculator'!$C$30*(1-'Quote Calculator'!$C$31))*(1-(1-'Quote Calculator'!$C$34)^(($C$61+'Quote Calculator'!$C$36)/365))*'Quote Calculator'!$C$35</f>
        <v>9875.53844937111</v>
      </c>
      <c r="G149" s="18" t="n">
        <f aca="false">F149-E149*'Quote Calculator'!$C$42/'Quote Calculator'!$C$7</f>
        <v>7.84940693847602E-005</v>
      </c>
    </row>
    <row r="150" customFormat="false" ht="15" hidden="false" customHeight="false" outlineLevel="0" collapsed="false">
      <c r="B150" s="3" t="n">
        <v>32</v>
      </c>
      <c r="C150" s="18" t="n">
        <f aca="false">IF(G149&gt;=0,E149,C149)</f>
        <v>135281.347546261</v>
      </c>
      <c r="D150" s="18" t="n">
        <f aca="false">IF(G149&gt;=0,D149,E149)</f>
        <v>135281.366170384</v>
      </c>
      <c r="E150" s="18" t="n">
        <f aca="false">(C150+D150)/2</f>
        <v>135281.356858322</v>
      </c>
      <c r="F150" s="18" t="n">
        <f aca="false">E150*'Quote Calculator'!$C$8*'Quote Calculator'!$C$10*('Quote Calculator'!$C$11+'Quote Calculator'!$C$12+'Quote Calculator'!$C$13+'Quote Calculator'!$C$27+'Quote Calculator'!$C$45)/360+MAX(E150*'Quote Calculator'!$C$19*($C$61+'Quote Calculator'!$C$12+'Quote Calculator'!$C$13)/360,'Quote Calculator'!$C$20)+E150*'Quote Calculator'!$C$21*$C$61/360+('Quote Calculator'!$C$22+MAX(E150*'Quote Calculator'!$C$23,'Quote Calculator'!$C$24)+'Quote Calculator'!$C$25+'Quote Calculator'!$C$26)+E150*('Quote Calculator'!$C$30*(1-'Quote Calculator'!$C$31))*(1-(1-'Quote Calculator'!$C$34)^(($C$61+'Quote Calculator'!$C$36)/365))*'Quote Calculator'!$C$35</f>
        <v>9875.5388748071</v>
      </c>
      <c r="G150" s="18" t="n">
        <f aca="false">F150-E150*'Quote Calculator'!$C$42/'Quote Calculator'!$C$7</f>
        <v>-0.000175850433151936</v>
      </c>
    </row>
    <row r="151" customFormat="false" ht="15" hidden="false" customHeight="false" outlineLevel="0" collapsed="false">
      <c r="B151" s="3" t="n">
        <v>33</v>
      </c>
      <c r="C151" s="18" t="n">
        <f aca="false">IF(G150&gt;=0,E150,C150)</f>
        <v>135281.347546261</v>
      </c>
      <c r="D151" s="18" t="n">
        <f aca="false">IF(G150&gt;=0,D150,E150)</f>
        <v>135281.356858322</v>
      </c>
      <c r="E151" s="18" t="n">
        <f aca="false">(C151+D151)/2</f>
        <v>135281.352202292</v>
      </c>
      <c r="F151" s="18" t="n">
        <f aca="false">E151*'Quote Calculator'!$C$8*'Quote Calculator'!$C$10*('Quote Calculator'!$C$11+'Quote Calculator'!$C$12+'Quote Calculator'!$C$13+'Quote Calculator'!$C$27+'Quote Calculator'!$C$45)/360+MAX(E151*'Quote Calculator'!$C$19*($C$61+'Quote Calculator'!$C$12+'Quote Calculator'!$C$13)/360,'Quote Calculator'!$C$20)+E151*'Quote Calculator'!$C$21*$C$61/360+('Quote Calculator'!$C$22+MAX(E151*'Quote Calculator'!$C$23,'Quote Calculator'!$C$24)+'Quote Calculator'!$C$25+'Quote Calculator'!$C$26)+E151*('Quote Calculator'!$C$30*(1-'Quote Calculator'!$C$31))*(1-(1-'Quote Calculator'!$C$34)^(($C$61+'Quote Calculator'!$C$36)/365))*'Quote Calculator'!$C$35</f>
        <v>9875.5386620891</v>
      </c>
      <c r="G151" s="18" t="n">
        <f aca="false">F151-E151*'Quote Calculator'!$C$42/'Quote Calculator'!$C$7</f>
        <v>-4.86781827930827E-005</v>
      </c>
    </row>
    <row r="152" customFormat="false" ht="15" hidden="false" customHeight="false" outlineLevel="0" collapsed="false">
      <c r="B152" s="3" t="n">
        <v>34</v>
      </c>
      <c r="C152" s="18" t="n">
        <f aca="false">IF(G151&gt;=0,E151,C151)</f>
        <v>135281.347546261</v>
      </c>
      <c r="D152" s="18" t="n">
        <f aca="false">IF(G151&gt;=0,D151,E151)</f>
        <v>135281.352202292</v>
      </c>
      <c r="E152" s="18" t="n">
        <f aca="false">(C152+D152)/2</f>
        <v>135281.349874276</v>
      </c>
      <c r="F152" s="18" t="n">
        <f aca="false">E152*'Quote Calculator'!$C$8*'Quote Calculator'!$C$10*('Quote Calculator'!$C$11+'Quote Calculator'!$C$12+'Quote Calculator'!$C$13+'Quote Calculator'!$C$27+'Quote Calculator'!$C$45)/360+MAX(E152*'Quote Calculator'!$C$19*($C$61+'Quote Calculator'!$C$12+'Quote Calculator'!$C$13)/360,'Quote Calculator'!$C$20)+E152*'Quote Calculator'!$C$21*$C$61/360+('Quote Calculator'!$C$22+MAX(E152*'Quote Calculator'!$C$23,'Quote Calculator'!$C$24)+'Quote Calculator'!$C$25+'Quote Calculator'!$C$26)+E152*('Quote Calculator'!$C$30*(1-'Quote Calculator'!$C$31))*(1-(1-'Quote Calculator'!$C$34)^(($C$61+'Quote Calculator'!$C$36)/365))*'Quote Calculator'!$C$35</f>
        <v>9875.53855573011</v>
      </c>
      <c r="G152" s="18" t="n">
        <f aca="false">F152-E152*'Quote Calculator'!$C$42/'Quote Calculator'!$C$7</f>
        <v>1.49079423863441E-005</v>
      </c>
    </row>
    <row r="153" customFormat="false" ht="15" hidden="false" customHeight="false" outlineLevel="0" collapsed="false">
      <c r="B153" s="3" t="n">
        <v>35</v>
      </c>
      <c r="C153" s="18" t="n">
        <f aca="false">IF(G152&gt;=0,E152,C152)</f>
        <v>135281.349874276</v>
      </c>
      <c r="D153" s="18" t="n">
        <f aca="false">IF(G152&gt;=0,D152,E152)</f>
        <v>135281.352202292</v>
      </c>
      <c r="E153" s="18" t="n">
        <f aca="false">(C153+D153)/2</f>
        <v>135281.351038284</v>
      </c>
      <c r="F153" s="18" t="n">
        <f aca="false">E153*'Quote Calculator'!$C$8*'Quote Calculator'!$C$10*('Quote Calculator'!$C$11+'Quote Calculator'!$C$12+'Quote Calculator'!$C$13+'Quote Calculator'!$C$27+'Quote Calculator'!$C$45)/360+MAX(E153*'Quote Calculator'!$C$19*($C$61+'Quote Calculator'!$C$12+'Quote Calculator'!$C$13)/360,'Quote Calculator'!$C$20)+E153*'Quote Calculator'!$C$21*$C$61/360+('Quote Calculator'!$C$22+MAX(E153*'Quote Calculator'!$C$23,'Quote Calculator'!$C$24)+'Quote Calculator'!$C$25+'Quote Calculator'!$C$26)+E153*('Quote Calculator'!$C$30*(1-'Quote Calculator'!$C$31))*(1-(1-'Quote Calculator'!$C$34)^(($C$61+'Quote Calculator'!$C$36)/365))*'Quote Calculator'!$C$35</f>
        <v>9875.53860890961</v>
      </c>
      <c r="G153" s="18" t="n">
        <f aca="false">F153-E153*'Quote Calculator'!$C$42/'Quote Calculator'!$C$7</f>
        <v>-1.68851183843799E-005</v>
      </c>
    </row>
    <row r="154" customFormat="false" ht="15" hidden="false" customHeight="false" outlineLevel="0" collapsed="false">
      <c r="B154" s="3" t="n">
        <v>36</v>
      </c>
      <c r="C154" s="18" t="n">
        <f aca="false">IF(G153&gt;=0,E153,C153)</f>
        <v>135281.349874276</v>
      </c>
      <c r="D154" s="18" t="n">
        <f aca="false">IF(G153&gt;=0,D153,E153)</f>
        <v>135281.351038284</v>
      </c>
      <c r="E154" s="18" t="n">
        <f aca="false">(C154+D154)/2</f>
        <v>135281.35045628</v>
      </c>
      <c r="F154" s="18" t="n">
        <f aca="false">E154*'Quote Calculator'!$C$8*'Quote Calculator'!$C$10*('Quote Calculator'!$C$11+'Quote Calculator'!$C$12+'Quote Calculator'!$C$13+'Quote Calculator'!$C$27+'Quote Calculator'!$C$45)/360+MAX(E154*'Quote Calculator'!$C$19*($C$61+'Quote Calculator'!$C$12+'Quote Calculator'!$C$13)/360,'Quote Calculator'!$C$20)+E154*'Quote Calculator'!$C$21*$C$61/360+('Quote Calculator'!$C$22+MAX(E154*'Quote Calculator'!$C$23,'Quote Calculator'!$C$24)+'Quote Calculator'!$C$25+'Quote Calculator'!$C$26)+E154*('Quote Calculator'!$C$30*(1-'Quote Calculator'!$C$31))*(1-(1-'Quote Calculator'!$C$34)^(($C$61+'Quote Calculator'!$C$36)/365))*'Quote Calculator'!$C$35</f>
        <v>9875.53858231986</v>
      </c>
      <c r="G154" s="18" t="n">
        <f aca="false">F154-E154*'Quote Calculator'!$C$42/'Quote Calculator'!$C$7</f>
        <v>-9.88587999017909E-007</v>
      </c>
    </row>
    <row r="155" customFormat="false" ht="15" hidden="false" customHeight="false" outlineLevel="0" collapsed="false">
      <c r="B155" s="3" t="n">
        <v>37</v>
      </c>
      <c r="C155" s="18" t="n">
        <f aca="false">IF(G154&gt;=0,E154,C154)</f>
        <v>135281.349874276</v>
      </c>
      <c r="D155" s="18" t="n">
        <f aca="false">IF(G154&gt;=0,D154,E154)</f>
        <v>135281.35045628</v>
      </c>
      <c r="E155" s="18" t="n">
        <f aca="false">(C155+D155)/2</f>
        <v>135281.350165278</v>
      </c>
      <c r="F155" s="18" t="n">
        <f aca="false">E155*'Quote Calculator'!$C$8*'Quote Calculator'!$C$10*('Quote Calculator'!$C$11+'Quote Calculator'!$C$12+'Quote Calculator'!$C$13+'Quote Calculator'!$C$27+'Quote Calculator'!$C$45)/360+MAX(E155*'Quote Calculator'!$C$19*($C$61+'Quote Calculator'!$C$12+'Quote Calculator'!$C$13)/360,'Quote Calculator'!$C$20)+E155*'Quote Calculator'!$C$21*$C$61/360+('Quote Calculator'!$C$22+MAX(E155*'Quote Calculator'!$C$23,'Quote Calculator'!$C$24)+'Quote Calculator'!$C$25+'Quote Calculator'!$C$26)+E155*('Quote Calculator'!$C$30*(1-'Quote Calculator'!$C$31))*(1-(1-'Quote Calculator'!$C$34)^(($C$61+'Quote Calculator'!$C$36)/365))*'Quote Calculator'!$C$35</f>
        <v>9875.53856902498</v>
      </c>
      <c r="G155" s="18" t="n">
        <f aca="false">F155-E155*'Quote Calculator'!$C$42/'Quote Calculator'!$C$7</f>
        <v>6.95967719366308E-006</v>
      </c>
    </row>
    <row r="156" customFormat="false" ht="15" hidden="false" customHeight="false" outlineLevel="0" collapsed="false">
      <c r="B156" s="3" t="n">
        <v>38</v>
      </c>
      <c r="C156" s="18" t="n">
        <f aca="false">IF(G155&gt;=0,E155,C155)</f>
        <v>135281.350165278</v>
      </c>
      <c r="D156" s="18" t="n">
        <f aca="false">IF(G155&gt;=0,D155,E155)</f>
        <v>135281.35045628</v>
      </c>
      <c r="E156" s="18" t="n">
        <f aca="false">(C156+D156)/2</f>
        <v>135281.350310779</v>
      </c>
      <c r="F156" s="18" t="n">
        <f aca="false">E156*'Quote Calculator'!$C$8*'Quote Calculator'!$C$10*('Quote Calculator'!$C$11+'Quote Calculator'!$C$12+'Quote Calculator'!$C$13+'Quote Calculator'!$C$27+'Quote Calculator'!$C$45)/360+MAX(E156*'Quote Calculator'!$C$19*($C$61+'Quote Calculator'!$C$12+'Quote Calculator'!$C$13)/360,'Quote Calculator'!$C$20)+E156*'Quote Calculator'!$C$21*$C$61/360+('Quote Calculator'!$C$22+MAX(E156*'Quote Calculator'!$C$23,'Quote Calculator'!$C$24)+'Quote Calculator'!$C$25+'Quote Calculator'!$C$26)+E156*('Quote Calculator'!$C$30*(1-'Quote Calculator'!$C$31))*(1-(1-'Quote Calculator'!$C$34)^(($C$61+'Quote Calculator'!$C$36)/365))*'Quote Calculator'!$C$35</f>
        <v>9875.53857567242</v>
      </c>
      <c r="G156" s="18" t="n">
        <f aca="false">F156-E156*'Quote Calculator'!$C$42/'Quote Calculator'!$C$7</f>
        <v>2.98554368782789E-006</v>
      </c>
    </row>
    <row r="157" customFormat="false" ht="15" hidden="false" customHeight="false" outlineLevel="0" collapsed="false">
      <c r="B157" s="3" t="n">
        <v>39</v>
      </c>
      <c r="C157" s="18" t="n">
        <f aca="false">IF(G156&gt;=0,E156,C156)</f>
        <v>135281.350310779</v>
      </c>
      <c r="D157" s="18" t="n">
        <f aca="false">IF(G156&gt;=0,D156,E156)</f>
        <v>135281.35045628</v>
      </c>
      <c r="E157" s="18" t="n">
        <f aca="false">(C157+D157)/2</f>
        <v>135281.35038353</v>
      </c>
      <c r="F157" s="18" t="n">
        <f aca="false">E157*'Quote Calculator'!$C$8*'Quote Calculator'!$C$10*('Quote Calculator'!$C$11+'Quote Calculator'!$C$12+'Quote Calculator'!$C$13+'Quote Calculator'!$C$27+'Quote Calculator'!$C$45)/360+MAX(E157*'Quote Calculator'!$C$19*($C$61+'Quote Calculator'!$C$12+'Quote Calculator'!$C$13)/360,'Quote Calculator'!$C$20)+E157*'Quote Calculator'!$C$21*$C$61/360+('Quote Calculator'!$C$22+MAX(E157*'Quote Calculator'!$C$23,'Quote Calculator'!$C$24)+'Quote Calculator'!$C$25+'Quote Calculator'!$C$26)+E157*('Quote Calculator'!$C$30*(1-'Quote Calculator'!$C$31))*(1-(1-'Quote Calculator'!$C$34)^(($C$61+'Quote Calculator'!$C$36)/365))*'Quote Calculator'!$C$35</f>
        <v>9875.53857899614</v>
      </c>
      <c r="G157" s="18" t="n">
        <f aca="false">F157-E157*'Quote Calculator'!$C$42/'Quote Calculator'!$C$7</f>
        <v>9.98477844404988E-007</v>
      </c>
    </row>
    <row r="158" customFormat="false" ht="15" hidden="false" customHeight="false" outlineLevel="0" collapsed="false">
      <c r="B158" s="3" t="n">
        <v>40</v>
      </c>
      <c r="C158" s="18" t="n">
        <f aca="false">IF(G157&gt;=0,E157,C157)</f>
        <v>135281.35038353</v>
      </c>
      <c r="D158" s="18" t="n">
        <f aca="false">IF(G157&gt;=0,D157,E157)</f>
        <v>135281.35045628</v>
      </c>
      <c r="E158" s="18" t="n">
        <f aca="false">(C158+D158)/2</f>
        <v>135281.350419905</v>
      </c>
      <c r="F158" s="18" t="n">
        <f aca="false">E158*'Quote Calculator'!$C$8*'Quote Calculator'!$C$10*('Quote Calculator'!$C$11+'Quote Calculator'!$C$12+'Quote Calculator'!$C$13+'Quote Calculator'!$C$27+'Quote Calculator'!$C$45)/360+MAX(E158*'Quote Calculator'!$C$19*($C$61+'Quote Calculator'!$C$12+'Quote Calculator'!$C$13)/360,'Quote Calculator'!$C$20)+E158*'Quote Calculator'!$C$21*$C$61/360+('Quote Calculator'!$C$22+MAX(E158*'Quote Calculator'!$C$23,'Quote Calculator'!$C$24)+'Quote Calculator'!$C$25+'Quote Calculator'!$C$26)+E158*('Quote Calculator'!$C$30*(1-'Quote Calculator'!$C$31))*(1-(1-'Quote Calculator'!$C$34)^(($C$61+'Quote Calculator'!$C$36)/365))*'Quote Calculator'!$C$35</f>
        <v>9875.538580658</v>
      </c>
      <c r="G158" s="18" t="n">
        <f aca="false">F158-E158*'Quote Calculator'!$C$42/'Quote Calculator'!$C$7</f>
        <v>4.94765117764473E-009</v>
      </c>
    </row>
    <row r="160" customFormat="false" ht="15" hidden="false" customHeight="false" outlineLevel="0" collapsed="false">
      <c r="B160" s="4" t="s">
        <v>222</v>
      </c>
      <c r="C160" s="40" t="n">
        <f aca="false">(C158+D158)/2</f>
        <v>135281.350419905</v>
      </c>
    </row>
    <row r="161" customFormat="false" ht="15" hidden="false" customHeight="false" outlineLevel="0" collapsed="false">
      <c r="B161" s="3" t="s">
        <v>206</v>
      </c>
      <c r="C161" s="18" t="n">
        <f aca="false">$C$160*'Quote Calculator'!$C$8*'Quote Calculator'!$C$10*('Quote Calculator'!$C$11+'Quote Calculator'!$C$12+'Quote Calculator'!$C$13+'Quote Calculator'!$C$27+'Quote Calculator'!$C$45)/360+MAX($C$160*'Quote Calculator'!$C$19*($C$61+'Quote Calculator'!$C$12+'Quote Calculator'!$C$13)/360,'Quote Calculator'!$C$20)+$C$160*'Quote Calculator'!$C$21*$C$61/360+('Quote Calculator'!$C$22+MAX($C$160*'Quote Calculator'!$C$23,'Quote Calculator'!$C$24)+'Quote Calculator'!$C$25+'Quote Calculator'!$C$26)+$C$160*('Quote Calculator'!$C$30*(1-'Quote Calculator'!$C$31))*(1-(1-'Quote Calculator'!$C$34)^(($C$61+'Quote Calculator'!$C$36)/365))*'Quote Calculator'!$C$35</f>
        <v>9875.538580658</v>
      </c>
    </row>
    <row r="162" customFormat="false" ht="15" hidden="false" customHeight="false" outlineLevel="0" collapsed="false">
      <c r="B162" s="3" t="s">
        <v>223</v>
      </c>
      <c r="C162" s="18" t="n">
        <f aca="false">$C$160*'Quote Calculator'!$C$42/'Quote Calculator'!$C$7</f>
        <v>9875.53858065305</v>
      </c>
    </row>
    <row r="163" customFormat="false" ht="15" hidden="false" customHeight="false" outlineLevel="0" collapsed="false">
      <c r="B163" s="3" t="s">
        <v>208</v>
      </c>
      <c r="C163" s="18" t="n">
        <f aca="false">('Quote Calculator'!$C$22+'Quote Calculator'!$C$24+'Quote Calculator'!$C$25+'Quote Calculator'!$C$26+'Quote Calculator'!$C$20)/('Quote Calculator'!$C$42/'Quote Calculator'!$C$7-('Quote Calculator'!$C$8*'Quote Calculator'!$C$10*('Quote Calculator'!$C$11+'Quote Calculator'!$C$12+'Quote Calculator'!$C$13+'Quote Calculator'!$C$27+'Quote Calculator'!$C$45)/360+'Quote Calculator'!$C$21*$C$61/360+('Quote Calculator'!$C$30*(1-'Quote Calculator'!$C$31))*(1-(1-'Quote Calculator'!$C$34)^(($C$61+'Quote Calculator'!$C$36)/365))*'Quote Calculator'!$C$35))</f>
        <v>135281.350420086</v>
      </c>
      <c r="F163" s="39" t="s">
        <v>224</v>
      </c>
    </row>
    <row r="164" customFormat="false" ht="15" hidden="false" customHeight="false" outlineLevel="0" collapsed="false">
      <c r="B164" s="3" t="s">
        <v>225</v>
      </c>
      <c r="C164" s="41" t="n">
        <f aca="false">C160/C101</f>
        <v>5.10054430052518</v>
      </c>
    </row>
    <row r="166" customFormat="false" ht="15" hidden="false" customHeight="false" outlineLevel="0" collapsed="false">
      <c r="B166" s="39" t="s">
        <v>226</v>
      </c>
    </row>
    <row r="167" customFormat="false" ht="15" hidden="false" customHeight="false" outlineLevel="0" collapsed="false">
      <c r="B167" s="39" t="s">
        <v>227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O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16"/>
    <col collapsed="false" customWidth="true" hidden="false" outlineLevel="0" max="3" min="3" style="0" width="14"/>
    <col collapsed="false" customWidth="true" hidden="false" outlineLevel="0" max="4" min="4" style="0" width="15"/>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6"/>
    <col collapsed="false" customWidth="true" hidden="false" outlineLevel="0" max="9" min="9" style="0" width="18"/>
    <col collapsed="false" customWidth="true" hidden="false" outlineLevel="0" max="10" min="10" style="0" width="12"/>
    <col collapsed="false" customWidth="true" hidden="false" outlineLevel="0" max="11" min="11" style="0" width="13"/>
    <col collapsed="false" customWidth="true" hidden="false" outlineLevel="0" max="12" min="12" style="0" width="16"/>
    <col collapsed="false" customWidth="true" hidden="false" outlineLevel="0" max="13" min="13" style="0" width="15"/>
    <col collapsed="false" customWidth="true" hidden="false" outlineLevel="0" max="14" min="14" style="0" width="18"/>
    <col collapsed="false" customWidth="true" hidden="false" outlineLevel="0" max="15" min="15" style="0" width="14"/>
  </cols>
  <sheetData>
    <row r="2" customFormat="false" ht="17.35" hidden="false" customHeight="false" outlineLevel="0" collapsed="false">
      <c r="B2" s="1" t="s">
        <v>228</v>
      </c>
    </row>
    <row r="3" customFormat="false" ht="15" hidden="false" customHeight="false" outlineLevel="0" collapsed="false">
      <c r="B3" s="3" t="s">
        <v>229</v>
      </c>
    </row>
    <row r="4" customFormat="false" ht="15" hidden="false" customHeight="false" outlineLevel="0" collapsed="false">
      <c r="B4" s="5" t="s">
        <v>230</v>
      </c>
    </row>
    <row r="6" customFormat="false" ht="15" hidden="false" customHeight="false" outlineLevel="0" collapsed="false">
      <c r="B6" s="7" t="s">
        <v>231</v>
      </c>
      <c r="C6" s="8"/>
      <c r="D6" s="8"/>
      <c r="E6" s="8"/>
      <c r="F6" s="8"/>
      <c r="G6" s="8"/>
    </row>
    <row r="7" customFormat="false" ht="15" hidden="false" customHeight="false" outlineLevel="0" collapsed="false">
      <c r="B7" s="3" t="s">
        <v>232</v>
      </c>
      <c r="F7" s="18" t="n">
        <f aca="false">'Quote Calculator'!$C$42-'Quote Calculator'!$C$63</f>
        <v>198057.357438774</v>
      </c>
      <c r="G7" s="5" t="s">
        <v>233</v>
      </c>
    </row>
    <row r="8" customFormat="false" ht="15" hidden="false" customHeight="false" outlineLevel="0" collapsed="false">
      <c r="B8" s="3" t="s">
        <v>234</v>
      </c>
      <c r="F8" s="18" t="n">
        <f aca="false">F7+'Quote Calculator'!$C$39+'Quote Calculator'!$C$41+'Quote Calculator'!$C$48+('Quote Calculator'!$C$22+'Quote Calculator'!$C$25+'Quote Calculator'!$C$26)</f>
        <v>4186531.49143877</v>
      </c>
      <c r="G8" s="5" t="s">
        <v>235</v>
      </c>
    </row>
    <row r="10" customFormat="false" ht="15" hidden="false" customHeight="false" outlineLevel="0" collapsed="false">
      <c r="B10" s="7" t="s">
        <v>236</v>
      </c>
      <c r="C10" s="8"/>
      <c r="D10" s="8"/>
      <c r="E10" s="8"/>
      <c r="F10" s="8"/>
      <c r="G10" s="8"/>
    </row>
    <row r="11" customFormat="false" ht="35.05" hidden="false" customHeight="false" outlineLevel="0" collapsed="false">
      <c r="B11" s="31" t="s">
        <v>150</v>
      </c>
      <c r="C11" s="32" t="s">
        <v>152</v>
      </c>
      <c r="D11" s="32" t="s">
        <v>105</v>
      </c>
      <c r="E11" s="32" t="s">
        <v>153</v>
      </c>
      <c r="F11" s="32" t="s">
        <v>154</v>
      </c>
      <c r="G11" s="32" t="s">
        <v>156</v>
      </c>
      <c r="H11" s="32" t="s">
        <v>237</v>
      </c>
      <c r="I11" s="32" t="s">
        <v>238</v>
      </c>
      <c r="J11" s="32" t="s">
        <v>159</v>
      </c>
      <c r="K11" s="32" t="s">
        <v>239</v>
      </c>
      <c r="L11" s="32" t="s">
        <v>240</v>
      </c>
      <c r="M11" s="32" t="s">
        <v>241</v>
      </c>
      <c r="N11" s="42" t="s">
        <v>242</v>
      </c>
      <c r="O11" s="4" t="s">
        <v>241</v>
      </c>
    </row>
    <row r="12" customFormat="false" ht="15" hidden="false" customHeight="false" outlineLevel="0" collapsed="false">
      <c r="B12" s="9" t="n">
        <v>30</v>
      </c>
      <c r="C12" s="18" t="n">
        <f aca="false">'Quote Calculator'!$C$48</f>
        <v>93304.134</v>
      </c>
      <c r="D12" s="18" t="n">
        <f aca="false">MAX('Quote Calculator'!$C$7*'Quote Calculator'!$C$19*((B12)+'Quote Calculator'!$C$12+'Quote Calculator'!$C$13)/360,'Quote Calculator'!$C$20)</f>
        <v>14029.1666666667</v>
      </c>
      <c r="E12" s="18" t="n">
        <f aca="false">'Quote Calculator'!$C$7*'Quote Calculator'!$C$21*(B12)/360</f>
        <v>24150</v>
      </c>
      <c r="F12" s="18" t="n">
        <f aca="false">'Quote Calculator'!$C$51</f>
        <v>7020</v>
      </c>
      <c r="G12" s="18" t="n">
        <f aca="false">'Quote Calculator'!$C$7*('Quote Calculator'!$C$30*(1-'Quote Calculator'!$C$31))*(1-(1-'Quote Calculator'!$C$34)^(((B12)+'Quote Calculator'!$C$36)/365))*'Quote Calculator'!$C$35</f>
        <v>994.80232231519</v>
      </c>
      <c r="H12" s="18" t="n">
        <f aca="false">C12+D12+E12+F12+G12</f>
        <v>139498.102988982</v>
      </c>
      <c r="I12" s="18" t="n">
        <f aca="false">'Quote Calculator'!$C$42-H12</f>
        <v>167101.897011018</v>
      </c>
      <c r="J12" s="33" t="n">
        <f aca="false">I12/'Quote Calculator'!$C$7</f>
        <v>0.0397861659550043</v>
      </c>
      <c r="K12" s="28" t="n">
        <f aca="false">'Quote Calculator'!$C$23+'Quote Calculator'!$C$19*(B12+'Quote Calculator'!$C$12+'Quote Calculator'!$C$13)/360+'Quote Calculator'!$C$21*B12/360+('Quote Calculator'!$C$30*(1-'Quote Calculator'!$C$31))*(1-(1-'Quote Calculator'!$C$34)^((B12+'Quote Calculator'!$C$36)/365))*'Quote Calculator'!$C$35</f>
        <v>0.0105771354735671</v>
      </c>
      <c r="L12" s="43" t="n">
        <f aca="false">$F$8/('Quote Calculator'!$C$7*(1-K12))-1</f>
        <v>0.00744913826548954</v>
      </c>
      <c r="M12" s="18" t="n">
        <f aca="false">'Quote Calculator'!$C$7*L12</f>
        <v>31286.3807150561</v>
      </c>
      <c r="N12" s="43" t="n">
        <f aca="false">$F$8/('Quote Calculator'!$C$7*(1-(K12-'Quote Calculator'!$C$21*B12/360)))-1</f>
        <v>0.00162820729810109</v>
      </c>
      <c r="O12" s="18" t="n">
        <f aca="false">'Quote Calculator'!$C$7*N12</f>
        <v>6838.47065202459</v>
      </c>
    </row>
    <row r="13" customFormat="false" ht="15" hidden="false" customHeight="false" outlineLevel="0" collapsed="false">
      <c r="B13" s="9" t="n">
        <v>60</v>
      </c>
      <c r="C13" s="18" t="n">
        <f aca="false">'Quote Calculator'!$C$48</f>
        <v>93304.134</v>
      </c>
      <c r="D13" s="18" t="n">
        <f aca="false">MAX('Quote Calculator'!$C$7*'Quote Calculator'!$C$19*((B13)+'Quote Calculator'!$C$12+'Quote Calculator'!$C$13)/360,'Quote Calculator'!$C$20)</f>
        <v>20504.1666666667</v>
      </c>
      <c r="E13" s="18" t="n">
        <f aca="false">'Quote Calculator'!$C$7*'Quote Calculator'!$C$21*(B13)/360</f>
        <v>48300</v>
      </c>
      <c r="F13" s="18" t="n">
        <f aca="false">'Quote Calculator'!$C$51</f>
        <v>7020</v>
      </c>
      <c r="G13" s="18" t="n">
        <f aca="false">'Quote Calculator'!$C$7*('Quote Calculator'!$C$30*(1-'Quote Calculator'!$C$31))*(1-(1-'Quote Calculator'!$C$34)^(((B13)+'Quote Calculator'!$C$36)/365))*'Quote Calculator'!$C$35</f>
        <v>1324.12762497916</v>
      </c>
      <c r="H13" s="18" t="n">
        <f aca="false">C13+D13+E13+F13+G13</f>
        <v>170452.428291646</v>
      </c>
      <c r="I13" s="18" t="n">
        <f aca="false">'Quote Calculator'!$C$42-H13</f>
        <v>136147.571708354</v>
      </c>
      <c r="J13" s="33" t="n">
        <f aca="false">I13/'Quote Calculator'!$C$7</f>
        <v>0.0324160885019891</v>
      </c>
      <c r="K13" s="28" t="n">
        <f aca="false">'Quote Calculator'!$C$23+'Quote Calculator'!$C$19*(B13+'Quote Calculator'!$C$12+'Quote Calculator'!$C$13)/360+'Quote Calculator'!$C$21*B13/360+('Quote Calculator'!$C$30*(1-'Quote Calculator'!$C$31))*(1-(1-'Quote Calculator'!$C$34)^((B13+'Quote Calculator'!$C$36)/365))*'Quote Calculator'!$C$35</f>
        <v>0.0179472129265823</v>
      </c>
      <c r="L13" s="43" t="n">
        <f aca="false">$F$8/('Quote Calculator'!$C$7*(1-K13))-1</f>
        <v>0.0150098094195494</v>
      </c>
      <c r="M13" s="18" t="n">
        <f aca="false">'Quote Calculator'!$C$7*L13</f>
        <v>63041.1995621076</v>
      </c>
      <c r="N13" s="43" t="n">
        <f aca="false">$F$8/('Quote Calculator'!$C$7*(1-(K13-'Quote Calculator'!$C$21*B13/360)))-1</f>
        <v>0.00326145245231957</v>
      </c>
      <c r="O13" s="18" t="n">
        <f aca="false">'Quote Calculator'!$C$7*N13</f>
        <v>13698.1002997422</v>
      </c>
    </row>
    <row r="14" customFormat="false" ht="15" hidden="false" customHeight="false" outlineLevel="0" collapsed="false">
      <c r="B14" s="9" t="n">
        <v>90</v>
      </c>
      <c r="C14" s="18" t="n">
        <f aca="false">'Quote Calculator'!$C$48</f>
        <v>93304.134</v>
      </c>
      <c r="D14" s="18" t="n">
        <f aca="false">MAX('Quote Calculator'!$C$7*'Quote Calculator'!$C$19*((B14)+'Quote Calculator'!$C$12+'Quote Calculator'!$C$13)/360,'Quote Calculator'!$C$20)</f>
        <v>26979.1666666667</v>
      </c>
      <c r="E14" s="18" t="n">
        <f aca="false">'Quote Calculator'!$C$7*'Quote Calculator'!$C$21*(B14)/360</f>
        <v>72450</v>
      </c>
      <c r="F14" s="18" t="n">
        <f aca="false">'Quote Calculator'!$C$51</f>
        <v>7020</v>
      </c>
      <c r="G14" s="18" t="n">
        <f aca="false">'Quote Calculator'!$C$7*('Quote Calculator'!$C$30*(1-'Quote Calculator'!$C$31))*(1-(1-'Quote Calculator'!$C$34)^(((B14)+'Quote Calculator'!$C$36)/365))*'Quote Calculator'!$C$35</f>
        <v>1652.32170168403</v>
      </c>
      <c r="H14" s="18" t="n">
        <f aca="false">C14+D14+E14+F14+G14</f>
        <v>201405.622368351</v>
      </c>
      <c r="I14" s="18" t="n">
        <f aca="false">'Quote Calculator'!$C$42-H14</f>
        <v>105194.377631649</v>
      </c>
      <c r="J14" s="33" t="n">
        <f aca="false">I14/'Quote Calculator'!$C$7</f>
        <v>0.0250462803884879</v>
      </c>
      <c r="K14" s="28" t="n">
        <f aca="false">'Quote Calculator'!$C$23+'Quote Calculator'!$C$19*(B14+'Quote Calculator'!$C$12+'Quote Calculator'!$C$13)/360+'Quote Calculator'!$C$21*B14/360+('Quote Calculator'!$C$30*(1-'Quote Calculator'!$C$31))*(1-(1-'Quote Calculator'!$C$34)^((B14+'Quote Calculator'!$C$36)/365))*'Quote Calculator'!$C$35</f>
        <v>0.0253170210400835</v>
      </c>
      <c r="L14" s="43" t="n">
        <f aca="false">$F$8/('Quote Calculator'!$C$7*(1-K14))-1</f>
        <v>0.0226845382187799</v>
      </c>
      <c r="M14" s="18" t="n">
        <f aca="false">'Quote Calculator'!$C$7*L14</f>
        <v>95275.0605188757</v>
      </c>
      <c r="N14" s="43" t="n">
        <f aca="false">$F$8/('Quote Calculator'!$C$7*(1-(K14-'Quote Calculator'!$C$21*B14/360)))-1</f>
        <v>0.00489975975242474</v>
      </c>
      <c r="O14" s="18" t="n">
        <f aca="false">'Quote Calculator'!$C$7*N14</f>
        <v>20578.9909601839</v>
      </c>
    </row>
    <row r="15" customFormat="false" ht="15" hidden="false" customHeight="false" outlineLevel="0" collapsed="false">
      <c r="B15" s="9" t="n">
        <v>120</v>
      </c>
      <c r="C15" s="18" t="n">
        <f aca="false">'Quote Calculator'!$C$48</f>
        <v>93304.134</v>
      </c>
      <c r="D15" s="18" t="n">
        <f aca="false">MAX('Quote Calculator'!$C$7*'Quote Calculator'!$C$19*((B15)+'Quote Calculator'!$C$12+'Quote Calculator'!$C$13)/360,'Quote Calculator'!$C$20)</f>
        <v>33454.1666666667</v>
      </c>
      <c r="E15" s="18" t="n">
        <f aca="false">'Quote Calculator'!$C$7*'Quote Calculator'!$C$21*(B15)/360</f>
        <v>96600</v>
      </c>
      <c r="F15" s="18" t="n">
        <f aca="false">'Quote Calculator'!$C$51</f>
        <v>7020</v>
      </c>
      <c r="G15" s="18" t="n">
        <f aca="false">'Quote Calculator'!$C$7*('Quote Calculator'!$C$30*(1-'Quote Calculator'!$C$31))*(1-(1-'Quote Calculator'!$C$34)^(((B15)+'Quote Calculator'!$C$36)/365))*'Quote Calculator'!$C$35</f>
        <v>1979.38843816882</v>
      </c>
      <c r="H15" s="18" t="n">
        <f aca="false">C15+D15+E15+F15+G15</f>
        <v>232357.689104835</v>
      </c>
      <c r="I15" s="18" t="n">
        <f aca="false">'Quote Calculator'!$C$42-H15</f>
        <v>74242.3108951645</v>
      </c>
      <c r="J15" s="33" t="n">
        <f aca="false">I15/'Quote Calculator'!$C$7</f>
        <v>0.0176767406893249</v>
      </c>
      <c r="K15" s="28" t="n">
        <f aca="false">'Quote Calculator'!$C$23+'Quote Calculator'!$C$19*(B15+'Quote Calculator'!$C$12+'Quote Calculator'!$C$13)/360+'Quote Calculator'!$C$21*B15/360+('Quote Calculator'!$C$30*(1-'Quote Calculator'!$C$31))*(1-(1-'Quote Calculator'!$C$34)^((B15+'Quote Calculator'!$C$36)/365))*'Quote Calculator'!$C$35</f>
        <v>0.0326865607392466</v>
      </c>
      <c r="L15" s="43" t="n">
        <f aca="false">$F$8/('Quote Calculator'!$C$7*(1-K15))-1</f>
        <v>0.0304759261993743</v>
      </c>
      <c r="M15" s="18" t="n">
        <f aca="false">'Quote Calculator'!$C$7*L15</f>
        <v>127998.890037372</v>
      </c>
      <c r="N15" s="43" t="n">
        <f aca="false">$F$8/('Quote Calculator'!$C$7*(1-(K15-'Quote Calculator'!$C$21*B15/360)))-1</f>
        <v>0.00654315364175062</v>
      </c>
      <c r="O15" s="18" t="n">
        <f aca="false">'Quote Calculator'!$C$7*N15</f>
        <v>27481.2452953526</v>
      </c>
    </row>
    <row r="16" customFormat="false" ht="15" hidden="false" customHeight="false" outlineLevel="0" collapsed="false">
      <c r="B16" s="9" t="n">
        <v>180</v>
      </c>
      <c r="C16" s="18" t="n">
        <f aca="false">'Quote Calculator'!$C$48</f>
        <v>93304.134</v>
      </c>
      <c r="D16" s="18" t="n">
        <f aca="false">MAX('Quote Calculator'!$C$7*'Quote Calculator'!$C$19*((B16)+'Quote Calculator'!$C$12+'Quote Calculator'!$C$13)/360,'Quote Calculator'!$C$20)</f>
        <v>46404.1666666667</v>
      </c>
      <c r="E16" s="18" t="n">
        <f aca="false">'Quote Calculator'!$C$7*'Quote Calculator'!$C$21*(B16)/360</f>
        <v>144900</v>
      </c>
      <c r="F16" s="18" t="n">
        <f aca="false">'Quote Calculator'!$C$51</f>
        <v>7020</v>
      </c>
      <c r="G16" s="18" t="n">
        <f aca="false">'Quote Calculator'!$C$7*('Quote Calculator'!$C$30*(1-'Quote Calculator'!$C$31))*(1-(1-'Quote Calculator'!$C$34)^(((B16)+'Quote Calculator'!$C$36)/365))*'Quote Calculator'!$C$35</f>
        <v>2630.15536674274</v>
      </c>
      <c r="H16" s="18" t="n">
        <f aca="false">C16+D16+E16+F16+G16</f>
        <v>294258.456033409</v>
      </c>
      <c r="I16" s="18" t="n">
        <f aca="false">'Quote Calculator'!$C$42-H16</f>
        <v>12341.5439665906</v>
      </c>
      <c r="J16" s="33" t="n">
        <f aca="false">I16/'Quote Calculator'!$C$7</f>
        <v>0.00293846284918824</v>
      </c>
      <c r="K16" s="28" t="n">
        <f aca="false">'Quote Calculator'!$C$23+'Quote Calculator'!$C$19*(B16+'Quote Calculator'!$C$12+'Quote Calculator'!$C$13)/360+'Quote Calculator'!$C$21*B16/360+('Quote Calculator'!$C$30*(1-'Quote Calculator'!$C$31))*(1-(1-'Quote Calculator'!$C$34)^((B16+'Quote Calculator'!$C$36)/365))*'Quote Calculator'!$C$35</f>
        <v>0.0474248385793832</v>
      </c>
      <c r="L16" s="43" t="n">
        <f aca="false">$F$8/('Quote Calculator'!$C$7*(1-K16))-1</f>
        <v>0.0464194875297463</v>
      </c>
      <c r="M16" s="18" t="n">
        <f aca="false">'Quote Calculator'!$C$7*L16</f>
        <v>194961.847624935</v>
      </c>
      <c r="N16" s="43" t="n">
        <f aca="false">$F$8/('Quote Calculator'!$C$7*(1-(K16-'Quote Calculator'!$C$21*B16/360)))-1</f>
        <v>0.00984529973657122</v>
      </c>
      <c r="O16" s="18" t="n">
        <f aca="false">'Quote Calculator'!$C$7*N16</f>
        <v>41350.2588935991</v>
      </c>
    </row>
    <row r="17" customFormat="false" ht="15" hidden="false" customHeight="false" outlineLevel="0" collapsed="false">
      <c r="B17" s="9" t="n">
        <v>270</v>
      </c>
      <c r="C17" s="18" t="n">
        <f aca="false">'Quote Calculator'!$C$48</f>
        <v>93304.134</v>
      </c>
      <c r="D17" s="18" t="n">
        <f aca="false">MAX('Quote Calculator'!$C$7*'Quote Calculator'!$C$19*((B17)+'Quote Calculator'!$C$12+'Quote Calculator'!$C$13)/360,'Quote Calculator'!$C$20)</f>
        <v>65829.1666666667</v>
      </c>
      <c r="E17" s="18" t="n">
        <f aca="false">'Quote Calculator'!$C$7*'Quote Calculator'!$C$21*(B17)/360</f>
        <v>217350</v>
      </c>
      <c r="F17" s="18" t="n">
        <f aca="false">'Quote Calculator'!$C$51</f>
        <v>7020</v>
      </c>
      <c r="G17" s="18" t="n">
        <f aca="false">'Quote Calculator'!$C$7*('Quote Calculator'!$C$30*(1-'Quote Calculator'!$C$31))*(1-(1-'Quote Calculator'!$C$34)^(((B17)+'Quote Calculator'!$C$36)/365))*'Quote Calculator'!$C$35</f>
        <v>3597.94708639862</v>
      </c>
      <c r="H17" s="18" t="n">
        <f aca="false">C17+D17+E17+F17+G17</f>
        <v>387101.247753065</v>
      </c>
      <c r="I17" s="18" t="n">
        <f aca="false">'Quote Calculator'!$C$42-H17</f>
        <v>-80501.2477530653</v>
      </c>
      <c r="J17" s="33" t="n">
        <f aca="false">I17/'Quote Calculator'!$C$7</f>
        <v>-0.0191669637507298</v>
      </c>
      <c r="K17" s="28" t="n">
        <f aca="false">'Quote Calculator'!$C$23+'Quote Calculator'!$C$19*(B17+'Quote Calculator'!$C$12+'Quote Calculator'!$C$13)/360+'Quote Calculator'!$C$21*B17/360+('Quote Calculator'!$C$30*(1-'Quote Calculator'!$C$31))*(1-(1-'Quote Calculator'!$C$34)^((B17+'Quote Calculator'!$C$36)/365))*'Quote Calculator'!$C$35</f>
        <v>0.0695302651793013</v>
      </c>
      <c r="L17" s="43" t="n">
        <f aca="false">$F$8/('Quote Calculator'!$C$7*(1-K17))-1</f>
        <v>0.0712795644443061</v>
      </c>
      <c r="M17" s="18" t="n">
        <f aca="false">'Quote Calculator'!$C$7*L17</f>
        <v>299374.170666085</v>
      </c>
      <c r="N17" s="43" t="n">
        <f aca="false">$F$8/('Quote Calculator'!$C$7*(1-(K17-'Quote Calculator'!$C$21*B17/360)))-1</f>
        <v>0.0148372883479977</v>
      </c>
      <c r="O17" s="18" t="n">
        <f aca="false">'Quote Calculator'!$C$7*N17</f>
        <v>62316.6110615903</v>
      </c>
    </row>
    <row r="18" customFormat="false" ht="15" hidden="false" customHeight="false" outlineLevel="0" collapsed="false">
      <c r="B18" s="9" t="n">
        <v>360</v>
      </c>
      <c r="C18" s="18" t="n">
        <f aca="false">'Quote Calculator'!$C$48</f>
        <v>93304.134</v>
      </c>
      <c r="D18" s="18" t="n">
        <f aca="false">MAX('Quote Calculator'!$C$7*'Quote Calculator'!$C$19*((B18)+'Quote Calculator'!$C$12+'Quote Calculator'!$C$13)/360,'Quote Calculator'!$C$20)</f>
        <v>85254.1666666667</v>
      </c>
      <c r="E18" s="18" t="n">
        <f aca="false">'Quote Calculator'!$C$7*'Quote Calculator'!$C$21*(B18)/360</f>
        <v>289800</v>
      </c>
      <c r="F18" s="18" t="n">
        <f aca="false">'Quote Calculator'!$C$51</f>
        <v>7020</v>
      </c>
      <c r="G18" s="18" t="n">
        <f aca="false">'Quote Calculator'!$C$7*('Quote Calculator'!$C$30*(1-'Quote Calculator'!$C$31))*(1-(1-'Quote Calculator'!$C$34)^(((B18)+'Quote Calculator'!$C$36)/365))*'Quote Calculator'!$C$35</f>
        <v>4555.79998725801</v>
      </c>
      <c r="H18" s="18" t="n">
        <f aca="false">C18+D18+E18+F18+G18</f>
        <v>479934.100653925</v>
      </c>
      <c r="I18" s="18" t="n">
        <f aca="false">'Quote Calculator'!$C$42-H18</f>
        <v>-173334.100653925</v>
      </c>
      <c r="J18" s="33" t="n">
        <f aca="false">I18/'Quote Calculator'!$C$7</f>
        <v>-0.0412700239652202</v>
      </c>
      <c r="K18" s="28" t="n">
        <f aca="false">'Quote Calculator'!$C$23+'Quote Calculator'!$C$19*(B18+'Quote Calculator'!$C$12+'Quote Calculator'!$C$13)/360+'Quote Calculator'!$C$21*B18/360+('Quote Calculator'!$C$30*(1-'Quote Calculator'!$C$31))*(1-(1-'Quote Calculator'!$C$34)^((B18+'Quote Calculator'!$C$36)/365))*'Quote Calculator'!$C$35</f>
        <v>0.0916333253937916</v>
      </c>
      <c r="L18" s="43" t="n">
        <f aca="false">$F$8/('Quote Calculator'!$C$7*(1-K18))-1</f>
        <v>0.0973467434606767</v>
      </c>
      <c r="M18" s="18" t="n">
        <f aca="false">'Quote Calculator'!$C$7*L18</f>
        <v>408856.322534842</v>
      </c>
      <c r="N18" s="43" t="n">
        <f aca="false">$F$8/('Quote Calculator'!$C$7*(1-(K18-'Quote Calculator'!$C$21*B18/360)))-1</f>
        <v>0.0198764068244357</v>
      </c>
      <c r="O18" s="18" t="n">
        <f aca="false">'Quote Calculator'!$C$7*N18</f>
        <v>83480.9086626299</v>
      </c>
    </row>
    <row r="20" customFormat="false" ht="15" hidden="false" customHeight="false" outlineLevel="0" collapsed="false">
      <c r="B20" s="5" t="s">
        <v>243</v>
      </c>
    </row>
    <row r="21" customFormat="false" ht="15" hidden="false" customHeight="false" outlineLevel="0" collapsed="false">
      <c r="B21" s="5" t="s">
        <v>244</v>
      </c>
    </row>
    <row r="22" customFormat="false" ht="15" hidden="false" customHeight="false" outlineLevel="0" collapsed="false">
      <c r="B22" s="5" t="s">
        <v>245</v>
      </c>
    </row>
    <row r="23" customFormat="false" ht="15" hidden="false" customHeight="false" outlineLevel="0" collapsed="false">
      <c r="B23" s="5" t="s">
        <v>246</v>
      </c>
    </row>
    <row r="24" customFormat="false" ht="15" hidden="false" customHeight="false" outlineLevel="0" collapsed="false">
      <c r="B24" s="5" t="s">
        <v>247</v>
      </c>
    </row>
    <row r="25" customFormat="false" ht="15" hidden="false" customHeight="false" outlineLevel="0" collapsed="false">
      <c r="B25" s="5" t="s">
        <v>248</v>
      </c>
    </row>
    <row r="26" customFormat="false" ht="15" hidden="false" customHeight="false" outlineLevel="0" collapsed="false">
      <c r="B26" s="5" t="s">
        <v>249</v>
      </c>
    </row>
    <row r="27" customFormat="false" ht="15" hidden="false" customHeight="false" outlineLevel="0" collapsed="false">
      <c r="B27" s="5"/>
    </row>
    <row r="28" customFormat="false" ht="15" hidden="false" customHeight="false" outlineLevel="0" collapsed="false">
      <c r="B28" s="5" t="s">
        <v>250</v>
      </c>
    </row>
    <row r="29" customFormat="false" ht="15" hidden="false" customHeight="false" outlineLevel="0" collapsed="false">
      <c r="B29" s="5" t="s">
        <v>251</v>
      </c>
    </row>
    <row r="30" customFormat="false" ht="15" hidden="false" customHeight="false" outlineLevel="0" collapsed="false">
      <c r="B30" s="5" t="s">
        <v>252</v>
      </c>
    </row>
    <row r="32" customFormat="false" ht="15" hidden="false" customHeight="false" outlineLevel="0" collapsed="false">
      <c r="B32" s="2" t="s">
        <v>253</v>
      </c>
    </row>
    <row r="33" customFormat="false" ht="15" hidden="false" customHeight="false" outlineLevel="0" collapsed="false">
      <c r="B33" s="3" t="s">
        <v>254</v>
      </c>
      <c r="C33" s="18" t="n">
        <f aca="false">M15</f>
        <v>127998.890037372</v>
      </c>
    </row>
    <row r="34" customFormat="false" ht="15" hidden="false" customHeight="false" outlineLevel="0" collapsed="false">
      <c r="B34" s="3" t="s">
        <v>255</v>
      </c>
      <c r="C34" s="18" t="n">
        <f aca="false">'Quote Calculator'!$C$7*'Quote Calculator'!$C$21*B15/360</f>
        <v>96600</v>
      </c>
    </row>
    <row r="35" customFormat="false" ht="15" hidden="false" customHeight="false" outlineLevel="0" collapsed="false">
      <c r="B35" s="3" t="s">
        <v>256</v>
      </c>
      <c r="C35" s="18" t="n">
        <f aca="false">C33-C34</f>
        <v>31398.8900373722</v>
      </c>
    </row>
    <row r="36" customFormat="false" ht="15" hidden="false" customHeight="false" outlineLevel="0" collapsed="false">
      <c r="B36" s="4" t="s">
        <v>257</v>
      </c>
      <c r="C36" s="19" t="n">
        <f aca="false">O15</f>
        <v>27481.2452953526</v>
      </c>
    </row>
    <row r="37" customFormat="false" ht="15" hidden="false" customHeight="false" outlineLevel="0" collapsed="false">
      <c r="B37" s="3" t="s">
        <v>258</v>
      </c>
      <c r="C37" s="18" t="n">
        <f aca="false">D15-MAX('Quote Calculator'!$C$7*'Quote Calculator'!$C$19*('Quote Calculator'!$C$12+'Quote Calculator'!$C$13)/360,'Quote Calculator'!$C$20)</f>
        <v>25900</v>
      </c>
    </row>
    <row r="38" customFormat="false" ht="15" hidden="false" customHeight="false" outlineLevel="0" collapsed="false">
      <c r="B38" s="3" t="s">
        <v>259</v>
      </c>
      <c r="C38" s="18" t="n">
        <f aca="false">G15-'Quote Calculator'!$C$7*('Quote Calculator'!$C$30*(1-'Quote Calculator'!$C$31))*(1-(1-'Quote Calculator'!$C$34)^('Quote Calculator'!$C$36/365))*'Quote Calculator'!$C$35</f>
        <v>1315.04654360912</v>
      </c>
    </row>
    <row r="39" customFormat="false" ht="15" hidden="false" customHeight="false" outlineLevel="0" collapsed="false">
      <c r="B39" s="3" t="s">
        <v>260</v>
      </c>
      <c r="C39" s="18" t="n">
        <f aca="false">C36-C37-C38</f>
        <v>266.198751743489</v>
      </c>
    </row>
    <row r="40" customFormat="false" ht="15" hidden="false" customHeight="false" outlineLevel="0" collapsed="false">
      <c r="B40" s="3" t="s">
        <v>261</v>
      </c>
      <c r="C40" s="18" t="n">
        <f aca="false">C15-'Quote Calculator'!$C$48</f>
        <v>0</v>
      </c>
    </row>
    <row r="41" customFormat="false" ht="15" hidden="false" customHeight="false" outlineLevel="0" collapsed="false">
      <c r="B41" s="3" t="s">
        <v>262</v>
      </c>
      <c r="C41" s="18" t="n">
        <f aca="false">C35-C36</f>
        <v>3917.64474201961</v>
      </c>
    </row>
    <row r="43" customFormat="false" ht="15" hidden="false" customHeight="false" outlineLevel="0" collapsed="false">
      <c r="B43" s="39" t="s">
        <v>263</v>
      </c>
    </row>
    <row r="44" customFormat="false" ht="15" hidden="false" customHeight="false" outlineLevel="0" collapsed="false">
      <c r="B44" s="39" t="s">
        <v>264</v>
      </c>
    </row>
    <row r="45" customFormat="false" ht="15" hidden="false" customHeight="false" outlineLevel="0" collapsed="false">
      <c r="B45" s="39" t="s">
        <v>265</v>
      </c>
    </row>
    <row r="46" customFormat="false" ht="15" hidden="false" customHeight="false" outlineLevel="0" collapsed="false">
      <c r="B46" s="39" t="s">
        <v>266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5" min="3" style="0" width="17"/>
    <col collapsed="false" customWidth="true" hidden="false" outlineLevel="0" max="6" min="6" style="0" width="68"/>
  </cols>
  <sheetData>
    <row r="2" customFormat="false" ht="17.35" hidden="false" customHeight="false" outlineLevel="0" collapsed="false">
      <c r="B2" s="1" t="s">
        <v>267</v>
      </c>
    </row>
    <row r="3" customFormat="false" ht="15" hidden="false" customHeight="false" outlineLevel="0" collapsed="false">
      <c r="B3" s="3" t="s">
        <v>268</v>
      </c>
    </row>
    <row r="5" customFormat="false" ht="15" hidden="false" customHeight="false" outlineLevel="0" collapsed="false">
      <c r="B5" s="7" t="s">
        <v>269</v>
      </c>
      <c r="C5" s="8"/>
      <c r="D5" s="8"/>
      <c r="E5" s="8"/>
      <c r="F5" s="8"/>
    </row>
    <row r="6" customFormat="false" ht="15" hidden="false" customHeight="false" outlineLevel="0" collapsed="false">
      <c r="B6" s="3" t="s">
        <v>270</v>
      </c>
      <c r="C6" s="44" t="n">
        <v>0.015</v>
      </c>
      <c r="F6" s="5" t="s">
        <v>271</v>
      </c>
    </row>
    <row r="7" customFormat="false" ht="15" hidden="false" customHeight="false" outlineLevel="0" collapsed="false">
      <c r="B7" s="3" t="s">
        <v>272</v>
      </c>
      <c r="C7" s="12" t="n">
        <v>180</v>
      </c>
    </row>
    <row r="8" customFormat="false" ht="15" hidden="false" customHeight="false" outlineLevel="0" collapsed="false">
      <c r="B8" s="3" t="s">
        <v>273</v>
      </c>
      <c r="C8" s="9" t="n">
        <v>0</v>
      </c>
    </row>
    <row r="10" customFormat="false" ht="23.85" hidden="false" customHeight="false" outlineLevel="0" collapsed="false">
      <c r="B10" s="8"/>
      <c r="C10" s="32" t="s">
        <v>274</v>
      </c>
      <c r="D10" s="32" t="s">
        <v>275</v>
      </c>
      <c r="E10" s="32" t="s">
        <v>276</v>
      </c>
    </row>
    <row r="11" customFormat="false" ht="15" hidden="false" customHeight="false" outlineLevel="0" collapsed="false">
      <c r="B11" s="7" t="s">
        <v>277</v>
      </c>
      <c r="C11" s="8"/>
      <c r="D11" s="8"/>
      <c r="E11" s="8"/>
      <c r="F11" s="8"/>
    </row>
    <row r="12" customFormat="false" ht="15" hidden="false" customHeight="false" outlineLevel="0" collapsed="false">
      <c r="B12" s="3" t="s">
        <v>54</v>
      </c>
      <c r="C12" s="18" t="n">
        <f aca="false">'Quote Calculator'!$C$7</f>
        <v>4200000</v>
      </c>
      <c r="D12" s="18" t="n">
        <f aca="false">'Quote Calculator'!$C$7*(1+$C$6)</f>
        <v>4263000</v>
      </c>
      <c r="E12" s="18" t="n">
        <f aca="false">D12-C12</f>
        <v>63000</v>
      </c>
    </row>
    <row r="13" customFormat="false" ht="15" hidden="false" customHeight="false" outlineLevel="0" collapsed="false">
      <c r="B13" s="3" t="s">
        <v>278</v>
      </c>
      <c r="C13" s="18" t="n">
        <v>0</v>
      </c>
      <c r="D13" s="18" t="n">
        <f aca="false">'Quote Calculator'!$C$7*$C$6</f>
        <v>63000</v>
      </c>
      <c r="E13" s="18" t="n">
        <f aca="false">D13-C13</f>
        <v>63000</v>
      </c>
    </row>
    <row r="14" customFormat="false" ht="15" hidden="false" customHeight="false" outlineLevel="0" collapsed="false">
      <c r="B14" s="3" t="s">
        <v>92</v>
      </c>
      <c r="C14" s="18" t="n">
        <f aca="false">'Quote Calculator'!$C$39</f>
        <v>3423000</v>
      </c>
      <c r="D14" s="18" t="n">
        <f aca="false">'Quote Calculator'!$C$39</f>
        <v>3423000</v>
      </c>
      <c r="E14" s="18" t="n">
        <f aca="false">D14-C14</f>
        <v>0</v>
      </c>
      <c r="F14" s="5" t="s">
        <v>279</v>
      </c>
    </row>
    <row r="15" customFormat="false" ht="15" hidden="false" customHeight="false" outlineLevel="0" collapsed="false">
      <c r="B15" s="3" t="s">
        <v>94</v>
      </c>
      <c r="C15" s="18" t="n">
        <f aca="false">'Quote Calculator'!$C$41</f>
        <v>470400</v>
      </c>
      <c r="D15" s="18" t="n">
        <f aca="false">'Quote Calculator'!$C$41</f>
        <v>470400</v>
      </c>
      <c r="E15" s="18" t="n">
        <f aca="false">D15-C15</f>
        <v>0</v>
      </c>
      <c r="F15" s="5" t="s">
        <v>280</v>
      </c>
    </row>
    <row r="16" customFormat="false" ht="15" hidden="false" customHeight="false" outlineLevel="0" collapsed="false">
      <c r="B16" s="16" t="s">
        <v>95</v>
      </c>
      <c r="C16" s="45" t="n">
        <f aca="false">C12-C14-C15</f>
        <v>306600</v>
      </c>
      <c r="D16" s="45" t="n">
        <f aca="false">D12-D14-D15</f>
        <v>369600</v>
      </c>
      <c r="E16" s="45" t="n">
        <f aca="false">D16-C16</f>
        <v>63000</v>
      </c>
      <c r="F16" s="5" t="s">
        <v>281</v>
      </c>
    </row>
    <row r="18" customFormat="false" ht="15" hidden="false" customHeight="false" outlineLevel="0" collapsed="false">
      <c r="B18" s="7" t="s">
        <v>282</v>
      </c>
      <c r="C18" s="8"/>
      <c r="D18" s="8"/>
      <c r="E18" s="8"/>
      <c r="F18" s="8"/>
    </row>
    <row r="19" customFormat="false" ht="15" hidden="false" customHeight="false" outlineLevel="0" collapsed="false">
      <c r="B19" s="3" t="s">
        <v>67</v>
      </c>
      <c r="C19" s="15" t="n">
        <f aca="false">$C$8</f>
        <v>0</v>
      </c>
      <c r="D19" s="15" t="n">
        <f aca="false">$C$7</f>
        <v>180</v>
      </c>
    </row>
    <row r="20" customFormat="false" ht="15" hidden="false" customHeight="false" outlineLevel="0" collapsed="false">
      <c r="B20" s="3" t="s">
        <v>160</v>
      </c>
      <c r="C20" s="18" t="n">
        <f aca="false">'Quote Calculator'!$C$46</f>
        <v>116.82</v>
      </c>
      <c r="D20" s="18" t="n">
        <f aca="false">'Quote Calculator'!$C$46</f>
        <v>116.82</v>
      </c>
      <c r="F20" s="5" t="s">
        <v>283</v>
      </c>
    </row>
    <row r="21" customFormat="false" ht="15" hidden="false" customHeight="false" outlineLevel="0" collapsed="false">
      <c r="B21" s="3" t="s">
        <v>284</v>
      </c>
      <c r="C21" s="18" t="n">
        <f aca="false">'Quote Calculator'!$C$39*'Quote Calculator'!$C$10*C20/360</f>
        <v>93304.134</v>
      </c>
      <c r="D21" s="18" t="n">
        <f aca="false">'Quote Calculator'!$C$39*'Quote Calculator'!$C$10*D20/360</f>
        <v>93304.134</v>
      </c>
      <c r="E21" s="18" t="n">
        <f aca="false">D21-C21</f>
        <v>0</v>
      </c>
    </row>
    <row r="22" customFormat="false" ht="15" hidden="false" customHeight="false" outlineLevel="0" collapsed="false">
      <c r="B22" s="3" t="s">
        <v>105</v>
      </c>
      <c r="C22" s="18" t="n">
        <f aca="false">MAX(C12*'Quote Calculator'!$C$19*(($C$8)+'Quote Calculator'!$C$12+'Quote Calculator'!$C$13)/360,'Quote Calculator'!$C$20)</f>
        <v>7554.16666666667</v>
      </c>
      <c r="D22" s="18" t="n">
        <f aca="false">MAX(D12*'Quote Calculator'!$C$19*(($C$7)+'Quote Calculator'!$C$12+'Quote Calculator'!$C$13)/360,'Quote Calculator'!$C$20)</f>
        <v>47100.2291666667</v>
      </c>
      <c r="E22" s="18" t="n">
        <f aca="false">D22-C22</f>
        <v>39546.0625</v>
      </c>
    </row>
    <row r="23" customFormat="false" ht="15" hidden="false" customHeight="false" outlineLevel="0" collapsed="false">
      <c r="B23" s="3" t="s">
        <v>285</v>
      </c>
      <c r="C23" s="18" t="n">
        <f aca="false">C12*'Quote Calculator'!$C$21*($C$8)/360</f>
        <v>0</v>
      </c>
      <c r="D23" s="18" t="n">
        <f aca="false">D12*'Quote Calculator'!$C$21*($C$7)/360</f>
        <v>147073.5</v>
      </c>
      <c r="E23" s="18" t="n">
        <f aca="false">D23-C23</f>
        <v>147073.5</v>
      </c>
    </row>
    <row r="24" customFormat="false" ht="15" hidden="false" customHeight="false" outlineLevel="0" collapsed="false">
      <c r="B24" s="3" t="s">
        <v>154</v>
      </c>
      <c r="C24" s="18" t="n">
        <f aca="false">'Quote Calculator'!$C$22+MAX(C12*'Quote Calculator'!$C$23,'Quote Calculator'!$C$24)+'Quote Calculator'!$C$25+'Quote Calculator'!$C$26</f>
        <v>7020</v>
      </c>
      <c r="D24" s="18" t="n">
        <f aca="false">'Quote Calculator'!$C$22+MAX(D12*'Quote Calculator'!$C$23,'Quote Calculator'!$C$24)+'Quote Calculator'!$C$25+'Quote Calculator'!$C$26</f>
        <v>7098.75</v>
      </c>
      <c r="E24" s="18" t="n">
        <f aca="false">D24-C24</f>
        <v>78.75</v>
      </c>
    </row>
    <row r="25" customFormat="false" ht="15" hidden="false" customHeight="false" outlineLevel="0" collapsed="false">
      <c r="B25" s="4" t="s">
        <v>155</v>
      </c>
      <c r="C25" s="19" t="n">
        <f aca="false">C22+C23+C24</f>
        <v>14574.1666666667</v>
      </c>
      <c r="D25" s="19" t="n">
        <f aca="false">D22+D23+D24</f>
        <v>201272.479166667</v>
      </c>
      <c r="E25" s="19" t="n">
        <f aca="false">D25-C25</f>
        <v>186698.3125</v>
      </c>
    </row>
    <row r="26" customFormat="false" ht="15" hidden="false" customHeight="false" outlineLevel="0" collapsed="false">
      <c r="B26" s="3" t="s">
        <v>156</v>
      </c>
      <c r="C26" s="18" t="n">
        <f aca="false">C12*('Quote Calculator'!$C$30*(1-'Quote Calculator'!$C$31))*(1-(1-'Quote Calculator'!$C$34)^((($C$8)+'Quote Calculator'!$C$36)/365))*'Quote Calculator'!$C$35</f>
        <v>664.341894559698</v>
      </c>
      <c r="D26" s="18" t="n">
        <f aca="false">D12*('Quote Calculator'!$C$30*(1-'Quote Calculator'!$C$31))*(1-(1-'Quote Calculator'!$C$34)^((($C$7)+'Quote Calculator'!$C$36)/365))*'Quote Calculator'!$C$35</f>
        <v>2669.60769724388</v>
      </c>
      <c r="E26" s="18" t="n">
        <f aca="false">D26-C26</f>
        <v>2005.26580268418</v>
      </c>
    </row>
    <row r="27" customFormat="false" ht="15" hidden="false" customHeight="false" outlineLevel="0" collapsed="false">
      <c r="B27" s="46" t="s">
        <v>286</v>
      </c>
      <c r="C27" s="47" t="n">
        <f aca="false">C21+C25+C26</f>
        <v>108542.642561226</v>
      </c>
      <c r="D27" s="47" t="n">
        <f aca="false">D21+D25+D26</f>
        <v>297246.220863911</v>
      </c>
      <c r="E27" s="47" t="n">
        <f aca="false">D27-C27</f>
        <v>188703.578302684</v>
      </c>
    </row>
    <row r="28" customFormat="false" ht="15" hidden="false" customHeight="false" outlineLevel="0" collapsed="false">
      <c r="B28" s="23" t="s">
        <v>113</v>
      </c>
      <c r="C28" s="29" t="n">
        <f aca="false">C16-C27</f>
        <v>198057.357438774</v>
      </c>
      <c r="D28" s="29" t="n">
        <f aca="false">D16-D27</f>
        <v>72353.7791360895</v>
      </c>
      <c r="E28" s="29" t="n">
        <f aca="false">D28-C28</f>
        <v>-125703.578302684</v>
      </c>
    </row>
    <row r="29" customFormat="false" ht="15" hidden="false" customHeight="false" outlineLevel="0" collapsed="false">
      <c r="B29" s="25" t="s">
        <v>115</v>
      </c>
      <c r="C29" s="26" t="n">
        <f aca="false">C28/C12</f>
        <v>0.0471565136758985</v>
      </c>
      <c r="D29" s="26" t="n">
        <f aca="false">D28/D12</f>
        <v>0.0169725027295542</v>
      </c>
    </row>
    <row r="31" customFormat="false" ht="15" hidden="false" customHeight="false" outlineLevel="0" collapsed="false">
      <c r="B31" s="7" t="s">
        <v>287</v>
      </c>
      <c r="C31" s="8"/>
      <c r="D31" s="8"/>
      <c r="E31" s="8"/>
      <c r="F31" s="8"/>
    </row>
    <row r="32" customFormat="false" ht="15" hidden="false" customHeight="false" outlineLevel="0" collapsed="false">
      <c r="B32" s="3" t="s">
        <v>288</v>
      </c>
      <c r="C32" s="18" t="n">
        <f aca="false">D27-C27</f>
        <v>188703.578302684</v>
      </c>
      <c r="F32" s="5" t="s">
        <v>289</v>
      </c>
    </row>
    <row r="33" customFormat="false" ht="15" hidden="false" customHeight="false" outlineLevel="0" collapsed="false">
      <c r="B33" s="3" t="s">
        <v>290</v>
      </c>
      <c r="C33" s="18" t="n">
        <f aca="false">D13</f>
        <v>63000</v>
      </c>
    </row>
    <row r="34" customFormat="false" ht="15" hidden="false" customHeight="false" outlineLevel="0" collapsed="false">
      <c r="B34" s="23" t="s">
        <v>291</v>
      </c>
      <c r="C34" s="29" t="n">
        <f aca="false">C28-D28</f>
        <v>125703.578302684</v>
      </c>
      <c r="F34" s="5" t="s">
        <v>292</v>
      </c>
    </row>
    <row r="35" customFormat="false" ht="15" hidden="false" customHeight="false" outlineLevel="0" collapsed="false">
      <c r="B35" s="3" t="s">
        <v>293</v>
      </c>
      <c r="C35" s="48" t="n">
        <f aca="false">D28/C28</f>
        <v>0.365317300360612</v>
      </c>
    </row>
    <row r="36" customFormat="false" ht="15" hidden="false" customHeight="false" outlineLevel="0" collapsed="false">
      <c r="B36" s="3" t="s">
        <v>294</v>
      </c>
      <c r="C36" s="43" t="n">
        <f aca="false">'The Price of a Term'!L16</f>
        <v>0.0464194875297463</v>
      </c>
      <c r="F36" s="5" t="s">
        <v>295</v>
      </c>
    </row>
    <row r="37" customFormat="false" ht="15" hidden="false" customHeight="false" outlineLevel="0" collapsed="false">
      <c r="B37" s="3" t="s">
        <v>296</v>
      </c>
      <c r="C37" s="43" t="n">
        <f aca="false">$C$6</f>
        <v>0.015</v>
      </c>
    </row>
    <row r="38" customFormat="false" ht="15" hidden="false" customHeight="false" outlineLevel="0" collapsed="false">
      <c r="B38" s="23" t="s">
        <v>297</v>
      </c>
      <c r="C38" s="29" t="n">
        <f aca="false">(C36-C37)*100</f>
        <v>3.14194875297463</v>
      </c>
      <c r="F38" s="5" t="s">
        <v>298</v>
      </c>
    </row>
    <row r="40" customFormat="false" ht="15" hidden="false" customHeight="false" outlineLevel="0" collapsed="false">
      <c r="B40" s="7" t="s">
        <v>299</v>
      </c>
      <c r="C40" s="8"/>
      <c r="D40" s="8"/>
      <c r="E40" s="8"/>
      <c r="F40" s="8"/>
    </row>
    <row r="41" customFormat="false" ht="15" hidden="false" customHeight="false" outlineLevel="0" collapsed="false">
      <c r="B41" s="4" t="s">
        <v>300</v>
      </c>
      <c r="C41" s="19" t="n">
        <f aca="false">C16-C27</f>
        <v>198057.357438774</v>
      </c>
      <c r="D41" s="19" t="n">
        <f aca="false">D16-D27</f>
        <v>72353.7791360895</v>
      </c>
    </row>
    <row r="42" customFormat="false" ht="15" hidden="false" customHeight="false" outlineLevel="0" collapsed="false">
      <c r="B42" s="4" t="s">
        <v>301</v>
      </c>
      <c r="C42" s="19" t="n">
        <f aca="false">C28</f>
        <v>198057.357438774</v>
      </c>
      <c r="D42" s="19" t="n">
        <f aca="false">D28</f>
        <v>72353.7791360895</v>
      </c>
    </row>
    <row r="43" customFormat="false" ht="15" hidden="false" customHeight="false" outlineLevel="0" collapsed="false">
      <c r="B43" s="3" t="s">
        <v>276</v>
      </c>
      <c r="C43" s="49" t="n">
        <f aca="false">C41-C42</f>
        <v>0</v>
      </c>
      <c r="D43" s="49" t="n">
        <f aca="false">D41-D42</f>
        <v>0</v>
      </c>
    </row>
    <row r="45" customFormat="false" ht="15" hidden="false" customHeight="false" outlineLevel="0" collapsed="false">
      <c r="B45" s="5" t="s">
        <v>302</v>
      </c>
    </row>
    <row r="46" customFormat="false" ht="15" hidden="false" customHeight="false" outlineLevel="0" collapsed="false">
      <c r="B46" s="5" t="s">
        <v>303</v>
      </c>
    </row>
    <row r="47" customFormat="false" ht="15" hidden="false" customHeight="false" outlineLevel="0" collapsed="false">
      <c r="B47" s="5" t="s">
        <v>304</v>
      </c>
    </row>
    <row r="48" customFormat="false" ht="15" hidden="false" customHeight="false" outlineLevel="0" collapsed="false">
      <c r="B48" s="5" t="s">
        <v>305</v>
      </c>
    </row>
    <row r="49" customFormat="false" ht="15" hidden="false" customHeight="false" outlineLevel="0" collapsed="false">
      <c r="B49" s="5" t="s">
        <v>306</v>
      </c>
    </row>
    <row r="50" customFormat="false" ht="15" hidden="false" customHeight="false" outlineLevel="0" collapsed="false">
      <c r="B50" s="5" t="s">
        <v>307</v>
      </c>
    </row>
    <row r="51" customFormat="false" ht="15" hidden="false" customHeight="false" outlineLevel="0" collapsed="false">
      <c r="B51" s="5"/>
    </row>
    <row r="52" customFormat="false" ht="15" hidden="false" customHeight="false" outlineLevel="0" collapsed="false">
      <c r="B52" s="5" t="s">
        <v>308</v>
      </c>
    </row>
    <row r="53" customFormat="false" ht="15" hidden="false" customHeight="false" outlineLevel="0" collapsed="false">
      <c r="B53" s="5" t="s">
        <v>309</v>
      </c>
    </row>
    <row r="54" customFormat="false" ht="15" hidden="false" customHeight="false" outlineLevel="0" collapsed="false">
      <c r="B54" s="5" t="s">
        <v>310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1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19"/>
    <col collapsed="false" customWidth="true" hidden="false" outlineLevel="0" max="3" min="3" style="0" width="14"/>
    <col collapsed="false" customWidth="true" hidden="false" outlineLevel="0" max="4" min="4" style="0" width="17"/>
    <col collapsed="false" customWidth="true" hidden="false" outlineLevel="0" max="5" min="5" style="0" width="14"/>
    <col collapsed="false" customWidth="true" hidden="false" outlineLevel="0" max="6" min="6" style="0" width="15"/>
    <col collapsed="false" customWidth="true" hidden="false" outlineLevel="0" max="7" min="7" style="0" width="19"/>
    <col collapsed="false" customWidth="true" hidden="false" outlineLevel="0" max="9" min="8" style="0" width="12"/>
    <col collapsed="false" customWidth="true" hidden="false" outlineLevel="0" max="10" min="10" style="0" width="15"/>
    <col collapsed="false" customWidth="true" hidden="false" outlineLevel="0" max="11" min="11" style="0" width="4"/>
  </cols>
  <sheetData>
    <row r="2" customFormat="false" ht="17.35" hidden="false" customHeight="false" outlineLevel="0" collapsed="false">
      <c r="B2" s="1" t="s">
        <v>311</v>
      </c>
    </row>
    <row r="3" customFormat="false" ht="15" hidden="false" customHeight="false" outlineLevel="0" collapsed="false">
      <c r="B3" s="3" t="s">
        <v>312</v>
      </c>
    </row>
    <row r="4" customFormat="false" ht="15" hidden="false" customHeight="false" outlineLevel="0" collapsed="false">
      <c r="B4" s="5" t="s">
        <v>313</v>
      </c>
    </row>
    <row r="5" customFormat="false" ht="15" hidden="false" customHeight="false" outlineLevel="0" collapsed="false">
      <c r="B5" s="3" t="s">
        <v>314</v>
      </c>
      <c r="F5" s="12" t="n">
        <v>120</v>
      </c>
    </row>
    <row r="7" customFormat="false" ht="15" hidden="false" customHeight="false" outlineLevel="0" collapsed="false">
      <c r="B7" s="7" t="s">
        <v>315</v>
      </c>
      <c r="C7" s="8"/>
      <c r="D7" s="8"/>
      <c r="E7" s="8"/>
      <c r="F7" s="8"/>
      <c r="G7" s="8"/>
      <c r="H7" s="8"/>
      <c r="I7" s="8"/>
      <c r="J7" s="8"/>
    </row>
    <row r="8" customFormat="false" ht="15" hidden="false" customHeight="false" outlineLevel="0" collapsed="false">
      <c r="B8" s="5" t="s">
        <v>316</v>
      </c>
    </row>
    <row r="9" customFormat="false" ht="23.85" hidden="false" customHeight="false" outlineLevel="0" collapsed="false">
      <c r="B9" s="31" t="s">
        <v>317</v>
      </c>
      <c r="C9" s="32" t="s">
        <v>152</v>
      </c>
      <c r="D9" s="32" t="s">
        <v>155</v>
      </c>
      <c r="E9" s="32" t="s">
        <v>156</v>
      </c>
      <c r="F9" s="32" t="s">
        <v>157</v>
      </c>
      <c r="G9" s="32" t="s">
        <v>158</v>
      </c>
      <c r="H9" s="32" t="s">
        <v>159</v>
      </c>
      <c r="I9" s="32" t="s">
        <v>160</v>
      </c>
      <c r="J9" s="32" t="s">
        <v>117</v>
      </c>
    </row>
    <row r="10" customFormat="false" ht="15" hidden="false" customHeight="false" outlineLevel="0" collapsed="false">
      <c r="B10" s="15" t="n">
        <f aca="false">'Days of Credit'!B7</f>
        <v>0</v>
      </c>
      <c r="C10" s="18" t="n">
        <f aca="false">'Days of Credit'!D7</f>
        <v>93304.134</v>
      </c>
      <c r="D10" s="18" t="n">
        <f aca="false">'Days of Credit'!H7</f>
        <v>14574.1666666667</v>
      </c>
      <c r="E10" s="18" t="n">
        <f aca="false">'Days of Credit'!I7</f>
        <v>664.341894559698</v>
      </c>
      <c r="F10" s="18" t="n">
        <f aca="false">'Days of Credit'!J7</f>
        <v>108542.642561226</v>
      </c>
      <c r="G10" s="18" t="n">
        <f aca="false">'Days of Credit'!K7</f>
        <v>198057.357438774</v>
      </c>
      <c r="H10" s="33" t="n">
        <f aca="false">'Days of Credit'!L7</f>
        <v>0.0471565136758985</v>
      </c>
      <c r="I10" s="18" t="n">
        <f aca="false">'Days of Credit'!M7</f>
        <v>116.82</v>
      </c>
      <c r="J10" s="33" t="n">
        <f aca="false">'Days of Credit'!N7</f>
        <v>0.0796409439879862</v>
      </c>
    </row>
    <row r="11" customFormat="false" ht="15" hidden="false" customHeight="false" outlineLevel="0" collapsed="false">
      <c r="B11" s="15" t="n">
        <f aca="false">'Days of Credit'!B8</f>
        <v>30</v>
      </c>
      <c r="C11" s="18" t="n">
        <f aca="false">'Days of Credit'!D8</f>
        <v>93304.134</v>
      </c>
      <c r="D11" s="18" t="n">
        <f aca="false">'Days of Credit'!H8</f>
        <v>45199.1666666667</v>
      </c>
      <c r="E11" s="18" t="n">
        <f aca="false">'Days of Credit'!I8</f>
        <v>994.80232231519</v>
      </c>
      <c r="F11" s="18" t="n">
        <f aca="false">'Days of Credit'!J8</f>
        <v>139498.102988982</v>
      </c>
      <c r="G11" s="18" t="n">
        <f aca="false">'Days of Credit'!K8</f>
        <v>167101.897011018</v>
      </c>
      <c r="H11" s="33" t="n">
        <f aca="false">'Days of Credit'!L8</f>
        <v>0.0397861659550043</v>
      </c>
      <c r="I11" s="18" t="n">
        <f aca="false">'Days of Credit'!M8</f>
        <v>116.82</v>
      </c>
      <c r="J11" s="33" t="n">
        <f aca="false">'Days of Credit'!N8</f>
        <v>0.102353879953762</v>
      </c>
    </row>
    <row r="12" customFormat="false" ht="15" hidden="false" customHeight="false" outlineLevel="0" collapsed="false">
      <c r="B12" s="15" t="n">
        <f aca="false">'Days of Credit'!B9</f>
        <v>60</v>
      </c>
      <c r="C12" s="18" t="n">
        <f aca="false">'Days of Credit'!D9</f>
        <v>93304.134</v>
      </c>
      <c r="D12" s="18" t="n">
        <f aca="false">'Days of Credit'!H9</f>
        <v>75824.1666666667</v>
      </c>
      <c r="E12" s="18" t="n">
        <f aca="false">'Days of Credit'!I9</f>
        <v>1324.12762497916</v>
      </c>
      <c r="F12" s="18" t="n">
        <f aca="false">'Days of Credit'!J9</f>
        <v>170452.428291646</v>
      </c>
      <c r="G12" s="18" t="n">
        <f aca="false">'Days of Credit'!K9</f>
        <v>136147.571708354</v>
      </c>
      <c r="H12" s="33" t="n">
        <f aca="false">'Days of Credit'!L9</f>
        <v>0.0324160885019891</v>
      </c>
      <c r="I12" s="18" t="n">
        <f aca="false">'Days of Credit'!M9</f>
        <v>116.82</v>
      </c>
      <c r="J12" s="33" t="n">
        <f aca="false">'Days of Credit'!N9</f>
        <v>0.125065983044718</v>
      </c>
    </row>
    <row r="13" customFormat="false" ht="15" hidden="false" customHeight="false" outlineLevel="0" collapsed="false">
      <c r="B13" s="15" t="n">
        <f aca="false">'Days of Credit'!B10</f>
        <v>90</v>
      </c>
      <c r="C13" s="18" t="n">
        <f aca="false">'Days of Credit'!D10</f>
        <v>93304.134</v>
      </c>
      <c r="D13" s="18" t="n">
        <f aca="false">'Days of Credit'!H10</f>
        <v>106449.166666667</v>
      </c>
      <c r="E13" s="18" t="n">
        <f aca="false">'Days of Credit'!I10</f>
        <v>1652.32170168403</v>
      </c>
      <c r="F13" s="18" t="n">
        <f aca="false">'Days of Credit'!J10</f>
        <v>201405.622368351</v>
      </c>
      <c r="G13" s="18" t="n">
        <f aca="false">'Days of Credit'!K10</f>
        <v>105194.377631649</v>
      </c>
      <c r="H13" s="33" t="n">
        <f aca="false">'Days of Credit'!L10</f>
        <v>0.0250462803884879</v>
      </c>
      <c r="I13" s="18" t="n">
        <f aca="false">'Days of Credit'!M10</f>
        <v>116.82</v>
      </c>
      <c r="J13" s="33" t="n">
        <f aca="false">'Days of Credit'!N10</f>
        <v>0.147777256121763</v>
      </c>
    </row>
    <row r="14" customFormat="false" ht="15" hidden="false" customHeight="false" outlineLevel="0" collapsed="false">
      <c r="B14" s="15" t="n">
        <f aca="false">'Days of Credit'!B11</f>
        <v>108</v>
      </c>
      <c r="C14" s="18" t="n">
        <f aca="false">'Days of Credit'!D11</f>
        <v>93304.134</v>
      </c>
      <c r="D14" s="18" t="n">
        <f aca="false">'Days of Credit'!H11</f>
        <v>124824.166666667</v>
      </c>
      <c r="E14" s="18" t="n">
        <f aca="false">'Days of Credit'!I11</f>
        <v>1848.69677626981</v>
      </c>
      <c r="F14" s="18" t="n">
        <f aca="false">'Days of Credit'!J11</f>
        <v>219976.997442936</v>
      </c>
      <c r="G14" s="18" t="n">
        <f aca="false">'Days of Credit'!K11</f>
        <v>86623.0025570635</v>
      </c>
      <c r="H14" s="33" t="n">
        <f aca="false">'Days of Credit'!L11</f>
        <v>0.0206245244183485</v>
      </c>
      <c r="I14" s="18" t="n">
        <f aca="false">'Days of Credit'!M11</f>
        <v>116.82</v>
      </c>
      <c r="J14" s="33" t="n">
        <f aca="false">'Days of Credit'!N11</f>
        <v>0.161403622747771</v>
      </c>
    </row>
    <row r="15" customFormat="false" ht="15" hidden="false" customHeight="false" outlineLevel="0" collapsed="false">
      <c r="B15" s="35" t="n">
        <f aca="false">'Days of Credit'!B12</f>
        <v>120</v>
      </c>
      <c r="C15" s="36" t="n">
        <f aca="false">'Days of Credit'!D12</f>
        <v>93304.134</v>
      </c>
      <c r="D15" s="36" t="n">
        <f aca="false">'Days of Credit'!H12</f>
        <v>137074.166666667</v>
      </c>
      <c r="E15" s="36" t="n">
        <f aca="false">'Days of Credit'!I12</f>
        <v>1979.38843816882</v>
      </c>
      <c r="F15" s="36" t="n">
        <f aca="false">'Days of Credit'!J12</f>
        <v>232357.689104835</v>
      </c>
      <c r="G15" s="36" t="n">
        <f aca="false">'Days of Credit'!K12</f>
        <v>74242.3108951645</v>
      </c>
      <c r="H15" s="37" t="n">
        <f aca="false">'Days of Credit'!L12</f>
        <v>0.0176767406893249</v>
      </c>
      <c r="I15" s="36" t="n">
        <f aca="false">'Days of Credit'!M12</f>
        <v>116.82</v>
      </c>
      <c r="J15" s="37" t="n">
        <f aca="false">'Days of Credit'!N12</f>
        <v>0.170487702035979</v>
      </c>
    </row>
    <row r="16" customFormat="false" ht="15" hidden="false" customHeight="false" outlineLevel="0" collapsed="false">
      <c r="B16" s="15" t="n">
        <f aca="false">'Days of Credit'!B13</f>
        <v>180</v>
      </c>
      <c r="C16" s="18" t="n">
        <f aca="false">'Days of Credit'!D13</f>
        <v>93304.134</v>
      </c>
      <c r="D16" s="18" t="n">
        <f aca="false">'Days of Credit'!H13</f>
        <v>198324.166666667</v>
      </c>
      <c r="E16" s="18" t="n">
        <f aca="false">'Days of Credit'!I13</f>
        <v>2630.15536674274</v>
      </c>
      <c r="F16" s="18" t="n">
        <f aca="false">'Days of Credit'!J13</f>
        <v>294258.456033409</v>
      </c>
      <c r="G16" s="18" t="n">
        <f aca="false">'Days of Credit'!K13</f>
        <v>12341.5439665906</v>
      </c>
      <c r="H16" s="33" t="n">
        <f aca="false">'Days of Credit'!L13</f>
        <v>0.00293846284918824</v>
      </c>
      <c r="I16" s="18" t="n">
        <f aca="false">'Days of Credit'!M13</f>
        <v>116.82</v>
      </c>
      <c r="J16" s="33" t="n">
        <f aca="false">'Days of Credit'!N13</f>
        <v>0.215906123731315</v>
      </c>
    </row>
    <row r="17" customFormat="false" ht="15" hidden="false" customHeight="false" outlineLevel="0" collapsed="false">
      <c r="B17" s="4" t="s">
        <v>318</v>
      </c>
      <c r="F17" s="45" t="n">
        <f aca="false">MAX(F10:F16)-MIN(F10:F16)</f>
        <v>185715.813472183</v>
      </c>
    </row>
    <row r="19" customFormat="false" ht="15" hidden="false" customHeight="false" outlineLevel="0" collapsed="false">
      <c r="B19" s="7" t="s">
        <v>319</v>
      </c>
      <c r="C19" s="8"/>
      <c r="D19" s="8"/>
      <c r="E19" s="8"/>
      <c r="F19" s="8"/>
      <c r="G19" s="8"/>
      <c r="H19" s="8"/>
      <c r="I19" s="8"/>
      <c r="J19" s="8"/>
    </row>
    <row r="20" customFormat="false" ht="23.85" hidden="false" customHeight="false" outlineLevel="0" collapsed="false">
      <c r="B20" s="31" t="s">
        <v>317</v>
      </c>
      <c r="C20" s="32" t="s">
        <v>152</v>
      </c>
      <c r="D20" s="32" t="s">
        <v>155</v>
      </c>
      <c r="E20" s="32" t="s">
        <v>156</v>
      </c>
      <c r="F20" s="32" t="s">
        <v>157</v>
      </c>
      <c r="G20" s="32" t="s">
        <v>158</v>
      </c>
      <c r="H20" s="32" t="s">
        <v>159</v>
      </c>
      <c r="I20" s="32" t="s">
        <v>160</v>
      </c>
      <c r="J20" s="32" t="s">
        <v>117</v>
      </c>
    </row>
    <row r="21" customFormat="false" ht="15" hidden="false" customHeight="false" outlineLevel="0" collapsed="false">
      <c r="B21" s="13" t="n">
        <v>0</v>
      </c>
      <c r="C21" s="18" t="n">
        <f aca="false">'Quote Calculator'!$C$39*'Quote Calculator'!$C$10*I21/360</f>
        <v>87857</v>
      </c>
      <c r="D21" s="18" t="n">
        <f aca="false">MAX('Quote Calculator'!$C$7*'Quote Calculator'!$C$19*(($F$5)+'Quote Calculator'!$C$12+'Quote Calculator'!$C$13)/360,'Quote Calculator'!$C$20)+'Quote Calculator'!$C$7*'Quote Calculator'!$C$21*($F$5)/360+'Quote Calculator'!$C$51</f>
        <v>137074.166666667</v>
      </c>
      <c r="E21" s="18" t="n">
        <f aca="false">'Quote Calculator'!$C$7*(B21*(1-'Quote Calculator'!$C$31))*(1-(1-'Quote Calculator'!$C$34)^((($F$5)+'Quote Calculator'!$C$36)/365))*'Quote Calculator'!$C$35</f>
        <v>0</v>
      </c>
      <c r="F21" s="18" t="n">
        <f aca="false">C21+D21+E21</f>
        <v>224931.166666667</v>
      </c>
      <c r="G21" s="18" t="n">
        <f aca="false">'Quote Calculator'!$C$42-F21</f>
        <v>81668.8333333333</v>
      </c>
      <c r="H21" s="33" t="n">
        <f aca="false">G21/'Quote Calculator'!$C$7</f>
        <v>0.0194449603174603</v>
      </c>
      <c r="I21" s="18" t="n">
        <f aca="false">'Quote Calculator'!$C$11+'Quote Calculator'!$C$12+'Quote Calculator'!$C$13+'Quote Calculator'!$C$27+B21*'Quote Calculator'!$C$33*'Quote Calculator'!$C$32</f>
        <v>110</v>
      </c>
      <c r="J21" s="33" t="n">
        <f aca="false">F21/'Quote Calculator'!$C$7*360/I21</f>
        <v>0.175271038961039</v>
      </c>
    </row>
    <row r="22" customFormat="false" ht="15" hidden="false" customHeight="false" outlineLevel="0" collapsed="false">
      <c r="B22" s="13" t="n">
        <v>0.3</v>
      </c>
      <c r="C22" s="18" t="n">
        <f aca="false">'Quote Calculator'!$C$39*'Quote Calculator'!$C$10*I22/360</f>
        <v>90492.71</v>
      </c>
      <c r="D22" s="18" t="n">
        <f aca="false">MAX('Quote Calculator'!$C$7*'Quote Calculator'!$C$19*(($F$5)+'Quote Calculator'!$C$12+'Quote Calculator'!$C$13)/360,'Quote Calculator'!$C$20)+'Quote Calculator'!$C$7*'Quote Calculator'!$C$21*($F$5)/360+'Quote Calculator'!$C$51</f>
        <v>137074.166666667</v>
      </c>
      <c r="E22" s="18" t="n">
        <f aca="false">'Quote Calculator'!$C$7*(B22*(1-'Quote Calculator'!$C$31))*(1-(1-'Quote Calculator'!$C$34)^((($F$5)+'Quote Calculator'!$C$36)/365))*'Quote Calculator'!$C$35</f>
        <v>957.768599113946</v>
      </c>
      <c r="F22" s="18" t="n">
        <f aca="false">C22+D22+E22</f>
        <v>228524.645265781</v>
      </c>
      <c r="G22" s="18" t="n">
        <f aca="false">'Quote Calculator'!$C$42-F22</f>
        <v>78075.3547342194</v>
      </c>
      <c r="H22" s="33" t="n">
        <f aca="false">G22/'Quote Calculator'!$C$7</f>
        <v>0.0185893701748141</v>
      </c>
      <c r="I22" s="18" t="n">
        <f aca="false">'Quote Calculator'!$C$11+'Quote Calculator'!$C$12+'Quote Calculator'!$C$13+'Quote Calculator'!$C$27+B22*'Quote Calculator'!$C$33*'Quote Calculator'!$C$32</f>
        <v>113.3</v>
      </c>
      <c r="J22" s="33" t="n">
        <f aca="false">F22/'Quote Calculator'!$C$7*360/I22</f>
        <v>0.172884613742868</v>
      </c>
    </row>
    <row r="23" customFormat="false" ht="15" hidden="false" customHeight="false" outlineLevel="0" collapsed="false">
      <c r="B23" s="13" t="n">
        <v>0.5</v>
      </c>
      <c r="C23" s="18" t="n">
        <f aca="false">'Quote Calculator'!$C$39*'Quote Calculator'!$C$10*I23/360</f>
        <v>92249.85</v>
      </c>
      <c r="D23" s="18" t="n">
        <f aca="false">MAX('Quote Calculator'!$C$7*'Quote Calculator'!$C$19*(($F$5)+'Quote Calculator'!$C$12+'Quote Calculator'!$C$13)/360,'Quote Calculator'!$C$20)+'Quote Calculator'!$C$7*'Quote Calculator'!$C$21*($F$5)/360+'Quote Calculator'!$C$51</f>
        <v>137074.166666667</v>
      </c>
      <c r="E23" s="18" t="n">
        <f aca="false">'Quote Calculator'!$C$7*(B23*(1-'Quote Calculator'!$C$31))*(1-(1-'Quote Calculator'!$C$34)^((($F$5)+'Quote Calculator'!$C$36)/365))*'Quote Calculator'!$C$35</f>
        <v>1596.28099852324</v>
      </c>
      <c r="F23" s="18" t="n">
        <f aca="false">C23+D23+E23</f>
        <v>230920.29766519</v>
      </c>
      <c r="G23" s="18" t="n">
        <f aca="false">'Quote Calculator'!$C$42-F23</f>
        <v>75679.7023348101</v>
      </c>
      <c r="H23" s="33" t="n">
        <f aca="false">G23/'Quote Calculator'!$C$7</f>
        <v>0.0180189767463834</v>
      </c>
      <c r="I23" s="18" t="n">
        <f aca="false">'Quote Calculator'!$C$11+'Quote Calculator'!$C$12+'Quote Calculator'!$C$13+'Quote Calculator'!$C$27+B23*'Quote Calculator'!$C$33*'Quote Calculator'!$C$32</f>
        <v>115.5</v>
      </c>
      <c r="J23" s="33" t="n">
        <f aca="false">F23/'Quote Calculator'!$C$7*360/I23</f>
        <v>0.171369423128156</v>
      </c>
    </row>
    <row r="24" customFormat="false" ht="15" hidden="false" customHeight="false" outlineLevel="0" collapsed="false">
      <c r="B24" s="50" t="n">
        <v>0.62</v>
      </c>
      <c r="C24" s="36" t="n">
        <f aca="false">'Quote Calculator'!$C$39*'Quote Calculator'!$C$10*I24/360</f>
        <v>93304.134</v>
      </c>
      <c r="D24" s="36" t="n">
        <f aca="false">MAX('Quote Calculator'!$C$7*'Quote Calculator'!$C$19*(($F$5)+'Quote Calculator'!$C$12+'Quote Calculator'!$C$13)/360,'Quote Calculator'!$C$20)+'Quote Calculator'!$C$7*'Quote Calculator'!$C$21*($F$5)/360+'Quote Calculator'!$C$51</f>
        <v>137074.166666667</v>
      </c>
      <c r="E24" s="36" t="n">
        <f aca="false">'Quote Calculator'!$C$7*(B24*(1-'Quote Calculator'!$C$31))*(1-(1-'Quote Calculator'!$C$34)^((($F$5)+'Quote Calculator'!$C$36)/365))*'Quote Calculator'!$C$35</f>
        <v>1979.38843816882</v>
      </c>
      <c r="F24" s="36" t="n">
        <f aca="false">C24+D24+E24</f>
        <v>232357.689104835</v>
      </c>
      <c r="G24" s="36" t="n">
        <f aca="false">'Quote Calculator'!$C$42-F24</f>
        <v>74242.3108951645</v>
      </c>
      <c r="H24" s="37" t="n">
        <f aca="false">G24/'Quote Calculator'!$C$7</f>
        <v>0.0176767406893249</v>
      </c>
      <c r="I24" s="36" t="n">
        <f aca="false">'Quote Calculator'!$C$11+'Quote Calculator'!$C$12+'Quote Calculator'!$C$13+'Quote Calculator'!$C$27+B24*'Quote Calculator'!$C$33*'Quote Calculator'!$C$32</f>
        <v>116.82</v>
      </c>
      <c r="J24" s="37" t="n">
        <f aca="false">F24/'Quote Calculator'!$C$7*360/I24</f>
        <v>0.170487702035979</v>
      </c>
    </row>
    <row r="25" customFormat="false" ht="15" hidden="false" customHeight="false" outlineLevel="0" collapsed="false">
      <c r="B25" s="13" t="n">
        <v>0.8</v>
      </c>
      <c r="C25" s="18" t="n">
        <f aca="false">'Quote Calculator'!$C$39*'Quote Calculator'!$C$10*I25/360</f>
        <v>94885.56</v>
      </c>
      <c r="D25" s="18" t="n">
        <f aca="false">MAX('Quote Calculator'!$C$7*'Quote Calculator'!$C$19*(($F$5)+'Quote Calculator'!$C$12+'Quote Calculator'!$C$13)/360,'Quote Calculator'!$C$20)+'Quote Calculator'!$C$7*'Quote Calculator'!$C$21*($F$5)/360+'Quote Calculator'!$C$51</f>
        <v>137074.166666667</v>
      </c>
      <c r="E25" s="18" t="n">
        <f aca="false">'Quote Calculator'!$C$7*(B25*(1-'Quote Calculator'!$C$31))*(1-(1-'Quote Calculator'!$C$34)^((($F$5)+'Quote Calculator'!$C$36)/365))*'Quote Calculator'!$C$35</f>
        <v>2554.04959763719</v>
      </c>
      <c r="F25" s="18" t="n">
        <f aca="false">C25+D25+E25</f>
        <v>234513.776264304</v>
      </c>
      <c r="G25" s="18" t="n">
        <f aca="false">'Quote Calculator'!$C$42-F25</f>
        <v>72086.2237356962</v>
      </c>
      <c r="H25" s="33" t="n">
        <f aca="false">G25/'Quote Calculator'!$C$7</f>
        <v>0.0171633866037372</v>
      </c>
      <c r="I25" s="18" t="n">
        <f aca="false">'Quote Calculator'!$C$11+'Quote Calculator'!$C$12+'Quote Calculator'!$C$13+'Quote Calculator'!$C$27+B25*'Quote Calculator'!$C$33*'Quote Calculator'!$C$32</f>
        <v>118.8</v>
      </c>
      <c r="J25" s="33" t="n">
        <f aca="false">F25/'Quote Calculator'!$C$7*360/I25</f>
        <v>0.169201858776554</v>
      </c>
    </row>
    <row r="26" customFormat="false" ht="15" hidden="false" customHeight="false" outlineLevel="0" collapsed="false">
      <c r="B26" s="4" t="s">
        <v>318</v>
      </c>
      <c r="F26" s="45" t="n">
        <f aca="false">MAX(F21:F25)-MIN(F21:F25)</f>
        <v>9582.60959763717</v>
      </c>
    </row>
    <row r="27" customFormat="false" ht="15" hidden="false" customHeight="false" outlineLevel="0" collapsed="false">
      <c r="B27" s="5" t="s">
        <v>320</v>
      </c>
    </row>
    <row r="29" customFormat="false" ht="15" hidden="false" customHeight="false" outlineLevel="0" collapsed="false">
      <c r="B29" s="7" t="s">
        <v>321</v>
      </c>
      <c r="C29" s="8"/>
      <c r="D29" s="8"/>
      <c r="E29" s="8"/>
      <c r="F29" s="8"/>
      <c r="G29" s="8"/>
      <c r="H29" s="8"/>
      <c r="I29" s="8"/>
      <c r="J29" s="8"/>
    </row>
    <row r="30" customFormat="false" ht="23.85" hidden="false" customHeight="false" outlineLevel="0" collapsed="false">
      <c r="B30" s="31" t="s">
        <v>317</v>
      </c>
      <c r="C30" s="32" t="s">
        <v>152</v>
      </c>
      <c r="D30" s="32" t="s">
        <v>155</v>
      </c>
      <c r="E30" s="32" t="s">
        <v>156</v>
      </c>
      <c r="F30" s="32" t="s">
        <v>157</v>
      </c>
      <c r="G30" s="32" t="s">
        <v>158</v>
      </c>
      <c r="H30" s="32" t="s">
        <v>159</v>
      </c>
      <c r="I30" s="32" t="s">
        <v>160</v>
      </c>
      <c r="J30" s="32" t="s">
        <v>117</v>
      </c>
    </row>
    <row r="31" customFormat="false" ht="15" hidden="false" customHeight="false" outlineLevel="0" collapsed="false">
      <c r="B31" s="51" t="n">
        <v>0.045</v>
      </c>
      <c r="C31" s="18" t="n">
        <f aca="false">'Quote Calculator'!$C$39*B31*I31/360</f>
        <v>49984.3575</v>
      </c>
      <c r="D31" s="18" t="n">
        <f aca="false">MAX('Quote Calculator'!$C$7*'Quote Calculator'!$C$19*(($F$5)+'Quote Calculator'!$C$12+'Quote Calculator'!$C$13)/360,'Quote Calculator'!$C$20)+'Quote Calculator'!$C$7*'Quote Calculator'!$C$21*($F$5)/360+'Quote Calculator'!$C$51</f>
        <v>137074.166666667</v>
      </c>
      <c r="E31" s="18" t="n">
        <f aca="false">'Quote Calculator'!$C$7*('Quote Calculator'!$C$30*(1-'Quote Calculator'!$C$31))*(1-(1-'Quote Calculator'!$C$34)^((($F$5)+'Quote Calculator'!$C$36)/365))*'Quote Calculator'!$C$35</f>
        <v>1979.38843816882</v>
      </c>
      <c r="F31" s="18" t="n">
        <f aca="false">C31+D31+E31</f>
        <v>189037.912604836</v>
      </c>
      <c r="G31" s="18" t="n">
        <f aca="false">'Quote Calculator'!$C$42-F31</f>
        <v>117562.087395165</v>
      </c>
      <c r="H31" s="33" t="n">
        <f aca="false">G31/'Quote Calculator'!$C$7</f>
        <v>0.0279909731893249</v>
      </c>
      <c r="I31" s="18" t="n">
        <f aca="false">'Quote Calculator'!$C$11+'Quote Calculator'!$C$12+'Quote Calculator'!$C$13+'Quote Calculator'!$C$27+'Quote Calculator'!$C$45</f>
        <v>116.82</v>
      </c>
      <c r="J31" s="33" t="n">
        <f aca="false">F31/'Quote Calculator'!$C$7*360/I31</f>
        <v>0.138702702035979</v>
      </c>
    </row>
    <row r="32" customFormat="false" ht="15" hidden="false" customHeight="false" outlineLevel="0" collapsed="false">
      <c r="B32" s="51" t="n">
        <v>0.065</v>
      </c>
      <c r="C32" s="18" t="n">
        <f aca="false">'Quote Calculator'!$C$39*B32*I32/360</f>
        <v>72199.6275</v>
      </c>
      <c r="D32" s="18" t="n">
        <f aca="false">MAX('Quote Calculator'!$C$7*'Quote Calculator'!$C$19*(($F$5)+'Quote Calculator'!$C$12+'Quote Calculator'!$C$13)/360,'Quote Calculator'!$C$20)+'Quote Calculator'!$C$7*'Quote Calculator'!$C$21*($F$5)/360+'Quote Calculator'!$C$51</f>
        <v>137074.166666667</v>
      </c>
      <c r="E32" s="18" t="n">
        <f aca="false">'Quote Calculator'!$C$7*('Quote Calculator'!$C$30*(1-'Quote Calculator'!$C$31))*(1-(1-'Quote Calculator'!$C$34)^((($F$5)+'Quote Calculator'!$C$36)/365))*'Quote Calculator'!$C$35</f>
        <v>1979.38843816882</v>
      </c>
      <c r="F32" s="18" t="n">
        <f aca="false">C32+D32+E32</f>
        <v>211253.182604835</v>
      </c>
      <c r="G32" s="18" t="n">
        <f aca="false">'Quote Calculator'!$C$42-F32</f>
        <v>95346.8173951645</v>
      </c>
      <c r="H32" s="33" t="n">
        <f aca="false">G32/'Quote Calculator'!$C$7</f>
        <v>0.0227016231893249</v>
      </c>
      <c r="I32" s="18" t="n">
        <f aca="false">'Quote Calculator'!$C$11+'Quote Calculator'!$C$12+'Quote Calculator'!$C$13+'Quote Calculator'!$C$27+'Quote Calculator'!$C$45</f>
        <v>116.82</v>
      </c>
      <c r="J32" s="33" t="n">
        <f aca="false">F32/'Quote Calculator'!$C$7*360/I32</f>
        <v>0.155002702035979</v>
      </c>
    </row>
    <row r="33" customFormat="false" ht="15" hidden="false" customHeight="false" outlineLevel="0" collapsed="false">
      <c r="B33" s="52" t="n">
        <v>0.084</v>
      </c>
      <c r="C33" s="36" t="n">
        <f aca="false">'Quote Calculator'!$C$39*B33*I33/360</f>
        <v>93304.134</v>
      </c>
      <c r="D33" s="36" t="n">
        <f aca="false">MAX('Quote Calculator'!$C$7*'Quote Calculator'!$C$19*(($F$5)+'Quote Calculator'!$C$12+'Quote Calculator'!$C$13)/360,'Quote Calculator'!$C$20)+'Quote Calculator'!$C$7*'Quote Calculator'!$C$21*($F$5)/360+'Quote Calculator'!$C$51</f>
        <v>137074.166666667</v>
      </c>
      <c r="E33" s="36" t="n">
        <f aca="false">'Quote Calculator'!$C$7*('Quote Calculator'!$C$30*(1-'Quote Calculator'!$C$31))*(1-(1-'Quote Calculator'!$C$34)^((($F$5)+'Quote Calculator'!$C$36)/365))*'Quote Calculator'!$C$35</f>
        <v>1979.38843816882</v>
      </c>
      <c r="F33" s="36" t="n">
        <f aca="false">C33+D33+E33</f>
        <v>232357.689104835</v>
      </c>
      <c r="G33" s="36" t="n">
        <f aca="false">'Quote Calculator'!$C$42-F33</f>
        <v>74242.3108951645</v>
      </c>
      <c r="H33" s="37" t="n">
        <f aca="false">G33/'Quote Calculator'!$C$7</f>
        <v>0.0176767406893249</v>
      </c>
      <c r="I33" s="36" t="n">
        <f aca="false">'Quote Calculator'!$C$11+'Quote Calculator'!$C$12+'Quote Calculator'!$C$13+'Quote Calculator'!$C$27+'Quote Calculator'!$C$45</f>
        <v>116.82</v>
      </c>
      <c r="J33" s="37" t="n">
        <f aca="false">F33/'Quote Calculator'!$C$7*360/I33</f>
        <v>0.170487702035979</v>
      </c>
    </row>
    <row r="34" customFormat="false" ht="15" hidden="false" customHeight="false" outlineLevel="0" collapsed="false">
      <c r="B34" s="51" t="n">
        <v>0.105</v>
      </c>
      <c r="C34" s="18" t="n">
        <f aca="false">'Quote Calculator'!$C$39*B34*I34/360</f>
        <v>116630.1675</v>
      </c>
      <c r="D34" s="18" t="n">
        <f aca="false">MAX('Quote Calculator'!$C$7*'Quote Calculator'!$C$19*(($F$5)+'Quote Calculator'!$C$12+'Quote Calculator'!$C$13)/360,'Quote Calculator'!$C$20)+'Quote Calculator'!$C$7*'Quote Calculator'!$C$21*($F$5)/360+'Quote Calculator'!$C$51</f>
        <v>137074.166666667</v>
      </c>
      <c r="E34" s="18" t="n">
        <f aca="false">'Quote Calculator'!$C$7*('Quote Calculator'!$C$30*(1-'Quote Calculator'!$C$31))*(1-(1-'Quote Calculator'!$C$34)^((($F$5)+'Quote Calculator'!$C$36)/365))*'Quote Calculator'!$C$35</f>
        <v>1979.38843816882</v>
      </c>
      <c r="F34" s="18" t="n">
        <f aca="false">C34+D34+E34</f>
        <v>255683.722604836</v>
      </c>
      <c r="G34" s="18" t="n">
        <f aca="false">'Quote Calculator'!$C$42-F34</f>
        <v>50916.2773951645</v>
      </c>
      <c r="H34" s="33" t="n">
        <f aca="false">G34/'Quote Calculator'!$C$7</f>
        <v>0.0121229231893249</v>
      </c>
      <c r="I34" s="18" t="n">
        <f aca="false">'Quote Calculator'!$C$11+'Quote Calculator'!$C$12+'Quote Calculator'!$C$13+'Quote Calculator'!$C$27+'Quote Calculator'!$C$45</f>
        <v>116.82</v>
      </c>
      <c r="J34" s="33" t="n">
        <f aca="false">F34/'Quote Calculator'!$C$7*360/I34</f>
        <v>0.187602702035979</v>
      </c>
    </row>
    <row r="35" customFormat="false" ht="15" hidden="false" customHeight="false" outlineLevel="0" collapsed="false">
      <c r="B35" s="51" t="n">
        <v>0.13</v>
      </c>
      <c r="C35" s="18" t="n">
        <f aca="false">'Quote Calculator'!$C$39*B35*I35/360</f>
        <v>144399.255</v>
      </c>
      <c r="D35" s="18" t="n">
        <f aca="false">MAX('Quote Calculator'!$C$7*'Quote Calculator'!$C$19*(($F$5)+'Quote Calculator'!$C$12+'Quote Calculator'!$C$13)/360,'Quote Calculator'!$C$20)+'Quote Calculator'!$C$7*'Quote Calculator'!$C$21*($F$5)/360+'Quote Calculator'!$C$51</f>
        <v>137074.166666667</v>
      </c>
      <c r="E35" s="18" t="n">
        <f aca="false">'Quote Calculator'!$C$7*('Quote Calculator'!$C$30*(1-'Quote Calculator'!$C$31))*(1-(1-'Quote Calculator'!$C$34)^((($F$5)+'Quote Calculator'!$C$36)/365))*'Quote Calculator'!$C$35</f>
        <v>1979.38843816882</v>
      </c>
      <c r="F35" s="18" t="n">
        <f aca="false">C35+D35+E35</f>
        <v>283452.810104835</v>
      </c>
      <c r="G35" s="18" t="n">
        <f aca="false">'Quote Calculator'!$C$42-F35</f>
        <v>23147.1898951646</v>
      </c>
      <c r="H35" s="33" t="n">
        <f aca="false">G35/'Quote Calculator'!$C$7</f>
        <v>0.0055112356893249</v>
      </c>
      <c r="I35" s="18" t="n">
        <f aca="false">'Quote Calculator'!$C$11+'Quote Calculator'!$C$12+'Quote Calculator'!$C$13+'Quote Calculator'!$C$27+'Quote Calculator'!$C$45</f>
        <v>116.82</v>
      </c>
      <c r="J35" s="33" t="n">
        <f aca="false">F35/'Quote Calculator'!$C$7*360/I35</f>
        <v>0.207977702035979</v>
      </c>
    </row>
    <row r="36" customFormat="false" ht="15" hidden="false" customHeight="false" outlineLevel="0" collapsed="false">
      <c r="B36" s="4" t="s">
        <v>318</v>
      </c>
      <c r="F36" s="45" t="n">
        <f aca="false">MAX(F31:F35)-MIN(F31:F35)</f>
        <v>94414.8974999999</v>
      </c>
    </row>
    <row r="38" customFormat="false" ht="15" hidden="false" customHeight="false" outlineLevel="0" collapsed="false">
      <c r="B38" s="7" t="s">
        <v>322</v>
      </c>
      <c r="C38" s="8"/>
      <c r="D38" s="8"/>
      <c r="E38" s="8"/>
      <c r="F38" s="8"/>
      <c r="G38" s="8"/>
      <c r="H38" s="8"/>
      <c r="I38" s="8"/>
      <c r="J38" s="8"/>
    </row>
    <row r="39" customFormat="false" ht="23.85" hidden="false" customHeight="false" outlineLevel="0" collapsed="false">
      <c r="B39" s="31" t="s">
        <v>317</v>
      </c>
      <c r="C39" s="32" t="s">
        <v>152</v>
      </c>
      <c r="D39" s="32" t="s">
        <v>155</v>
      </c>
      <c r="E39" s="32" t="s">
        <v>156</v>
      </c>
      <c r="F39" s="32" t="s">
        <v>157</v>
      </c>
      <c r="G39" s="32" t="s">
        <v>158</v>
      </c>
      <c r="H39" s="32" t="s">
        <v>159</v>
      </c>
      <c r="I39" s="32" t="s">
        <v>160</v>
      </c>
      <c r="J39" s="32" t="s">
        <v>117</v>
      </c>
    </row>
    <row r="40" customFormat="false" ht="15" hidden="false" customHeight="false" outlineLevel="0" collapsed="false">
      <c r="B40" s="51" t="n">
        <v>0</v>
      </c>
      <c r="C40" s="18" t="n">
        <f aca="false">'Quote Calculator'!$C$39*'Quote Calculator'!$C$10*I40/360</f>
        <v>93304.134</v>
      </c>
      <c r="D40" s="18" t="n">
        <f aca="false">MAX('Quote Calculator'!$C$7*B40*(($F$5)+'Quote Calculator'!$C$12+'Quote Calculator'!$C$13)/360,'Quote Calculator'!$C$20)+'Quote Calculator'!$C$7*'Quote Calculator'!$C$21*($F$5)/360+'Quote Calculator'!$C$51</f>
        <v>105120</v>
      </c>
      <c r="E40" s="18" t="n">
        <f aca="false">'Quote Calculator'!$C$7*('Quote Calculator'!$C$30*(1-'Quote Calculator'!$C$31))*(1-(1-'Quote Calculator'!$C$34)^((($F$5)+'Quote Calculator'!$C$36)/365))*'Quote Calculator'!$C$35</f>
        <v>1979.38843816882</v>
      </c>
      <c r="F40" s="18" t="n">
        <f aca="false">C40+D40+E40</f>
        <v>200403.522438169</v>
      </c>
      <c r="G40" s="18" t="n">
        <f aca="false">'Quote Calculator'!$C$42-F40</f>
        <v>106196.477561831</v>
      </c>
      <c r="H40" s="33" t="n">
        <f aca="false">G40/'Quote Calculator'!$C$7</f>
        <v>0.0252848756099598</v>
      </c>
      <c r="I40" s="18" t="n">
        <f aca="false">'Quote Calculator'!$C$11+'Quote Calculator'!$C$12+'Quote Calculator'!$C$13+'Quote Calculator'!$C$27+'Quote Calculator'!$C$45</f>
        <v>116.82</v>
      </c>
      <c r="J40" s="33" t="n">
        <f aca="false">F40/'Quote Calculator'!$C$7*360/I40</f>
        <v>0.147041985793652</v>
      </c>
    </row>
    <row r="41" customFormat="false" ht="15" hidden="false" customHeight="false" outlineLevel="0" collapsed="false">
      <c r="B41" s="51" t="n">
        <v>0.01</v>
      </c>
      <c r="C41" s="18" t="n">
        <f aca="false">'Quote Calculator'!$C$39*'Quote Calculator'!$C$10*I41/360</f>
        <v>93304.134</v>
      </c>
      <c r="D41" s="18" t="n">
        <f aca="false">MAX('Quote Calculator'!$C$7*B41*(($F$5)+'Quote Calculator'!$C$12+'Quote Calculator'!$C$13)/360,'Quote Calculator'!$C$20)+'Quote Calculator'!$C$7*'Quote Calculator'!$C$21*($F$5)/360+'Quote Calculator'!$C$51</f>
        <v>121703.333333333</v>
      </c>
      <c r="E41" s="18" t="n">
        <f aca="false">'Quote Calculator'!$C$7*('Quote Calculator'!$C$30*(1-'Quote Calculator'!$C$31))*(1-(1-'Quote Calculator'!$C$34)^((($F$5)+'Quote Calculator'!$C$36)/365))*'Quote Calculator'!$C$35</f>
        <v>1979.38843816882</v>
      </c>
      <c r="F41" s="18" t="n">
        <f aca="false">C41+D41+E41</f>
        <v>216986.855771502</v>
      </c>
      <c r="G41" s="18" t="n">
        <f aca="false">'Quote Calculator'!$C$42-F41</f>
        <v>89613.1442284978</v>
      </c>
      <c r="H41" s="33" t="n">
        <f aca="false">G41/'Quote Calculator'!$C$7</f>
        <v>0.0213364629115471</v>
      </c>
      <c r="I41" s="18" t="n">
        <f aca="false">'Quote Calculator'!$C$11+'Quote Calculator'!$C$12+'Quote Calculator'!$C$13+'Quote Calculator'!$C$27+'Quote Calculator'!$C$45</f>
        <v>116.82</v>
      </c>
      <c r="J41" s="33" t="n">
        <f aca="false">F41/'Quote Calculator'!$C$7*360/I41</f>
        <v>0.159209667452859</v>
      </c>
    </row>
    <row r="42" customFormat="false" ht="15" hidden="false" customHeight="false" outlineLevel="0" collapsed="false">
      <c r="B42" s="52" t="n">
        <v>0.0185</v>
      </c>
      <c r="C42" s="36" t="n">
        <f aca="false">'Quote Calculator'!$C$39*'Quote Calculator'!$C$10*I42/360</f>
        <v>93304.134</v>
      </c>
      <c r="D42" s="36" t="n">
        <f aca="false">MAX('Quote Calculator'!$C$7*B42*(($F$5)+'Quote Calculator'!$C$12+'Quote Calculator'!$C$13)/360,'Quote Calculator'!$C$20)+'Quote Calculator'!$C$7*'Quote Calculator'!$C$21*($F$5)/360+'Quote Calculator'!$C$51</f>
        <v>137074.166666667</v>
      </c>
      <c r="E42" s="36" t="n">
        <f aca="false">'Quote Calculator'!$C$7*('Quote Calculator'!$C$30*(1-'Quote Calculator'!$C$31))*(1-(1-'Quote Calculator'!$C$34)^((($F$5)+'Quote Calculator'!$C$36)/365))*'Quote Calculator'!$C$35</f>
        <v>1979.38843816882</v>
      </c>
      <c r="F42" s="36" t="n">
        <f aca="false">C42+D42+E42</f>
        <v>232357.689104835</v>
      </c>
      <c r="G42" s="36" t="n">
        <f aca="false">'Quote Calculator'!$C$42-F42</f>
        <v>74242.3108951645</v>
      </c>
      <c r="H42" s="37" t="n">
        <f aca="false">G42/'Quote Calculator'!$C$7</f>
        <v>0.0176767406893249</v>
      </c>
      <c r="I42" s="36" t="n">
        <f aca="false">'Quote Calculator'!$C$11+'Quote Calculator'!$C$12+'Quote Calculator'!$C$13+'Quote Calculator'!$C$27+'Quote Calculator'!$C$45</f>
        <v>116.82</v>
      </c>
      <c r="J42" s="37" t="n">
        <f aca="false">F42/'Quote Calculator'!$C$7*360/I42</f>
        <v>0.170487702035979</v>
      </c>
    </row>
    <row r="43" customFormat="false" ht="15" hidden="false" customHeight="false" outlineLevel="0" collapsed="false">
      <c r="B43" s="51" t="n">
        <v>0.03</v>
      </c>
      <c r="C43" s="18" t="n">
        <f aca="false">'Quote Calculator'!$C$39*'Quote Calculator'!$C$10*I43/360</f>
        <v>93304.134</v>
      </c>
      <c r="D43" s="18" t="n">
        <f aca="false">MAX('Quote Calculator'!$C$7*B43*(($F$5)+'Quote Calculator'!$C$12+'Quote Calculator'!$C$13)/360,'Quote Calculator'!$C$20)+'Quote Calculator'!$C$7*'Quote Calculator'!$C$21*($F$5)/360+'Quote Calculator'!$C$51</f>
        <v>157870</v>
      </c>
      <c r="E43" s="18" t="n">
        <f aca="false">'Quote Calculator'!$C$7*('Quote Calculator'!$C$30*(1-'Quote Calculator'!$C$31))*(1-(1-'Quote Calculator'!$C$34)^((($F$5)+'Quote Calculator'!$C$36)/365))*'Quote Calculator'!$C$35</f>
        <v>1979.38843816882</v>
      </c>
      <c r="F43" s="18" t="n">
        <f aca="false">C43+D43+E43</f>
        <v>253153.522438169</v>
      </c>
      <c r="G43" s="18" t="n">
        <f aca="false">'Quote Calculator'!$C$42-F43</f>
        <v>53446.4775618312</v>
      </c>
      <c r="H43" s="33" t="n">
        <f aca="false">G43/'Quote Calculator'!$C$7</f>
        <v>0.012725351800436</v>
      </c>
      <c r="I43" s="18" t="n">
        <f aca="false">'Quote Calculator'!$C$11+'Quote Calculator'!$C$12+'Quote Calculator'!$C$13+'Quote Calculator'!$C$27+'Quote Calculator'!$C$45</f>
        <v>116.82</v>
      </c>
      <c r="J43" s="33" t="n">
        <f aca="false">F43/'Quote Calculator'!$C$7*360/I43</f>
        <v>0.18574621941314</v>
      </c>
    </row>
    <row r="44" customFormat="false" ht="15" hidden="false" customHeight="false" outlineLevel="0" collapsed="false">
      <c r="B44" s="51" t="n">
        <v>0.045</v>
      </c>
      <c r="C44" s="18" t="n">
        <f aca="false">'Quote Calculator'!$C$39*'Quote Calculator'!$C$10*I44/360</f>
        <v>93304.134</v>
      </c>
      <c r="D44" s="18" t="n">
        <f aca="false">MAX('Quote Calculator'!$C$7*B44*(($F$5)+'Quote Calculator'!$C$12+'Quote Calculator'!$C$13)/360,'Quote Calculator'!$C$20)+'Quote Calculator'!$C$7*'Quote Calculator'!$C$21*($F$5)/360+'Quote Calculator'!$C$51</f>
        <v>184995</v>
      </c>
      <c r="E44" s="18" t="n">
        <f aca="false">'Quote Calculator'!$C$7*('Quote Calculator'!$C$30*(1-'Quote Calculator'!$C$31))*(1-(1-'Quote Calculator'!$C$34)^((($F$5)+'Quote Calculator'!$C$36)/365))*'Quote Calculator'!$C$35</f>
        <v>1979.38843816882</v>
      </c>
      <c r="F44" s="18" t="n">
        <f aca="false">C44+D44+E44</f>
        <v>280278.522438169</v>
      </c>
      <c r="G44" s="18" t="n">
        <f aca="false">'Quote Calculator'!$C$42-F44</f>
        <v>26321.4775618312</v>
      </c>
      <c r="H44" s="33" t="n">
        <f aca="false">G44/'Quote Calculator'!$C$7</f>
        <v>0.00626701846710268</v>
      </c>
      <c r="I44" s="18" t="n">
        <f aca="false">'Quote Calculator'!$C$11+'Quote Calculator'!$C$12+'Quote Calculator'!$C$13+'Quote Calculator'!$C$27+'Quote Calculator'!$C$45</f>
        <v>116.82</v>
      </c>
      <c r="J44" s="33" t="n">
        <f aca="false">F44/'Quote Calculator'!$C$7*360/I44</f>
        <v>0.205648633383351</v>
      </c>
    </row>
    <row r="45" customFormat="false" ht="15" hidden="false" customHeight="false" outlineLevel="0" collapsed="false">
      <c r="B45" s="4" t="s">
        <v>318</v>
      </c>
      <c r="F45" s="45" t="n">
        <f aca="false">MAX(F40:F44)-MIN(F40:F44)</f>
        <v>79874.9999999999</v>
      </c>
    </row>
    <row r="46" customFormat="false" ht="15" hidden="false" customHeight="false" outlineLevel="0" collapsed="false">
      <c r="B46" s="5" t="s">
        <v>323</v>
      </c>
    </row>
    <row r="48" customFormat="false" ht="15" hidden="false" customHeight="false" outlineLevel="0" collapsed="false">
      <c r="B48" s="7" t="s">
        <v>324</v>
      </c>
      <c r="C48" s="8"/>
      <c r="D48" s="8"/>
      <c r="E48" s="8"/>
      <c r="F48" s="8"/>
      <c r="G48" s="8"/>
      <c r="H48" s="8"/>
      <c r="I48" s="8"/>
      <c r="J48" s="8"/>
    </row>
    <row r="49" customFormat="false" ht="23.85" hidden="false" customHeight="false" outlineLevel="0" collapsed="false">
      <c r="B49" s="31" t="s">
        <v>317</v>
      </c>
      <c r="C49" s="32" t="s">
        <v>152</v>
      </c>
      <c r="D49" s="32" t="s">
        <v>155</v>
      </c>
      <c r="E49" s="32" t="s">
        <v>156</v>
      </c>
      <c r="F49" s="32" t="s">
        <v>157</v>
      </c>
      <c r="G49" s="32" t="s">
        <v>158</v>
      </c>
      <c r="H49" s="32" t="s">
        <v>159</v>
      </c>
      <c r="I49" s="32" t="s">
        <v>160</v>
      </c>
      <c r="J49" s="32" t="s">
        <v>117</v>
      </c>
    </row>
    <row r="50" customFormat="false" ht="15" hidden="false" customHeight="false" outlineLevel="0" collapsed="false">
      <c r="B50" s="51" t="n">
        <v>0.04</v>
      </c>
      <c r="C50" s="18" t="n">
        <f aca="false">'Quote Calculator'!$C$39*'Quote Calculator'!$C$10*I50/360</f>
        <v>93304.134</v>
      </c>
      <c r="D50" s="18" t="n">
        <f aca="false">MAX('Quote Calculator'!$C$7*'Quote Calculator'!$C$19*(($F$5)+'Quote Calculator'!$C$12+'Quote Calculator'!$C$13)/360,'Quote Calculator'!$C$20)+'Quote Calculator'!$C$7*B50*($F$5)/360+'Quote Calculator'!$C$51</f>
        <v>96474.1666666667</v>
      </c>
      <c r="E50" s="18" t="n">
        <f aca="false">'Quote Calculator'!$C$7*('Quote Calculator'!$C$30*(1-'Quote Calculator'!$C$31))*(1-(1-'Quote Calculator'!$C$34)^((($F$5)+'Quote Calculator'!$C$36)/365))*'Quote Calculator'!$C$35</f>
        <v>1979.38843816882</v>
      </c>
      <c r="F50" s="18" t="n">
        <f aca="false">C50+D50+E50</f>
        <v>191757.689104835</v>
      </c>
      <c r="G50" s="18" t="n">
        <f aca="false">'Quote Calculator'!$C$42-F50</f>
        <v>114842.310895165</v>
      </c>
      <c r="H50" s="33" t="n">
        <f aca="false">G50/'Quote Calculator'!$C$7</f>
        <v>0.0273434073559916</v>
      </c>
      <c r="I50" s="18" t="n">
        <f aca="false">'Quote Calculator'!$C$11+'Quote Calculator'!$C$12+'Quote Calculator'!$C$13+'Quote Calculator'!$C$27+'Quote Calculator'!$C$45</f>
        <v>116.82</v>
      </c>
      <c r="J50" s="33" t="n">
        <f aca="false">F50/'Quote Calculator'!$C$7*360/I50</f>
        <v>0.140698282416051</v>
      </c>
    </row>
    <row r="51" customFormat="false" ht="15" hidden="false" customHeight="false" outlineLevel="0" collapsed="false">
      <c r="B51" s="51" t="n">
        <v>0.055</v>
      </c>
      <c r="C51" s="18" t="n">
        <f aca="false">'Quote Calculator'!$C$39*'Quote Calculator'!$C$10*I51/360</f>
        <v>93304.134</v>
      </c>
      <c r="D51" s="18" t="n">
        <f aca="false">MAX('Quote Calculator'!$C$7*'Quote Calculator'!$C$19*(($F$5)+'Quote Calculator'!$C$12+'Quote Calculator'!$C$13)/360,'Quote Calculator'!$C$20)+'Quote Calculator'!$C$7*B51*($F$5)/360+'Quote Calculator'!$C$51</f>
        <v>117474.166666667</v>
      </c>
      <c r="E51" s="18" t="n">
        <f aca="false">'Quote Calculator'!$C$7*('Quote Calculator'!$C$30*(1-'Quote Calculator'!$C$31))*(1-(1-'Quote Calculator'!$C$34)^((($F$5)+'Quote Calculator'!$C$36)/365))*'Quote Calculator'!$C$35</f>
        <v>1979.38843816882</v>
      </c>
      <c r="F51" s="18" t="n">
        <f aca="false">C51+D51+E51</f>
        <v>212757.689104835</v>
      </c>
      <c r="G51" s="18" t="n">
        <f aca="false">'Quote Calculator'!$C$42-F51</f>
        <v>93842.3108951645</v>
      </c>
      <c r="H51" s="33" t="n">
        <f aca="false">G51/'Quote Calculator'!$C$7</f>
        <v>0.0223434073559916</v>
      </c>
      <c r="I51" s="18" t="n">
        <f aca="false">'Quote Calculator'!$C$11+'Quote Calculator'!$C$12+'Quote Calculator'!$C$13+'Quote Calculator'!$C$27+'Quote Calculator'!$C$45</f>
        <v>116.82</v>
      </c>
      <c r="J51" s="33" t="n">
        <f aca="false">F51/'Quote Calculator'!$C$7*360/I51</f>
        <v>0.156106602909117</v>
      </c>
    </row>
    <row r="52" customFormat="false" ht="15" hidden="false" customHeight="false" outlineLevel="0" collapsed="false">
      <c r="B52" s="52" t="n">
        <v>0.069</v>
      </c>
      <c r="C52" s="36" t="n">
        <f aca="false">'Quote Calculator'!$C$39*'Quote Calculator'!$C$10*I52/360</f>
        <v>93304.134</v>
      </c>
      <c r="D52" s="36" t="n">
        <f aca="false">MAX('Quote Calculator'!$C$7*'Quote Calculator'!$C$19*(($F$5)+'Quote Calculator'!$C$12+'Quote Calculator'!$C$13)/360,'Quote Calculator'!$C$20)+'Quote Calculator'!$C$7*B52*($F$5)/360+'Quote Calculator'!$C$51</f>
        <v>137074.166666667</v>
      </c>
      <c r="E52" s="36" t="n">
        <f aca="false">'Quote Calculator'!$C$7*('Quote Calculator'!$C$30*(1-'Quote Calculator'!$C$31))*(1-(1-'Quote Calculator'!$C$34)^((($F$5)+'Quote Calculator'!$C$36)/365))*'Quote Calculator'!$C$35</f>
        <v>1979.38843816882</v>
      </c>
      <c r="F52" s="36" t="n">
        <f aca="false">C52+D52+E52</f>
        <v>232357.689104835</v>
      </c>
      <c r="G52" s="36" t="n">
        <f aca="false">'Quote Calculator'!$C$42-F52</f>
        <v>74242.3108951645</v>
      </c>
      <c r="H52" s="37" t="n">
        <f aca="false">G52/'Quote Calculator'!$C$7</f>
        <v>0.0176767406893249</v>
      </c>
      <c r="I52" s="36" t="n">
        <f aca="false">'Quote Calculator'!$C$11+'Quote Calculator'!$C$12+'Quote Calculator'!$C$13+'Quote Calculator'!$C$27+'Quote Calculator'!$C$45</f>
        <v>116.82</v>
      </c>
      <c r="J52" s="37" t="n">
        <f aca="false">F52/'Quote Calculator'!$C$7*360/I52</f>
        <v>0.170487702035979</v>
      </c>
    </row>
    <row r="53" customFormat="false" ht="15" hidden="false" customHeight="false" outlineLevel="0" collapsed="false">
      <c r="B53" s="51" t="n">
        <v>0.09</v>
      </c>
      <c r="C53" s="18" t="n">
        <f aca="false">'Quote Calculator'!$C$39*'Quote Calculator'!$C$10*I53/360</f>
        <v>93304.134</v>
      </c>
      <c r="D53" s="18" t="n">
        <f aca="false">MAX('Quote Calculator'!$C$7*'Quote Calculator'!$C$19*(($F$5)+'Quote Calculator'!$C$12+'Quote Calculator'!$C$13)/360,'Quote Calculator'!$C$20)+'Quote Calculator'!$C$7*B53*($F$5)/360+'Quote Calculator'!$C$51</f>
        <v>166474.166666667</v>
      </c>
      <c r="E53" s="18" t="n">
        <f aca="false">'Quote Calculator'!$C$7*('Quote Calculator'!$C$30*(1-'Quote Calculator'!$C$31))*(1-(1-'Quote Calculator'!$C$34)^((($F$5)+'Quote Calculator'!$C$36)/365))*'Quote Calculator'!$C$35</f>
        <v>1979.38843816882</v>
      </c>
      <c r="F53" s="18" t="n">
        <f aca="false">C53+D53+E53</f>
        <v>261757.689104835</v>
      </c>
      <c r="G53" s="18" t="n">
        <f aca="false">'Quote Calculator'!$C$42-F53</f>
        <v>44842.3108951645</v>
      </c>
      <c r="H53" s="33" t="n">
        <f aca="false">G53/'Quote Calculator'!$C$7</f>
        <v>0.0106767406893249</v>
      </c>
      <c r="I53" s="18" t="n">
        <f aca="false">'Quote Calculator'!$C$11+'Quote Calculator'!$C$12+'Quote Calculator'!$C$13+'Quote Calculator'!$C$27+'Quote Calculator'!$C$45</f>
        <v>116.82</v>
      </c>
      <c r="J53" s="33" t="n">
        <f aca="false">F53/'Quote Calculator'!$C$7*360/I53</f>
        <v>0.192059350726272</v>
      </c>
    </row>
    <row r="54" customFormat="false" ht="15" hidden="false" customHeight="false" outlineLevel="0" collapsed="false">
      <c r="B54" s="51" t="n">
        <v>0.12</v>
      </c>
      <c r="C54" s="18" t="n">
        <f aca="false">'Quote Calculator'!$C$39*'Quote Calculator'!$C$10*I54/360</f>
        <v>93304.134</v>
      </c>
      <c r="D54" s="18" t="n">
        <f aca="false">MAX('Quote Calculator'!$C$7*'Quote Calculator'!$C$19*(($F$5)+'Quote Calculator'!$C$12+'Quote Calculator'!$C$13)/360,'Quote Calculator'!$C$20)+'Quote Calculator'!$C$7*B54*($F$5)/360+'Quote Calculator'!$C$51</f>
        <v>208474.166666667</v>
      </c>
      <c r="E54" s="18" t="n">
        <f aca="false">'Quote Calculator'!$C$7*('Quote Calculator'!$C$30*(1-'Quote Calculator'!$C$31))*(1-(1-'Quote Calculator'!$C$34)^((($F$5)+'Quote Calculator'!$C$36)/365))*'Quote Calculator'!$C$35</f>
        <v>1979.38843816882</v>
      </c>
      <c r="F54" s="18" t="n">
        <f aca="false">C54+D54+E54</f>
        <v>303757.689104835</v>
      </c>
      <c r="G54" s="18" t="n">
        <f aca="false">'Quote Calculator'!$C$42-F54</f>
        <v>2842.31089516456</v>
      </c>
      <c r="H54" s="33" t="n">
        <f aca="false">G54/'Quote Calculator'!$C$7</f>
        <v>0.000676740689324894</v>
      </c>
      <c r="I54" s="18" t="n">
        <f aca="false">'Quote Calculator'!$C$11+'Quote Calculator'!$C$12+'Quote Calculator'!$C$13+'Quote Calculator'!$C$27+'Quote Calculator'!$C$45</f>
        <v>116.82</v>
      </c>
      <c r="J54" s="33" t="n">
        <f aca="false">F54/'Quote Calculator'!$C$7*360/I54</f>
        <v>0.222875991712404</v>
      </c>
    </row>
    <row r="55" customFormat="false" ht="15" hidden="false" customHeight="false" outlineLevel="0" collapsed="false">
      <c r="B55" s="4" t="s">
        <v>318</v>
      </c>
      <c r="F55" s="45" t="n">
        <f aca="false">MAX(F50:F54)-MIN(F50:F54)</f>
        <v>112000</v>
      </c>
    </row>
    <row r="57" customFormat="false" ht="15" hidden="false" customHeight="false" outlineLevel="0" collapsed="false">
      <c r="B57" s="7" t="s">
        <v>325</v>
      </c>
      <c r="C57" s="8"/>
      <c r="D57" s="8"/>
      <c r="E57" s="8"/>
      <c r="F57" s="8"/>
      <c r="G57" s="8"/>
      <c r="H57" s="8"/>
      <c r="I57" s="8"/>
      <c r="J57" s="8"/>
    </row>
    <row r="58" customFormat="false" ht="23.85" hidden="false" customHeight="false" outlineLevel="0" collapsed="false">
      <c r="B58" s="31" t="s">
        <v>317</v>
      </c>
      <c r="C58" s="32" t="s">
        <v>152</v>
      </c>
      <c r="D58" s="32" t="s">
        <v>155</v>
      </c>
      <c r="E58" s="32" t="s">
        <v>156</v>
      </c>
      <c r="F58" s="32" t="s">
        <v>157</v>
      </c>
      <c r="G58" s="32" t="s">
        <v>158</v>
      </c>
      <c r="H58" s="32" t="s">
        <v>159</v>
      </c>
      <c r="I58" s="32" t="s">
        <v>160</v>
      </c>
      <c r="J58" s="32" t="s">
        <v>117</v>
      </c>
    </row>
    <row r="59" customFormat="false" ht="15" hidden="false" customHeight="false" outlineLevel="0" collapsed="false">
      <c r="B59" s="13" t="n">
        <v>0.12</v>
      </c>
      <c r="C59" s="18" t="n">
        <f aca="false">'Quote Calculator'!$C$7*(1-B59)*'Quote Calculator'!$C$10*I59/360</f>
        <v>100745.568</v>
      </c>
      <c r="D59" s="18" t="n">
        <f aca="false">MAX('Quote Calculator'!$C$7*'Quote Calculator'!$C$19*(($F$5)+'Quote Calculator'!$C$12+'Quote Calculator'!$C$13)/360,'Quote Calculator'!$C$20)+'Quote Calculator'!$C$7*'Quote Calculator'!$C$21*($F$5)/360+'Quote Calculator'!$C$51</f>
        <v>137074.166666667</v>
      </c>
      <c r="E59" s="18" t="n">
        <f aca="false">'Quote Calculator'!$C$7*('Quote Calculator'!$C$30*(1-'Quote Calculator'!$C$31))*(1-(1-'Quote Calculator'!$C$34)^((($F$5)+'Quote Calculator'!$C$36)/365))*'Quote Calculator'!$C$35</f>
        <v>1979.38843816882</v>
      </c>
      <c r="F59" s="18" t="n">
        <f aca="false">C59+D59+E59</f>
        <v>239799.123104835</v>
      </c>
      <c r="G59" s="18" t="n">
        <f aca="false">('Quote Calculator'!$C$7*B59-'Quote Calculator'!$C$7*'Quote Calculator'!$C$9)-F59</f>
        <v>-206199.123104835</v>
      </c>
      <c r="H59" s="33" t="n">
        <f aca="false">G59/'Quote Calculator'!$C$7</f>
        <v>-0.0490950293106751</v>
      </c>
      <c r="I59" s="18" t="n">
        <f aca="false">'Quote Calculator'!$C$11+'Quote Calculator'!$C$12+'Quote Calculator'!$C$13+'Quote Calculator'!$C$27+'Quote Calculator'!$C$45</f>
        <v>116.82</v>
      </c>
      <c r="J59" s="33" t="n">
        <f aca="false">F59/'Quote Calculator'!$C$7*360/I59</f>
        <v>0.175947702035979</v>
      </c>
    </row>
    <row r="60" customFormat="false" ht="15" hidden="false" customHeight="false" outlineLevel="0" collapsed="false">
      <c r="B60" s="13" t="n">
        <v>0.15</v>
      </c>
      <c r="C60" s="18" t="n">
        <f aca="false">'Quote Calculator'!$C$7*(1-B60)*'Quote Calculator'!$C$10*I60/360</f>
        <v>97311.06</v>
      </c>
      <c r="D60" s="18" t="n">
        <f aca="false">MAX('Quote Calculator'!$C$7*'Quote Calculator'!$C$19*(($F$5)+'Quote Calculator'!$C$12+'Quote Calculator'!$C$13)/360,'Quote Calculator'!$C$20)+'Quote Calculator'!$C$7*'Quote Calculator'!$C$21*($F$5)/360+'Quote Calculator'!$C$51</f>
        <v>137074.166666667</v>
      </c>
      <c r="E60" s="18" t="n">
        <f aca="false">'Quote Calculator'!$C$7*('Quote Calculator'!$C$30*(1-'Quote Calculator'!$C$31))*(1-(1-'Quote Calculator'!$C$34)^((($F$5)+'Quote Calculator'!$C$36)/365))*'Quote Calculator'!$C$35</f>
        <v>1979.38843816882</v>
      </c>
      <c r="F60" s="18" t="n">
        <f aca="false">C60+D60+E60</f>
        <v>236364.615104835</v>
      </c>
      <c r="G60" s="18" t="n">
        <f aca="false">('Quote Calculator'!$C$7*B60-'Quote Calculator'!$C$7*'Quote Calculator'!$C$9)-F60</f>
        <v>-76764.6151048355</v>
      </c>
      <c r="H60" s="33" t="n">
        <f aca="false">G60/'Quote Calculator'!$C$7</f>
        <v>-0.0182772893106751</v>
      </c>
      <c r="I60" s="18" t="n">
        <f aca="false">'Quote Calculator'!$C$11+'Quote Calculator'!$C$12+'Quote Calculator'!$C$13+'Quote Calculator'!$C$27+'Quote Calculator'!$C$45</f>
        <v>116.82</v>
      </c>
      <c r="J60" s="33" t="n">
        <f aca="false">F60/'Quote Calculator'!$C$7*360/I60</f>
        <v>0.173427702035979</v>
      </c>
    </row>
    <row r="61" customFormat="false" ht="15" hidden="false" customHeight="false" outlineLevel="0" collapsed="false">
      <c r="B61" s="50" t="n">
        <v>0.185</v>
      </c>
      <c r="C61" s="36" t="n">
        <f aca="false">'Quote Calculator'!$C$7*(1-B61)*'Quote Calculator'!$C$10*I61/360</f>
        <v>93304.134</v>
      </c>
      <c r="D61" s="36" t="n">
        <f aca="false">MAX('Quote Calculator'!$C$7*'Quote Calculator'!$C$19*(($F$5)+'Quote Calculator'!$C$12+'Quote Calculator'!$C$13)/360,'Quote Calculator'!$C$20)+'Quote Calculator'!$C$7*'Quote Calculator'!$C$21*($F$5)/360+'Quote Calculator'!$C$51</f>
        <v>137074.166666667</v>
      </c>
      <c r="E61" s="36" t="n">
        <f aca="false">'Quote Calculator'!$C$7*('Quote Calculator'!$C$30*(1-'Quote Calculator'!$C$31))*(1-(1-'Quote Calculator'!$C$34)^((($F$5)+'Quote Calculator'!$C$36)/365))*'Quote Calculator'!$C$35</f>
        <v>1979.38843816882</v>
      </c>
      <c r="F61" s="36" t="n">
        <f aca="false">C61+D61+E61</f>
        <v>232357.689104835</v>
      </c>
      <c r="G61" s="36" t="n">
        <f aca="false">('Quote Calculator'!$C$7*B61-'Quote Calculator'!$C$7*'Quote Calculator'!$C$9)-F61</f>
        <v>74242.3108951645</v>
      </c>
      <c r="H61" s="37" t="n">
        <f aca="false">G61/'Quote Calculator'!$C$7</f>
        <v>0.0176767406893249</v>
      </c>
      <c r="I61" s="36" t="n">
        <f aca="false">'Quote Calculator'!$C$11+'Quote Calculator'!$C$12+'Quote Calculator'!$C$13+'Quote Calculator'!$C$27+'Quote Calculator'!$C$45</f>
        <v>116.82</v>
      </c>
      <c r="J61" s="37" t="n">
        <f aca="false">F61/'Quote Calculator'!$C$7*360/I61</f>
        <v>0.170487702035979</v>
      </c>
    </row>
    <row r="62" customFormat="false" ht="15" hidden="false" customHeight="false" outlineLevel="0" collapsed="false">
      <c r="B62" s="13" t="n">
        <v>0.23</v>
      </c>
      <c r="C62" s="18" t="n">
        <f aca="false">'Quote Calculator'!$C$7*(1-B62)*'Quote Calculator'!$C$10*I62/360</f>
        <v>88152.372</v>
      </c>
      <c r="D62" s="18" t="n">
        <f aca="false">MAX('Quote Calculator'!$C$7*'Quote Calculator'!$C$19*(($F$5)+'Quote Calculator'!$C$12+'Quote Calculator'!$C$13)/360,'Quote Calculator'!$C$20)+'Quote Calculator'!$C$7*'Quote Calculator'!$C$21*($F$5)/360+'Quote Calculator'!$C$51</f>
        <v>137074.166666667</v>
      </c>
      <c r="E62" s="18" t="n">
        <f aca="false">'Quote Calculator'!$C$7*('Quote Calculator'!$C$30*(1-'Quote Calculator'!$C$31))*(1-(1-'Quote Calculator'!$C$34)^((($F$5)+'Quote Calculator'!$C$36)/365))*'Quote Calculator'!$C$35</f>
        <v>1979.38843816882</v>
      </c>
      <c r="F62" s="18" t="n">
        <f aca="false">C62+D62+E62</f>
        <v>227205.927104836</v>
      </c>
      <c r="G62" s="18" t="n">
        <f aca="false">('Quote Calculator'!$C$7*B62-'Quote Calculator'!$C$7*'Quote Calculator'!$C$9)-F62</f>
        <v>268394.072895165</v>
      </c>
      <c r="H62" s="33" t="n">
        <f aca="false">G62/'Quote Calculator'!$C$7</f>
        <v>0.0639033506893249</v>
      </c>
      <c r="I62" s="18" t="n">
        <f aca="false">'Quote Calculator'!$C$11+'Quote Calculator'!$C$12+'Quote Calculator'!$C$13+'Quote Calculator'!$C$27+'Quote Calculator'!$C$45</f>
        <v>116.82</v>
      </c>
      <c r="J62" s="33" t="n">
        <f aca="false">F62/'Quote Calculator'!$C$7*360/I62</f>
        <v>0.166707702035979</v>
      </c>
    </row>
    <row r="63" customFormat="false" ht="15" hidden="false" customHeight="false" outlineLevel="0" collapsed="false">
      <c r="B63" s="13" t="n">
        <v>0.3</v>
      </c>
      <c r="C63" s="18" t="n">
        <f aca="false">'Quote Calculator'!$C$7*(1-B63)*'Quote Calculator'!$C$10*I63/360</f>
        <v>80138.52</v>
      </c>
      <c r="D63" s="18" t="n">
        <f aca="false">MAX('Quote Calculator'!$C$7*'Quote Calculator'!$C$19*(($F$5)+'Quote Calculator'!$C$12+'Quote Calculator'!$C$13)/360,'Quote Calculator'!$C$20)+'Quote Calculator'!$C$7*'Quote Calculator'!$C$21*($F$5)/360+'Quote Calculator'!$C$51</f>
        <v>137074.166666667</v>
      </c>
      <c r="E63" s="18" t="n">
        <f aca="false">'Quote Calculator'!$C$7*('Quote Calculator'!$C$30*(1-'Quote Calculator'!$C$31))*(1-(1-'Quote Calculator'!$C$34)^((($F$5)+'Quote Calculator'!$C$36)/365))*'Quote Calculator'!$C$35</f>
        <v>1979.38843816882</v>
      </c>
      <c r="F63" s="18" t="n">
        <f aca="false">C63+D63+E63</f>
        <v>219192.075104835</v>
      </c>
      <c r="G63" s="18" t="n">
        <f aca="false">('Quote Calculator'!$C$7*B63-'Quote Calculator'!$C$7*'Quote Calculator'!$C$9)-F63</f>
        <v>570407.924895165</v>
      </c>
      <c r="H63" s="33" t="n">
        <f aca="false">G63/'Quote Calculator'!$C$7</f>
        <v>0.135811410689325</v>
      </c>
      <c r="I63" s="18" t="n">
        <f aca="false">'Quote Calculator'!$C$11+'Quote Calculator'!$C$12+'Quote Calculator'!$C$13+'Quote Calculator'!$C$27+'Quote Calculator'!$C$45</f>
        <v>116.82</v>
      </c>
      <c r="J63" s="33" t="n">
        <f aca="false">F63/'Quote Calculator'!$C$7*360/I63</f>
        <v>0.160827702035979</v>
      </c>
    </row>
    <row r="64" customFormat="false" ht="15" hidden="false" customHeight="false" outlineLevel="0" collapsed="false">
      <c r="B64" s="4" t="s">
        <v>318</v>
      </c>
      <c r="F64" s="45" t="n">
        <f aca="false">MAX(F59:F63)-MIN(F59:F63)</f>
        <v>20607.048</v>
      </c>
    </row>
    <row r="65" customFormat="false" ht="15" hidden="false" customHeight="false" outlineLevel="0" collapsed="false">
      <c r="B65" s="5" t="s">
        <v>326</v>
      </c>
    </row>
    <row r="67" customFormat="false" ht="15" hidden="false" customHeight="false" outlineLevel="0" collapsed="false">
      <c r="B67" s="7" t="s">
        <v>327</v>
      </c>
      <c r="C67" s="8"/>
      <c r="D67" s="8"/>
      <c r="E67" s="8"/>
      <c r="F67" s="8"/>
      <c r="G67" s="8"/>
      <c r="H67" s="8"/>
      <c r="I67" s="8"/>
      <c r="J67" s="8"/>
    </row>
    <row r="68" customFormat="false" ht="23.85" hidden="false" customHeight="false" outlineLevel="0" collapsed="false">
      <c r="B68" s="31" t="s">
        <v>317</v>
      </c>
      <c r="C68" s="32" t="s">
        <v>152</v>
      </c>
      <c r="D68" s="32" t="s">
        <v>155</v>
      </c>
      <c r="E68" s="32" t="s">
        <v>156</v>
      </c>
      <c r="F68" s="32" t="s">
        <v>157</v>
      </c>
      <c r="G68" s="32" t="s">
        <v>158</v>
      </c>
      <c r="H68" s="32" t="s">
        <v>159</v>
      </c>
      <c r="I68" s="32" t="s">
        <v>160</v>
      </c>
      <c r="J68" s="32" t="s">
        <v>117</v>
      </c>
    </row>
    <row r="69" customFormat="false" ht="15" hidden="false" customHeight="false" outlineLevel="0" collapsed="false">
      <c r="B69" s="9" t="n">
        <v>30</v>
      </c>
      <c r="C69" s="18" t="n">
        <f aca="false">'Quote Calculator'!$C$39*'Quote Calculator'!$C$10*I69/360</f>
        <v>61356.134</v>
      </c>
      <c r="D69" s="18" t="n">
        <f aca="false">MAX('Quote Calculator'!$C$7*'Quote Calculator'!$C$19*(($F$5)+'Quote Calculator'!$C$12+'Quote Calculator'!$C$13)/360,'Quote Calculator'!$C$20)+'Quote Calculator'!$C$7*'Quote Calculator'!$C$21*($F$5)/360+'Quote Calculator'!$C$51</f>
        <v>137074.166666667</v>
      </c>
      <c r="E69" s="18" t="n">
        <f aca="false">'Quote Calculator'!$C$7*('Quote Calculator'!$C$30*(1-'Quote Calculator'!$C$31))*(1-(1-'Quote Calculator'!$C$34)^((($F$5)+'Quote Calculator'!$C$36)/365))*'Quote Calculator'!$C$35</f>
        <v>1979.38843816882</v>
      </c>
      <c r="F69" s="18" t="n">
        <f aca="false">C69+D69+E69</f>
        <v>200409.689104835</v>
      </c>
      <c r="G69" s="18" t="n">
        <f aca="false">'Quote Calculator'!$C$42-F69</f>
        <v>106190.310895165</v>
      </c>
      <c r="H69" s="33" t="n">
        <f aca="false">G69/'Quote Calculator'!$C$7</f>
        <v>0.0252834073559916</v>
      </c>
      <c r="I69" s="18" t="n">
        <f aca="false">B69+'Quote Calculator'!$C$12+'Quote Calculator'!$C$13+'Quote Calculator'!$C$27+'Quote Calculator'!$C$45</f>
        <v>76.82</v>
      </c>
      <c r="J69" s="33" t="n">
        <f aca="false">F69/'Quote Calculator'!$C$7*360/I69</f>
        <v>0.223613295389782</v>
      </c>
    </row>
    <row r="70" customFormat="false" ht="15" hidden="false" customHeight="false" outlineLevel="0" collapsed="false">
      <c r="B70" s="9" t="n">
        <v>50</v>
      </c>
      <c r="C70" s="18" t="n">
        <f aca="false">'Quote Calculator'!$C$39*'Quote Calculator'!$C$10*I70/360</f>
        <v>77330.134</v>
      </c>
      <c r="D70" s="18" t="n">
        <f aca="false">MAX('Quote Calculator'!$C$7*'Quote Calculator'!$C$19*(($F$5)+'Quote Calculator'!$C$12+'Quote Calculator'!$C$13)/360,'Quote Calculator'!$C$20)+'Quote Calculator'!$C$7*'Quote Calculator'!$C$21*($F$5)/360+'Quote Calculator'!$C$51</f>
        <v>137074.166666667</v>
      </c>
      <c r="E70" s="18" t="n">
        <f aca="false">'Quote Calculator'!$C$7*('Quote Calculator'!$C$30*(1-'Quote Calculator'!$C$31))*(1-(1-'Quote Calculator'!$C$34)^((($F$5)+'Quote Calculator'!$C$36)/365))*'Quote Calculator'!$C$35</f>
        <v>1979.38843816882</v>
      </c>
      <c r="F70" s="18" t="n">
        <f aca="false">C70+D70+E70</f>
        <v>216383.689104835</v>
      </c>
      <c r="G70" s="18" t="n">
        <f aca="false">'Quote Calculator'!$C$42-F70</f>
        <v>90216.3108951645</v>
      </c>
      <c r="H70" s="33" t="n">
        <f aca="false">G70/'Quote Calculator'!$C$7</f>
        <v>0.0214800740226582</v>
      </c>
      <c r="I70" s="18" t="n">
        <f aca="false">B70+'Quote Calculator'!$C$12+'Quote Calculator'!$C$13+'Quote Calculator'!$C$27+'Quote Calculator'!$C$45</f>
        <v>96.82</v>
      </c>
      <c r="J70" s="33" t="n">
        <f aca="false">F70/'Quote Calculator'!$C$7*360/I70</f>
        <v>0.191563451268778</v>
      </c>
    </row>
    <row r="71" customFormat="false" ht="15" hidden="false" customHeight="false" outlineLevel="0" collapsed="false">
      <c r="B71" s="34" t="n">
        <v>70</v>
      </c>
      <c r="C71" s="36" t="n">
        <f aca="false">'Quote Calculator'!$C$39*'Quote Calculator'!$C$10*I71/360</f>
        <v>93304.134</v>
      </c>
      <c r="D71" s="36" t="n">
        <f aca="false">MAX('Quote Calculator'!$C$7*'Quote Calculator'!$C$19*(($F$5)+'Quote Calculator'!$C$12+'Quote Calculator'!$C$13)/360,'Quote Calculator'!$C$20)+'Quote Calculator'!$C$7*'Quote Calculator'!$C$21*($F$5)/360+'Quote Calculator'!$C$51</f>
        <v>137074.166666667</v>
      </c>
      <c r="E71" s="36" t="n">
        <f aca="false">'Quote Calculator'!$C$7*('Quote Calculator'!$C$30*(1-'Quote Calculator'!$C$31))*(1-(1-'Quote Calculator'!$C$34)^((($F$5)+'Quote Calculator'!$C$36)/365))*'Quote Calculator'!$C$35</f>
        <v>1979.38843816882</v>
      </c>
      <c r="F71" s="36" t="n">
        <f aca="false">C71+D71+E71</f>
        <v>232357.689104835</v>
      </c>
      <c r="G71" s="36" t="n">
        <f aca="false">'Quote Calculator'!$C$42-F71</f>
        <v>74242.3108951645</v>
      </c>
      <c r="H71" s="37" t="n">
        <f aca="false">G71/'Quote Calculator'!$C$7</f>
        <v>0.0176767406893249</v>
      </c>
      <c r="I71" s="36" t="n">
        <f aca="false">B71+'Quote Calculator'!$C$12+'Quote Calculator'!$C$13+'Quote Calculator'!$C$27+'Quote Calculator'!$C$45</f>
        <v>116.82</v>
      </c>
      <c r="J71" s="37" t="n">
        <f aca="false">F71/'Quote Calculator'!$C$7*360/I71</f>
        <v>0.170487702035979</v>
      </c>
    </row>
    <row r="72" customFormat="false" ht="15" hidden="false" customHeight="false" outlineLevel="0" collapsed="false">
      <c r="B72" s="9" t="n">
        <v>95</v>
      </c>
      <c r="C72" s="18" t="n">
        <f aca="false">'Quote Calculator'!$C$39*'Quote Calculator'!$C$10*I72/360</f>
        <v>113271.634</v>
      </c>
      <c r="D72" s="18" t="n">
        <f aca="false">MAX('Quote Calculator'!$C$7*'Quote Calculator'!$C$19*(($F$5)+'Quote Calculator'!$C$12+'Quote Calculator'!$C$13)/360,'Quote Calculator'!$C$20)+'Quote Calculator'!$C$7*'Quote Calculator'!$C$21*($F$5)/360+'Quote Calculator'!$C$51</f>
        <v>137074.166666667</v>
      </c>
      <c r="E72" s="18" t="n">
        <f aca="false">'Quote Calculator'!$C$7*('Quote Calculator'!$C$30*(1-'Quote Calculator'!$C$31))*(1-(1-'Quote Calculator'!$C$34)^((($F$5)+'Quote Calculator'!$C$36)/365))*'Quote Calculator'!$C$35</f>
        <v>1979.38843816882</v>
      </c>
      <c r="F72" s="18" t="n">
        <f aca="false">C72+D72+E72</f>
        <v>252325.189104835</v>
      </c>
      <c r="G72" s="18" t="n">
        <f aca="false">'Quote Calculator'!$C$42-F72</f>
        <v>54274.8108951645</v>
      </c>
      <c r="H72" s="33" t="n">
        <f aca="false">G72/'Quote Calculator'!$C$7</f>
        <v>0.0129225740226582</v>
      </c>
      <c r="I72" s="18" t="n">
        <f aca="false">B72+'Quote Calculator'!$C$12+'Quote Calculator'!$C$13+'Quote Calculator'!$C$27+'Quote Calculator'!$C$45</f>
        <v>141.82</v>
      </c>
      <c r="J72" s="33" t="n">
        <f aca="false">F72/'Quote Calculator'!$C$7*360/I72</f>
        <v>0.152502280015816</v>
      </c>
    </row>
    <row r="73" customFormat="false" ht="15" hidden="false" customHeight="false" outlineLevel="0" collapsed="false">
      <c r="B73" s="9" t="n">
        <v>130</v>
      </c>
      <c r="C73" s="18" t="n">
        <f aca="false">'Quote Calculator'!$C$39*'Quote Calculator'!$C$10*I73/360</f>
        <v>141226.134</v>
      </c>
      <c r="D73" s="18" t="n">
        <f aca="false">MAX('Quote Calculator'!$C$7*'Quote Calculator'!$C$19*(($F$5)+'Quote Calculator'!$C$12+'Quote Calculator'!$C$13)/360,'Quote Calculator'!$C$20)+'Quote Calculator'!$C$7*'Quote Calculator'!$C$21*($F$5)/360+'Quote Calculator'!$C$51</f>
        <v>137074.166666667</v>
      </c>
      <c r="E73" s="18" t="n">
        <f aca="false">'Quote Calculator'!$C$7*('Quote Calculator'!$C$30*(1-'Quote Calculator'!$C$31))*(1-(1-'Quote Calculator'!$C$34)^((($F$5)+'Quote Calculator'!$C$36)/365))*'Quote Calculator'!$C$35</f>
        <v>1979.38843816882</v>
      </c>
      <c r="F73" s="18" t="n">
        <f aca="false">C73+D73+E73</f>
        <v>280279.689104835</v>
      </c>
      <c r="G73" s="18" t="n">
        <f aca="false">'Quote Calculator'!$C$42-F73</f>
        <v>26320.3108951646</v>
      </c>
      <c r="H73" s="33" t="n">
        <f aca="false">G73/'Quote Calculator'!$C$7</f>
        <v>0.00626674068932489</v>
      </c>
      <c r="I73" s="18" t="n">
        <f aca="false">B73+'Quote Calculator'!$C$12+'Quote Calculator'!$C$13+'Quote Calculator'!$C$27+'Quote Calculator'!$C$45</f>
        <v>176.82</v>
      </c>
      <c r="J73" s="33" t="n">
        <f aca="false">F73/'Quote Calculator'!$C$7*360/I73</f>
        <v>0.1358668326651</v>
      </c>
    </row>
    <row r="74" customFormat="false" ht="15" hidden="false" customHeight="false" outlineLevel="0" collapsed="false">
      <c r="B74" s="4" t="s">
        <v>318</v>
      </c>
      <c r="F74" s="45" t="n">
        <f aca="false">MAX(F69:F73)-MIN(F69:F73)</f>
        <v>79870</v>
      </c>
    </row>
    <row r="75" customFormat="false" ht="15" hidden="false" customHeight="false" outlineLevel="0" collapsed="false">
      <c r="B75" s="5" t="s">
        <v>328</v>
      </c>
    </row>
    <row r="77" customFormat="false" ht="15" hidden="false" customHeight="false" outlineLevel="0" collapsed="false">
      <c r="B77" s="7" t="s">
        <v>329</v>
      </c>
      <c r="C77" s="8"/>
      <c r="D77" s="8"/>
      <c r="E77" s="8"/>
      <c r="F77" s="8"/>
      <c r="G77" s="8"/>
      <c r="H77" s="8"/>
      <c r="I77" s="8"/>
      <c r="J77" s="8"/>
    </row>
    <row r="78" customFormat="false" ht="15" hidden="false" customHeight="false" outlineLevel="0" collapsed="false">
      <c r="B78" s="53" t="s">
        <v>317</v>
      </c>
      <c r="F78" s="53" t="s">
        <v>330</v>
      </c>
      <c r="G78" s="53" t="s">
        <v>331</v>
      </c>
      <c r="H78" s="53" t="s">
        <v>332</v>
      </c>
    </row>
    <row r="79" customFormat="false" ht="15" hidden="false" customHeight="false" outlineLevel="0" collapsed="false">
      <c r="B79" s="3" t="s">
        <v>147</v>
      </c>
      <c r="F79" s="18" t="n">
        <f aca="false">F17</f>
        <v>185715.813472183</v>
      </c>
      <c r="G79" s="54" t="n">
        <f aca="false">RANK(F79,$F$79:$F$85,0)</f>
        <v>1</v>
      </c>
      <c r="H79" s="3" t="s">
        <v>333</v>
      </c>
    </row>
    <row r="80" customFormat="false" ht="15" hidden="false" customHeight="false" outlineLevel="0" collapsed="false">
      <c r="B80" s="3" t="s">
        <v>73</v>
      </c>
      <c r="F80" s="18" t="n">
        <f aca="false">F55</f>
        <v>112000</v>
      </c>
      <c r="G80" s="54" t="n">
        <f aca="false">RANK(F80,$F$79:$F$85,0)</f>
        <v>2</v>
      </c>
      <c r="H80" s="3" t="s">
        <v>334</v>
      </c>
    </row>
    <row r="81" customFormat="false" ht="15" hidden="false" customHeight="false" outlineLevel="0" collapsed="false">
      <c r="B81" s="3" t="s">
        <v>335</v>
      </c>
      <c r="F81" s="18" t="n">
        <f aca="false">F36</f>
        <v>94414.8974999999</v>
      </c>
      <c r="G81" s="54" t="n">
        <f aca="false">RANK(F81,$F$79:$F$85,0)</f>
        <v>3</v>
      </c>
      <c r="H81" s="3" t="s">
        <v>336</v>
      </c>
    </row>
    <row r="82" customFormat="false" ht="15" hidden="false" customHeight="false" outlineLevel="0" collapsed="false">
      <c r="B82" s="3" t="s">
        <v>70</v>
      </c>
      <c r="F82" s="18" t="n">
        <f aca="false">F45</f>
        <v>79874.9999999999</v>
      </c>
      <c r="G82" s="54" t="n">
        <f aca="false">RANK(F82,$F$79:$F$85,0)</f>
        <v>4</v>
      </c>
      <c r="H82" s="3" t="s">
        <v>337</v>
      </c>
    </row>
    <row r="83" customFormat="false" ht="15" hidden="false" customHeight="false" outlineLevel="0" collapsed="false">
      <c r="B83" s="3" t="s">
        <v>338</v>
      </c>
      <c r="F83" s="18" t="n">
        <f aca="false">F74</f>
        <v>79870</v>
      </c>
      <c r="G83" s="54" t="n">
        <f aca="false">RANK(F83,$F$79:$F$85,0)</f>
        <v>5</v>
      </c>
      <c r="H83" s="3" t="s">
        <v>339</v>
      </c>
    </row>
    <row r="84" customFormat="false" ht="15" hidden="false" customHeight="false" outlineLevel="0" collapsed="false">
      <c r="B84" s="3" t="s">
        <v>340</v>
      </c>
      <c r="F84" s="18" t="n">
        <f aca="false">F64</f>
        <v>20607.048</v>
      </c>
      <c r="G84" s="54" t="n">
        <f aca="false">RANK(F84,$F$79:$F$85,0)</f>
        <v>6</v>
      </c>
      <c r="H84" s="3" t="s">
        <v>341</v>
      </c>
    </row>
    <row r="85" customFormat="false" ht="15" hidden="false" customHeight="false" outlineLevel="0" collapsed="false">
      <c r="B85" s="3" t="s">
        <v>342</v>
      </c>
      <c r="F85" s="18" t="n">
        <f aca="false">F26</f>
        <v>9582.60959763717</v>
      </c>
      <c r="G85" s="54" t="n">
        <f aca="false">RANK(F85,$F$79:$F$85,0)</f>
        <v>7</v>
      </c>
      <c r="H85" s="3" t="s">
        <v>343</v>
      </c>
    </row>
    <row r="87" customFormat="false" ht="15" hidden="false" customHeight="false" outlineLevel="0" collapsed="false">
      <c r="B87" s="7" t="s">
        <v>344</v>
      </c>
      <c r="C87" s="8"/>
      <c r="D87" s="8"/>
      <c r="E87" s="8"/>
      <c r="F87" s="8"/>
      <c r="G87" s="8"/>
      <c r="H87" s="8"/>
      <c r="I87" s="8"/>
      <c r="J87" s="8"/>
    </row>
    <row r="88" customFormat="false" ht="15" hidden="false" customHeight="false" outlineLevel="0" collapsed="false">
      <c r="B88" s="5" t="s">
        <v>345</v>
      </c>
    </row>
    <row r="89" customFormat="false" ht="15" hidden="false" customHeight="false" outlineLevel="0" collapsed="false">
      <c r="B89" s="5" t="s">
        <v>346</v>
      </c>
    </row>
    <row r="90" customFormat="false" ht="15" hidden="false" customHeight="false" outlineLevel="0" collapsed="false">
      <c r="B90" s="5" t="s">
        <v>347</v>
      </c>
    </row>
    <row r="91" customFormat="false" ht="15" hidden="false" customHeight="false" outlineLevel="0" collapsed="false">
      <c r="B91" s="5" t="s">
        <v>348</v>
      </c>
    </row>
    <row r="92" customFormat="false" ht="15" hidden="false" customHeight="false" outlineLevel="0" collapsed="false">
      <c r="B92" s="5" t="s">
        <v>349</v>
      </c>
    </row>
    <row r="93" customFormat="false" ht="15" hidden="false" customHeight="false" outlineLevel="0" collapsed="false">
      <c r="B93" s="5" t="s">
        <v>350</v>
      </c>
    </row>
    <row r="94" customFormat="false" ht="15" hidden="false" customHeight="false" outlineLevel="0" collapsed="false">
      <c r="B94" s="5" t="s">
        <v>351</v>
      </c>
    </row>
    <row r="95" customFormat="false" ht="15" hidden="false" customHeight="false" outlineLevel="0" collapsed="false">
      <c r="B95" s="5"/>
    </row>
    <row r="96" customFormat="false" ht="15" hidden="false" customHeight="false" outlineLevel="0" collapsed="false">
      <c r="B96" s="5" t="s">
        <v>352</v>
      </c>
    </row>
    <row r="97" customFormat="false" ht="15" hidden="false" customHeight="false" outlineLevel="0" collapsed="false">
      <c r="B97" s="5" t="s">
        <v>353</v>
      </c>
    </row>
    <row r="98" customFormat="false" ht="15" hidden="false" customHeight="false" outlineLevel="0" collapsed="false">
      <c r="B98" s="5" t="s">
        <v>354</v>
      </c>
    </row>
    <row r="99" customFormat="false" ht="15" hidden="false" customHeight="false" outlineLevel="0" collapsed="false">
      <c r="B99" s="5"/>
    </row>
    <row r="100" customFormat="false" ht="15" hidden="false" customHeight="false" outlineLevel="0" collapsed="false">
      <c r="B100" s="5" t="s">
        <v>355</v>
      </c>
    </row>
    <row r="101" customFormat="false" ht="15" hidden="false" customHeight="false" outlineLevel="0" collapsed="false">
      <c r="B101" s="5" t="s">
        <v>356</v>
      </c>
    </row>
    <row r="102" customFormat="false" ht="15" hidden="false" customHeight="false" outlineLevel="0" collapsed="false">
      <c r="B102" s="5" t="s">
        <v>357</v>
      </c>
    </row>
    <row r="103" customFormat="false" ht="15" hidden="false" customHeight="false" outlineLevel="0" collapsed="false">
      <c r="B103" s="5" t="s">
        <v>358</v>
      </c>
    </row>
    <row r="104" customFormat="false" ht="15" hidden="false" customHeight="false" outlineLevel="0" collapsed="false">
      <c r="B104" s="5" t="s">
        <v>359</v>
      </c>
    </row>
    <row r="106" customFormat="false" ht="15" hidden="false" customHeight="false" outlineLevel="0" collapsed="false">
      <c r="B106" s="2" t="s">
        <v>360</v>
      </c>
    </row>
    <row r="107" customFormat="false" ht="15" hidden="false" customHeight="false" outlineLevel="0" collapsed="false">
      <c r="B107" s="3" t="s">
        <v>361</v>
      </c>
      <c r="F107" s="55" t="n">
        <v>0</v>
      </c>
    </row>
    <row r="108" customFormat="false" ht="15" hidden="false" customHeight="false" outlineLevel="0" collapsed="false">
      <c r="B108" s="39" t="s">
        <v>362</v>
      </c>
    </row>
    <row r="109" customFormat="false" ht="15" hidden="false" customHeight="false" outlineLevel="0" collapsed="false">
      <c r="B109" s="4" t="s">
        <v>317</v>
      </c>
      <c r="F109" s="4" t="s">
        <v>363</v>
      </c>
      <c r="G109" s="4" t="s">
        <v>364</v>
      </c>
      <c r="H109" s="4" t="s">
        <v>365</v>
      </c>
      <c r="I109" s="4" t="s">
        <v>366</v>
      </c>
    </row>
    <row r="110" customFormat="false" ht="15" hidden="false" customHeight="false" outlineLevel="0" collapsed="false">
      <c r="B110" s="3" t="s">
        <v>73</v>
      </c>
      <c r="F110" s="18" t="n">
        <f aca="false">'Quote Calculator'!$C$7*(MAX($B$50:$B$54)-MIN($B$50:$B$54))*$F$107/360</f>
        <v>0</v>
      </c>
      <c r="G110" s="18" t="n">
        <f aca="false">'Quote Calculator'!$C$7*(MAX($B$50:$B$54)-MIN($B$50:$B$54))*$F$5/360</f>
        <v>112000</v>
      </c>
      <c r="H110" s="18" t="n">
        <f aca="false">G110-F55</f>
        <v>0</v>
      </c>
      <c r="I110" s="56" t="n">
        <f aca="false">RANK(F110,$F$110:$F$115,0)</f>
        <v>6</v>
      </c>
    </row>
    <row r="111" customFormat="false" ht="15" hidden="false" customHeight="false" outlineLevel="0" collapsed="false">
      <c r="B111" s="3" t="s">
        <v>335</v>
      </c>
      <c r="F111" s="18" t="n">
        <f aca="false">'Quote Calculator'!$C$39*(MAX($B$31:$B$35)-MIN($B$31:$B$35))*('Quote Calculator'!$C$11+'Quote Calculator'!$C$12+'Quote Calculator'!$C$13+'Quote Calculator'!$C$27+'Quote Calculator'!$C$45)/360</f>
        <v>94414.8975</v>
      </c>
      <c r="G111" s="18" t="n">
        <f aca="false">'Quote Calculator'!$C$39*(MAX($B$31:$B$35)-MIN($B$31:$B$35))*('Quote Calculator'!$C$11+'Quote Calculator'!$C$12+'Quote Calculator'!$C$13+'Quote Calculator'!$C$27+'Quote Calculator'!$C$45)/360</f>
        <v>94414.8975</v>
      </c>
      <c r="H111" s="18" t="n">
        <f aca="false">G111-F36</f>
        <v>0</v>
      </c>
      <c r="I111" s="56" t="n">
        <f aca="false">RANK(F111,$F$110:$F$115,0)</f>
        <v>1</v>
      </c>
    </row>
    <row r="112" customFormat="false" ht="15" hidden="false" customHeight="false" outlineLevel="0" collapsed="false">
      <c r="B112" s="3" t="s">
        <v>70</v>
      </c>
      <c r="F112" s="18" t="n">
        <f aca="false">MAX('Quote Calculator'!$C$7*MAX($B$40:$B$44)*($F$107+'Quote Calculator'!$C$12+'Quote Calculator'!$C$13)/360,'Quote Calculator'!$C$20)-MAX('Quote Calculator'!$C$7*MIN($B$40:$B$44)*($F$107+'Quote Calculator'!$C$12+'Quote Calculator'!$C$13)/360,'Quote Calculator'!$C$20)</f>
        <v>16875</v>
      </c>
      <c r="G112" s="18" t="n">
        <f aca="false">MAX('Quote Calculator'!$C$7*MAX($B$40:$B$44)*($F$5+'Quote Calculator'!$C$12+'Quote Calculator'!$C$13)/360,'Quote Calculator'!$C$20)-MAX('Quote Calculator'!$C$7*MIN($B$40:$B$44)*($F$5+'Quote Calculator'!$C$12+'Quote Calculator'!$C$13)/360,'Quote Calculator'!$C$20)</f>
        <v>79875</v>
      </c>
      <c r="H112" s="18" t="n">
        <f aca="false">G112-F45</f>
        <v>0</v>
      </c>
      <c r="I112" s="56" t="n">
        <f aca="false">RANK(F112,$F$110:$F$115,0)</f>
        <v>4</v>
      </c>
    </row>
    <row r="113" customFormat="false" ht="15" hidden="false" customHeight="false" outlineLevel="0" collapsed="false">
      <c r="B113" s="3" t="s">
        <v>338</v>
      </c>
      <c r="F113" s="18" t="n">
        <f aca="false">'Quote Calculator'!$C$39*'Quote Calculator'!$C$10*(MAX($B$69:$B$73)-MIN($B$69:$B$73))/360</f>
        <v>79870</v>
      </c>
      <c r="G113" s="18" t="n">
        <f aca="false">'Quote Calculator'!$C$39*'Quote Calculator'!$C$10*(MAX($B$69:$B$73)-MIN($B$69:$B$73))/360</f>
        <v>79870</v>
      </c>
      <c r="H113" s="18" t="n">
        <f aca="false">G113-F74</f>
        <v>0</v>
      </c>
      <c r="I113" s="56" t="n">
        <f aca="false">RANK(F113,$F$110:$F$115,0)</f>
        <v>2</v>
      </c>
    </row>
    <row r="114" customFormat="false" ht="15" hidden="false" customHeight="false" outlineLevel="0" collapsed="false">
      <c r="B114" s="3" t="s">
        <v>340</v>
      </c>
      <c r="F114" s="18" t="n">
        <f aca="false">'Quote Calculator'!$C$7*(MAX($B$59:$B$63)-MIN($B$59:$B$63))*'Quote Calculator'!$C$10*('Quote Calculator'!$C$11+'Quote Calculator'!$C$12+'Quote Calculator'!$C$13+'Quote Calculator'!$C$27+'Quote Calculator'!$C$45)/360</f>
        <v>20607.048</v>
      </c>
      <c r="G114" s="18" t="n">
        <f aca="false">'Quote Calculator'!$C$7*(MAX($B$59:$B$63)-MIN($B$59:$B$63))*'Quote Calculator'!$C$10*('Quote Calculator'!$C$11+'Quote Calculator'!$C$12+'Quote Calculator'!$C$13+'Quote Calculator'!$C$27+'Quote Calculator'!$C$45)/360</f>
        <v>20607.048</v>
      </c>
      <c r="H114" s="18" t="n">
        <f aca="false">G114-F64</f>
        <v>0</v>
      </c>
      <c r="I114" s="56" t="n">
        <f aca="false">RANK(F114,$F$110:$F$115,0)</f>
        <v>3</v>
      </c>
    </row>
    <row r="115" customFormat="false" ht="15" hidden="false" customHeight="false" outlineLevel="0" collapsed="false">
      <c r="B115" s="3" t="s">
        <v>342</v>
      </c>
      <c r="F115" s="18" t="n">
        <f aca="false">'Quote Calculator'!$C$39*'Quote Calculator'!$C$10*(MAX($B$21:$B$25)-MIN($B$21:$B$25))*'Quote Calculator'!$C$33*'Quote Calculator'!$C$32/360+'Quote Calculator'!$C$7*(MAX($B$21:$B$25)-MIN($B$21:$B$25))*(1-'Quote Calculator'!$C$31)*(1-(1-'Quote Calculator'!$C$34)^(($F$107+'Quote Calculator'!$C$36)/365))*'Quote Calculator'!$C$35</f>
        <v>7885.77534781897</v>
      </c>
      <c r="G115" s="18" t="n">
        <f aca="false">'Quote Calculator'!$C$39*'Quote Calculator'!$C$10*(MAX($B$21:$B$25)-MIN($B$21:$B$25))*'Quote Calculator'!$C$33*'Quote Calculator'!$C$32/360+'Quote Calculator'!$C$7*(MAX($B$21:$B$25)-MIN($B$21:$B$25))*(1-'Quote Calculator'!$C$31)*(1-(1-'Quote Calculator'!$C$34)^(($F$5+'Quote Calculator'!$C$36)/365))*'Quote Calculator'!$C$35</f>
        <v>9582.60959763719</v>
      </c>
      <c r="H115" s="18" t="n">
        <f aca="false">G115-F26</f>
        <v>0</v>
      </c>
      <c r="I115" s="56" t="n">
        <f aca="false">RANK(F115,$F$110:$F$115,0)</f>
        <v>5</v>
      </c>
    </row>
    <row r="116" customFormat="false" ht="15" hidden="false" customHeight="false" outlineLevel="0" collapsed="false">
      <c r="B116" s="4" t="s">
        <v>367</v>
      </c>
      <c r="F116" s="4" t="str">
        <f aca="false">INDEX($B$110:$B$115,MATCH(1,$I$110:$I$115,0))</f>
        <v>Exporter's own cost of funds</v>
      </c>
    </row>
    <row r="118" customFormat="false" ht="15" hidden="false" customHeight="false" outlineLevel="0" collapsed="false">
      <c r="B118" s="39" t="s">
        <v>368</v>
      </c>
    </row>
    <row r="119" customFormat="false" ht="15" hidden="false" customHeight="false" outlineLevel="0" collapsed="false">
      <c r="B119" s="39" t="s">
        <v>369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2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4" min="3" style="0" width="18"/>
    <col collapsed="false" customWidth="true" hidden="false" outlineLevel="0" max="5" min="5" style="0" width="16"/>
    <col collapsed="false" customWidth="true" hidden="false" outlineLevel="0" max="6" min="6" style="0" width="10"/>
  </cols>
  <sheetData>
    <row r="2" customFormat="false" ht="17.35" hidden="false" customHeight="false" outlineLevel="0" collapsed="false">
      <c r="B2" s="1" t="s">
        <v>370</v>
      </c>
    </row>
    <row r="3" customFormat="false" ht="15" hidden="false" customHeight="false" outlineLevel="0" collapsed="false">
      <c r="B3" s="3" t="s">
        <v>371</v>
      </c>
    </row>
    <row r="4" customFormat="false" ht="15" hidden="false" customHeight="false" outlineLevel="0" collapsed="false">
      <c r="B4" s="3" t="s">
        <v>372</v>
      </c>
    </row>
    <row r="5" customFormat="false" ht="15" hidden="false" customHeight="false" outlineLevel="0" collapsed="false">
      <c r="B5" s="5" t="s">
        <v>373</v>
      </c>
    </row>
    <row r="7" customFormat="false" ht="15" hidden="false" customHeight="false" outlineLevel="0" collapsed="false">
      <c r="B7" s="53" t="s">
        <v>374</v>
      </c>
      <c r="C7" s="53" t="s">
        <v>375</v>
      </c>
      <c r="D7" s="53" t="s">
        <v>376</v>
      </c>
      <c r="E7" s="53" t="s">
        <v>276</v>
      </c>
      <c r="F7" s="53" t="s">
        <v>377</v>
      </c>
    </row>
    <row r="8" customFormat="false" ht="15" hidden="false" customHeight="false" outlineLevel="0" collapsed="false">
      <c r="B8" s="2" t="s">
        <v>378</v>
      </c>
    </row>
    <row r="9" customFormat="false" ht="15" hidden="false" customHeight="false" outlineLevel="0" collapsed="false">
      <c r="B9" s="3" t="s">
        <v>54</v>
      </c>
      <c r="C9" s="15" t="n">
        <v>4200000</v>
      </c>
      <c r="D9" s="57" t="n">
        <f aca="false">ROUND('Quote Calculator'!$C$7,0)</f>
        <v>4200000</v>
      </c>
      <c r="E9" s="58" t="n">
        <f aca="false">D9-C9</f>
        <v>0</v>
      </c>
      <c r="F9" s="4" t="str">
        <f aca="false">IF(ABS(E9)&lt;0.00000001,"PASS","FAIL")</f>
        <v>PASS</v>
      </c>
    </row>
    <row r="10" customFormat="false" ht="15" hidden="false" customHeight="false" outlineLevel="0" collapsed="false">
      <c r="B10" s="3" t="s">
        <v>92</v>
      </c>
      <c r="C10" s="15" t="n">
        <v>3423000</v>
      </c>
      <c r="D10" s="57" t="n">
        <f aca="false">ROUND('Quote Calculator'!$C$39,0)</f>
        <v>3423000</v>
      </c>
      <c r="E10" s="58" t="n">
        <f aca="false">D10-C10</f>
        <v>0</v>
      </c>
      <c r="F10" s="4" t="str">
        <f aca="false">IF(ABS(E10)&lt;0.00000001,"PASS","FAIL")</f>
        <v>PASS</v>
      </c>
    </row>
    <row r="11" customFormat="false" ht="15" hidden="false" customHeight="false" outlineLevel="0" collapsed="false">
      <c r="B11" s="3" t="s">
        <v>93</v>
      </c>
      <c r="C11" s="15" t="n">
        <v>777000</v>
      </c>
      <c r="D11" s="57" t="n">
        <f aca="false">ROUND('Quote Calculator'!$C$40,0)</f>
        <v>777000</v>
      </c>
      <c r="E11" s="58" t="n">
        <f aca="false">D11-C11</f>
        <v>0</v>
      </c>
      <c r="F11" s="4" t="str">
        <f aca="false">IF(ABS(E11)&lt;0.00000001,"PASS","FAIL")</f>
        <v>PASS</v>
      </c>
    </row>
    <row r="12" customFormat="false" ht="15" hidden="false" customHeight="false" outlineLevel="0" collapsed="false">
      <c r="B12" s="3" t="s">
        <v>94</v>
      </c>
      <c r="C12" s="15" t="n">
        <v>470400</v>
      </c>
      <c r="D12" s="57" t="n">
        <f aca="false">ROUND('Quote Calculator'!$C$41,0)</f>
        <v>470400</v>
      </c>
      <c r="E12" s="58" t="n">
        <f aca="false">D12-C12</f>
        <v>0</v>
      </c>
      <c r="F12" s="4" t="str">
        <f aca="false">IF(ABS(E12)&lt;0.00000001,"PASS","FAIL")</f>
        <v>PASS</v>
      </c>
    </row>
    <row r="13" customFormat="false" ht="15" hidden="false" customHeight="false" outlineLevel="0" collapsed="false">
      <c r="B13" s="3" t="s">
        <v>379</v>
      </c>
      <c r="C13" s="15" t="n">
        <v>306600</v>
      </c>
      <c r="D13" s="57" t="n">
        <f aca="false">ROUND('Quote Calculator'!$C$42,0)</f>
        <v>306600</v>
      </c>
      <c r="E13" s="58" t="n">
        <f aca="false">D13-C13</f>
        <v>0</v>
      </c>
      <c r="F13" s="4" t="str">
        <f aca="false">IF(ABS(E13)&lt;0.00000001,"PASS","FAIL")</f>
        <v>PASS</v>
      </c>
    </row>
    <row r="14" customFormat="false" ht="15" hidden="false" customHeight="false" outlineLevel="0" collapsed="false">
      <c r="B14" s="3" t="s">
        <v>380</v>
      </c>
      <c r="C14" s="28" t="n">
        <v>0.185</v>
      </c>
      <c r="D14" s="59" t="n">
        <f aca="false">ROUND('Quote Calculator'!$C$40/'Quote Calculator'!$C$7,3)</f>
        <v>0.185</v>
      </c>
      <c r="E14" s="58" t="n">
        <f aca="false">D14-C14</f>
        <v>0</v>
      </c>
      <c r="F14" s="4" t="str">
        <f aca="false">IF(ABS(E14)&lt;0.00000001,"PASS","FAIL")</f>
        <v>PASS</v>
      </c>
    </row>
    <row r="15" customFormat="false" ht="15" hidden="false" customHeight="false" outlineLevel="0" collapsed="false">
      <c r="B15" s="3" t="s">
        <v>381</v>
      </c>
      <c r="C15" s="28" t="n">
        <v>0.073</v>
      </c>
      <c r="D15" s="59" t="n">
        <f aca="false">ROUND('Quote Calculator'!$C$42/'Quote Calculator'!$C$7,3)</f>
        <v>0.073</v>
      </c>
      <c r="E15" s="58" t="n">
        <f aca="false">D15-C15</f>
        <v>0</v>
      </c>
      <c r="F15" s="4" t="str">
        <f aca="false">IF(ABS(E15)&lt;0.00000001,"PASS","FAIL")</f>
        <v>PASS</v>
      </c>
    </row>
    <row r="16" customFormat="false" ht="15" hidden="false" customHeight="false" outlineLevel="0" collapsed="false">
      <c r="B16" s="2" t="s">
        <v>382</v>
      </c>
    </row>
    <row r="17" customFormat="false" ht="15" hidden="false" customHeight="false" outlineLevel="0" collapsed="false">
      <c r="B17" s="3" t="s">
        <v>383</v>
      </c>
      <c r="C17" s="18" t="n">
        <v>6.82</v>
      </c>
      <c r="D17" s="60" t="n">
        <f aca="false">ROUND('Quote Calculator'!$C$45,2)</f>
        <v>6.82</v>
      </c>
      <c r="E17" s="58" t="n">
        <f aca="false">D17-C17</f>
        <v>0</v>
      </c>
      <c r="F17" s="4" t="str">
        <f aca="false">IF(ABS(E17)&lt;0.00000001,"PASS","FAIL")</f>
        <v>PASS</v>
      </c>
    </row>
    <row r="18" customFormat="false" ht="15" hidden="false" customHeight="false" outlineLevel="0" collapsed="false">
      <c r="B18" s="3" t="s">
        <v>160</v>
      </c>
      <c r="C18" s="61" t="n">
        <v>116.8</v>
      </c>
      <c r="D18" s="62" t="n">
        <f aca="false">ROUND('Quote Calculator'!$C$46,1)</f>
        <v>116.8</v>
      </c>
      <c r="E18" s="58" t="n">
        <f aca="false">D18-C18</f>
        <v>0</v>
      </c>
      <c r="F18" s="4" t="str">
        <f aca="false">IF(ABS(E18)&lt;0.00000001,"PASS","FAIL")</f>
        <v>PASS</v>
      </c>
    </row>
    <row r="19" customFormat="false" ht="15" hidden="false" customHeight="false" outlineLevel="0" collapsed="false">
      <c r="B19" s="3" t="s">
        <v>284</v>
      </c>
      <c r="C19" s="15" t="n">
        <v>93304</v>
      </c>
      <c r="D19" s="57" t="n">
        <f aca="false">ROUND('Quote Calculator'!$C$48,0)</f>
        <v>93304</v>
      </c>
      <c r="E19" s="58" t="n">
        <f aca="false">D19-C19</f>
        <v>0</v>
      </c>
      <c r="F19" s="4" t="str">
        <f aca="false">IF(ABS(E19)&lt;0.00000001,"PASS","FAIL")</f>
        <v>PASS</v>
      </c>
    </row>
    <row r="20" customFormat="false" ht="15" hidden="false" customHeight="false" outlineLevel="0" collapsed="false">
      <c r="B20" s="3" t="s">
        <v>155</v>
      </c>
      <c r="C20" s="15" t="n">
        <v>137074</v>
      </c>
      <c r="D20" s="57" t="n">
        <f aca="false">ROUND('Quote Calculator'!$C$52,0)</f>
        <v>137074</v>
      </c>
      <c r="E20" s="58" t="n">
        <f aca="false">D20-C20</f>
        <v>0</v>
      </c>
      <c r="F20" s="4" t="str">
        <f aca="false">IF(ABS(E20)&lt;0.00000001,"PASS","FAIL")</f>
        <v>PASS</v>
      </c>
    </row>
    <row r="21" customFormat="false" ht="15" hidden="false" customHeight="false" outlineLevel="0" collapsed="false">
      <c r="B21" s="3" t="s">
        <v>156</v>
      </c>
      <c r="C21" s="15" t="n">
        <v>1979</v>
      </c>
      <c r="D21" s="57" t="n">
        <f aca="false">ROUND('Quote Calculator'!$C$53,0)</f>
        <v>1979</v>
      </c>
      <c r="E21" s="58" t="n">
        <f aca="false">D21-C21</f>
        <v>0</v>
      </c>
      <c r="F21" s="4" t="str">
        <f aca="false">IF(ABS(E21)&lt;0.00000001,"PASS","FAIL")</f>
        <v>PASS</v>
      </c>
    </row>
    <row r="22" customFormat="false" ht="15" hidden="false" customHeight="false" outlineLevel="0" collapsed="false">
      <c r="B22" s="3" t="s">
        <v>157</v>
      </c>
      <c r="C22" s="15" t="n">
        <v>232358</v>
      </c>
      <c r="D22" s="57" t="n">
        <f aca="false">ROUND('Quote Calculator'!$C$54,0)</f>
        <v>232358</v>
      </c>
      <c r="E22" s="58" t="n">
        <f aca="false">D22-C22</f>
        <v>0</v>
      </c>
      <c r="F22" s="4" t="str">
        <f aca="false">IF(ABS(E22)&lt;0.00000001,"PASS","FAIL")</f>
        <v>PASS</v>
      </c>
    </row>
    <row r="23" customFormat="false" ht="15" hidden="false" customHeight="false" outlineLevel="0" collapsed="false">
      <c r="B23" s="3" t="s">
        <v>158</v>
      </c>
      <c r="C23" s="15" t="n">
        <v>74242</v>
      </c>
      <c r="D23" s="57" t="n">
        <f aca="false">ROUND('Quote Calculator'!$C$55,0)</f>
        <v>74242</v>
      </c>
      <c r="E23" s="58" t="n">
        <f aca="false">D23-C23</f>
        <v>0</v>
      </c>
      <c r="F23" s="4" t="str">
        <f aca="false">IF(ABS(E23)&lt;0.00000001,"PASS","FAIL")</f>
        <v>PASS</v>
      </c>
    </row>
    <row r="24" customFormat="false" ht="15" hidden="false" customHeight="false" outlineLevel="0" collapsed="false">
      <c r="B24" s="3" t="s">
        <v>159</v>
      </c>
      <c r="C24" s="28" t="n">
        <v>0.0177</v>
      </c>
      <c r="D24" s="59" t="n">
        <f aca="false">ROUND('Quote Calculator'!$C$56,4)</f>
        <v>0.0177</v>
      </c>
      <c r="E24" s="58" t="n">
        <f aca="false">D24-C24</f>
        <v>0</v>
      </c>
      <c r="F24" s="4" t="str">
        <f aca="false">IF(ABS(E24)&lt;0.00000001,"PASS","FAIL")</f>
        <v>PASS</v>
      </c>
    </row>
    <row r="25" customFormat="false" ht="15" hidden="false" customHeight="false" outlineLevel="0" collapsed="false">
      <c r="B25" s="3" t="s">
        <v>116</v>
      </c>
      <c r="C25" s="28" t="n">
        <v>0.758</v>
      </c>
      <c r="D25" s="59" t="n">
        <f aca="false">ROUND('Quote Calculator'!$C$57,3)</f>
        <v>0.758</v>
      </c>
      <c r="E25" s="58" t="n">
        <f aca="false">D25-C25</f>
        <v>0</v>
      </c>
      <c r="F25" s="4" t="str">
        <f aca="false">IF(ABS(E25)&lt;0.00000001,"PASS","FAIL")</f>
        <v>PASS</v>
      </c>
    </row>
    <row r="26" customFormat="false" ht="15" hidden="false" customHeight="false" outlineLevel="0" collapsed="false">
      <c r="B26" s="3" t="s">
        <v>117</v>
      </c>
      <c r="C26" s="28" t="n">
        <v>0.1705</v>
      </c>
      <c r="D26" s="59" t="n">
        <f aca="false">ROUND('Quote Calculator'!$C$58,4)</f>
        <v>0.1705</v>
      </c>
      <c r="E26" s="58" t="n">
        <f aca="false">D26-C26</f>
        <v>0</v>
      </c>
      <c r="F26" s="4" t="str">
        <f aca="false">IF(ABS(E26)&lt;0.00000001,"PASS","FAIL")</f>
        <v>PASS</v>
      </c>
    </row>
    <row r="27" customFormat="false" ht="15" hidden="false" customHeight="false" outlineLevel="0" collapsed="false">
      <c r="B27" s="3" t="s">
        <v>384</v>
      </c>
      <c r="C27" s="15" t="n">
        <v>74242</v>
      </c>
      <c r="D27" s="57" t="n">
        <f aca="false">ROUND('Quote Calculator'!$C$42-'Quote Calculator'!$C$54,0)</f>
        <v>74242</v>
      </c>
      <c r="E27" s="58" t="n">
        <f aca="false">D27-C27</f>
        <v>0</v>
      </c>
      <c r="F27" s="4" t="str">
        <f aca="false">IF(ABS(E27)&lt;0.00000001,"PASS","FAIL")</f>
        <v>PASS</v>
      </c>
    </row>
    <row r="28" customFormat="false" ht="15" hidden="false" customHeight="false" outlineLevel="0" collapsed="false">
      <c r="B28" s="3" t="s">
        <v>385</v>
      </c>
      <c r="C28" s="15" t="n">
        <v>192</v>
      </c>
      <c r="D28" s="57" t="n">
        <f aca="false">ROUND('Quote Calculator'!$C$70,0)</f>
        <v>192</v>
      </c>
      <c r="E28" s="58" t="n">
        <f aca="false">D28-C28</f>
        <v>0</v>
      </c>
      <c r="F28" s="4" t="str">
        <f aca="false">IF(ABS(E28)&lt;0.00000001,"PASS","FAIL")</f>
        <v>PASS</v>
      </c>
    </row>
    <row r="29" customFormat="false" ht="15" hidden="false" customHeight="false" outlineLevel="0" collapsed="false">
      <c r="B29" s="2" t="s">
        <v>386</v>
      </c>
    </row>
    <row r="30" customFormat="false" ht="15" hidden="false" customHeight="false" outlineLevel="0" collapsed="false">
      <c r="B30" s="3" t="s">
        <v>387</v>
      </c>
      <c r="C30" s="15" t="n">
        <v>96600</v>
      </c>
      <c r="D30" s="57" t="n">
        <f aca="false">ROUND('Quote Calculator'!$C$50,0)</f>
        <v>96600</v>
      </c>
      <c r="E30" s="58" t="n">
        <f aca="false">D30-C30</f>
        <v>0</v>
      </c>
      <c r="F30" s="4" t="str">
        <f aca="false">IF(ABS(E30)&lt;0.00000001,"PASS","FAIL")</f>
        <v>PASS</v>
      </c>
    </row>
    <row r="31" customFormat="false" ht="15" hidden="false" customHeight="false" outlineLevel="0" collapsed="false">
      <c r="B31" s="3" t="s">
        <v>119</v>
      </c>
      <c r="C31" s="15" t="n">
        <v>4103400</v>
      </c>
      <c r="D31" s="57" t="n">
        <f aca="false">ROUND('Quote Calculator'!$C$59,0)</f>
        <v>4103400</v>
      </c>
      <c r="E31" s="58" t="n">
        <f aca="false">D31-C31</f>
        <v>0</v>
      </c>
      <c r="F31" s="4" t="str">
        <f aca="false">IF(ABS(E31)&lt;0.00000001,"PASS","FAIL")</f>
        <v>PASS</v>
      </c>
    </row>
    <row r="32" customFormat="false" ht="15" hidden="false" customHeight="false" outlineLevel="0" collapsed="false">
      <c r="B32" s="3" t="s">
        <v>388</v>
      </c>
      <c r="C32" s="28" t="n">
        <v>0.070624</v>
      </c>
      <c r="D32" s="59" t="n">
        <f aca="false">ROUND('Quote Calculator'!$C$60,6)</f>
        <v>0.070624</v>
      </c>
      <c r="E32" s="58" t="n">
        <f aca="false">D32-C32</f>
        <v>0</v>
      </c>
      <c r="F32" s="4" t="str">
        <f aca="false">IF(ABS(E32)&lt;0.00000001,"PASS","FAIL")</f>
        <v>PASS</v>
      </c>
    </row>
    <row r="33" customFormat="false" ht="15" hidden="false" customHeight="false" outlineLevel="0" collapsed="false">
      <c r="B33" s="2" t="s">
        <v>389</v>
      </c>
    </row>
    <row r="34" customFormat="false" ht="15" hidden="false" customHeight="false" outlineLevel="0" collapsed="false">
      <c r="B34" s="3" t="s">
        <v>102</v>
      </c>
      <c r="C34" s="15" t="n">
        <v>125</v>
      </c>
      <c r="D34" s="57" t="n">
        <f aca="false">ROUND('Days of Credit'!C10,0)</f>
        <v>125</v>
      </c>
      <c r="E34" s="58" t="n">
        <f aca="false">D34-C34</f>
        <v>0</v>
      </c>
      <c r="F34" s="4" t="str">
        <f aca="false">IF(ABS(E34)&lt;0.00000001,"PASS","FAIL")</f>
        <v>PASS</v>
      </c>
    </row>
    <row r="35" customFormat="false" ht="15" hidden="false" customHeight="false" outlineLevel="0" collapsed="false">
      <c r="B35" s="3" t="s">
        <v>390</v>
      </c>
      <c r="C35" s="15" t="n">
        <v>26979</v>
      </c>
      <c r="D35" s="57" t="n">
        <f aca="false">ROUND('Days of Credit'!E10,0)</f>
        <v>26979</v>
      </c>
      <c r="E35" s="58" t="n">
        <f aca="false">D35-C35</f>
        <v>0</v>
      </c>
      <c r="F35" s="4" t="str">
        <f aca="false">IF(ABS(E35)&lt;0.00000001,"PASS","FAIL")</f>
        <v>PASS</v>
      </c>
    </row>
    <row r="36" customFormat="false" ht="15" hidden="false" customHeight="false" outlineLevel="0" collapsed="false">
      <c r="B36" s="2" t="s">
        <v>391</v>
      </c>
    </row>
    <row r="37" customFormat="false" ht="15" hidden="false" customHeight="false" outlineLevel="0" collapsed="false">
      <c r="B37" s="3" t="s">
        <v>392</v>
      </c>
      <c r="C37" s="15" t="n">
        <v>108543</v>
      </c>
      <c r="D37" s="57" t="n">
        <f aca="false">ROUND('Days of Credit'!J7,0)</f>
        <v>108543</v>
      </c>
      <c r="E37" s="58" t="n">
        <f aca="false">D37-C37</f>
        <v>0</v>
      </c>
      <c r="F37" s="4" t="str">
        <f aca="false">IF(ABS(E37)&lt;0.00000001,"PASS","FAIL")</f>
        <v>PASS</v>
      </c>
    </row>
    <row r="38" customFormat="false" ht="15" hidden="false" customHeight="false" outlineLevel="0" collapsed="false">
      <c r="B38" s="3" t="s">
        <v>393</v>
      </c>
      <c r="C38" s="15" t="n">
        <v>139498</v>
      </c>
      <c r="D38" s="57" t="n">
        <f aca="false">ROUND('Days of Credit'!J8,0)</f>
        <v>139498</v>
      </c>
      <c r="E38" s="58" t="n">
        <f aca="false">D38-C38</f>
        <v>0</v>
      </c>
      <c r="F38" s="4" t="str">
        <f aca="false">IF(ABS(E38)&lt;0.00000001,"PASS","FAIL")</f>
        <v>PASS</v>
      </c>
    </row>
    <row r="39" customFormat="false" ht="15" hidden="false" customHeight="false" outlineLevel="0" collapsed="false">
      <c r="B39" s="3" t="s">
        <v>394</v>
      </c>
      <c r="C39" s="15" t="n">
        <v>170452</v>
      </c>
      <c r="D39" s="57" t="n">
        <f aca="false">ROUND('Days of Credit'!J9,0)</f>
        <v>170452</v>
      </c>
      <c r="E39" s="58" t="n">
        <f aca="false">D39-C39</f>
        <v>0</v>
      </c>
      <c r="F39" s="4" t="str">
        <f aca="false">IF(ABS(E39)&lt;0.00000001,"PASS","FAIL")</f>
        <v>PASS</v>
      </c>
    </row>
    <row r="40" customFormat="false" ht="15" hidden="false" customHeight="false" outlineLevel="0" collapsed="false">
      <c r="B40" s="3" t="s">
        <v>395</v>
      </c>
      <c r="C40" s="15" t="n">
        <v>201406</v>
      </c>
      <c r="D40" s="57" t="n">
        <f aca="false">ROUND('Days of Credit'!J10,0)</f>
        <v>201406</v>
      </c>
      <c r="E40" s="58" t="n">
        <f aca="false">D40-C40</f>
        <v>0</v>
      </c>
      <c r="F40" s="4" t="str">
        <f aca="false">IF(ABS(E40)&lt;0.00000001,"PASS","FAIL")</f>
        <v>PASS</v>
      </c>
    </row>
    <row r="41" customFormat="false" ht="15" hidden="false" customHeight="false" outlineLevel="0" collapsed="false">
      <c r="B41" s="3" t="s">
        <v>396</v>
      </c>
      <c r="C41" s="15" t="n">
        <v>219977</v>
      </c>
      <c r="D41" s="57" t="n">
        <f aca="false">ROUND('Days of Credit'!J11,0)</f>
        <v>219977</v>
      </c>
      <c r="E41" s="58" t="n">
        <f aca="false">D41-C41</f>
        <v>0</v>
      </c>
      <c r="F41" s="4" t="str">
        <f aca="false">IF(ABS(E41)&lt;0.00000001,"PASS","FAIL")</f>
        <v>PASS</v>
      </c>
    </row>
    <row r="42" customFormat="false" ht="15" hidden="false" customHeight="false" outlineLevel="0" collapsed="false">
      <c r="B42" s="3" t="s">
        <v>397</v>
      </c>
      <c r="C42" s="15" t="n">
        <v>232358</v>
      </c>
      <c r="D42" s="57" t="n">
        <f aca="false">ROUND('Days of Credit'!J12,0)</f>
        <v>232358</v>
      </c>
      <c r="E42" s="58" t="n">
        <f aca="false">D42-C42</f>
        <v>0</v>
      </c>
      <c r="F42" s="4" t="str">
        <f aca="false">IF(ABS(E42)&lt;0.00000001,"PASS","FAIL")</f>
        <v>PASS</v>
      </c>
    </row>
    <row r="43" customFormat="false" ht="15" hidden="false" customHeight="false" outlineLevel="0" collapsed="false">
      <c r="B43" s="3" t="s">
        <v>398</v>
      </c>
      <c r="C43" s="15" t="n">
        <v>294258</v>
      </c>
      <c r="D43" s="57" t="n">
        <f aca="false">ROUND('Days of Credit'!J13,0)</f>
        <v>294258</v>
      </c>
      <c r="E43" s="58" t="n">
        <f aca="false">D43-C43</f>
        <v>0</v>
      </c>
      <c r="F43" s="4" t="str">
        <f aca="false">IF(ABS(E43)&lt;0.00000001,"PASS","FAIL")</f>
        <v>PASS</v>
      </c>
    </row>
    <row r="44" customFormat="false" ht="15" hidden="false" customHeight="false" outlineLevel="0" collapsed="false">
      <c r="B44" s="2" t="s">
        <v>399</v>
      </c>
    </row>
    <row r="45" customFormat="false" ht="15" hidden="false" customHeight="false" outlineLevel="0" collapsed="false">
      <c r="B45" s="3" t="s">
        <v>392</v>
      </c>
      <c r="C45" s="15" t="n">
        <v>198057</v>
      </c>
      <c r="D45" s="57" t="n">
        <f aca="false">ROUND('Days of Credit'!K7,0)</f>
        <v>198057</v>
      </c>
      <c r="E45" s="58" t="n">
        <f aca="false">D45-C45</f>
        <v>0</v>
      </c>
      <c r="F45" s="4" t="str">
        <f aca="false">IF(ABS(E45)&lt;0.00000001,"PASS","FAIL")</f>
        <v>PASS</v>
      </c>
    </row>
    <row r="46" customFormat="false" ht="15" hidden="false" customHeight="false" outlineLevel="0" collapsed="false">
      <c r="B46" s="3" t="s">
        <v>393</v>
      </c>
      <c r="C46" s="15" t="n">
        <v>167102</v>
      </c>
      <c r="D46" s="57" t="n">
        <f aca="false">ROUND('Days of Credit'!K8,0)</f>
        <v>167102</v>
      </c>
      <c r="E46" s="58" t="n">
        <f aca="false">D46-C46</f>
        <v>0</v>
      </c>
      <c r="F46" s="4" t="str">
        <f aca="false">IF(ABS(E46)&lt;0.00000001,"PASS","FAIL")</f>
        <v>PASS</v>
      </c>
    </row>
    <row r="47" customFormat="false" ht="15" hidden="false" customHeight="false" outlineLevel="0" collapsed="false">
      <c r="B47" s="3" t="s">
        <v>394</v>
      </c>
      <c r="C47" s="15" t="n">
        <v>136148</v>
      </c>
      <c r="D47" s="57" t="n">
        <f aca="false">ROUND('Days of Credit'!K9,0)</f>
        <v>136148</v>
      </c>
      <c r="E47" s="58" t="n">
        <f aca="false">D47-C47</f>
        <v>0</v>
      </c>
      <c r="F47" s="4" t="str">
        <f aca="false">IF(ABS(E47)&lt;0.00000001,"PASS","FAIL")</f>
        <v>PASS</v>
      </c>
    </row>
    <row r="48" customFormat="false" ht="15" hidden="false" customHeight="false" outlineLevel="0" collapsed="false">
      <c r="B48" s="3" t="s">
        <v>395</v>
      </c>
      <c r="C48" s="15" t="n">
        <v>105194</v>
      </c>
      <c r="D48" s="57" t="n">
        <f aca="false">ROUND('Days of Credit'!K10,0)</f>
        <v>105194</v>
      </c>
      <c r="E48" s="58" t="n">
        <f aca="false">D48-C48</f>
        <v>0</v>
      </c>
      <c r="F48" s="4" t="str">
        <f aca="false">IF(ABS(E48)&lt;0.00000001,"PASS","FAIL")</f>
        <v>PASS</v>
      </c>
    </row>
    <row r="49" customFormat="false" ht="15" hidden="false" customHeight="false" outlineLevel="0" collapsed="false">
      <c r="B49" s="3" t="s">
        <v>396</v>
      </c>
      <c r="C49" s="15" t="n">
        <v>86623</v>
      </c>
      <c r="D49" s="57" t="n">
        <f aca="false">ROUND('Days of Credit'!K11,0)</f>
        <v>86623</v>
      </c>
      <c r="E49" s="58" t="n">
        <f aca="false">D49-C49</f>
        <v>0</v>
      </c>
      <c r="F49" s="4" t="str">
        <f aca="false">IF(ABS(E49)&lt;0.00000001,"PASS","FAIL")</f>
        <v>PASS</v>
      </c>
    </row>
    <row r="50" customFormat="false" ht="15" hidden="false" customHeight="false" outlineLevel="0" collapsed="false">
      <c r="B50" s="3" t="s">
        <v>397</v>
      </c>
      <c r="C50" s="15" t="n">
        <v>74242</v>
      </c>
      <c r="D50" s="57" t="n">
        <f aca="false">ROUND('Days of Credit'!K12,0)</f>
        <v>74242</v>
      </c>
      <c r="E50" s="58" t="n">
        <f aca="false">D50-C50</f>
        <v>0</v>
      </c>
      <c r="F50" s="4" t="str">
        <f aca="false">IF(ABS(E50)&lt;0.00000001,"PASS","FAIL")</f>
        <v>PASS</v>
      </c>
    </row>
    <row r="51" customFormat="false" ht="15" hidden="false" customHeight="false" outlineLevel="0" collapsed="false">
      <c r="B51" s="3" t="s">
        <v>398</v>
      </c>
      <c r="C51" s="15" t="n">
        <v>12342</v>
      </c>
      <c r="D51" s="57" t="n">
        <f aca="false">ROUND('Days of Credit'!K13,0)</f>
        <v>12342</v>
      </c>
      <c r="E51" s="58" t="n">
        <f aca="false">D51-C51</f>
        <v>0</v>
      </c>
      <c r="F51" s="4" t="str">
        <f aca="false">IF(ABS(E51)&lt;0.00000001,"PASS","FAIL")</f>
        <v>PASS</v>
      </c>
    </row>
    <row r="52" customFormat="false" ht="15" hidden="false" customHeight="false" outlineLevel="0" collapsed="false">
      <c r="B52" s="2" t="s">
        <v>400</v>
      </c>
    </row>
    <row r="53" customFormat="false" ht="15" hidden="false" customHeight="false" outlineLevel="0" collapsed="false">
      <c r="B53" s="3" t="s">
        <v>392</v>
      </c>
      <c r="C53" s="28" t="n">
        <v>0.0472</v>
      </c>
      <c r="D53" s="59" t="n">
        <f aca="false">ROUND('Days of Credit'!L7,4)</f>
        <v>0.0472</v>
      </c>
      <c r="E53" s="58" t="n">
        <f aca="false">D53-C53</f>
        <v>0</v>
      </c>
      <c r="F53" s="4" t="str">
        <f aca="false">IF(ABS(E53)&lt;0.00000001,"PASS","FAIL")</f>
        <v>PASS</v>
      </c>
    </row>
    <row r="54" customFormat="false" ht="15" hidden="false" customHeight="false" outlineLevel="0" collapsed="false">
      <c r="B54" s="3" t="s">
        <v>393</v>
      </c>
      <c r="C54" s="28" t="n">
        <v>0.0398</v>
      </c>
      <c r="D54" s="59" t="n">
        <f aca="false">ROUND('Days of Credit'!L8,4)</f>
        <v>0.0398</v>
      </c>
      <c r="E54" s="58" t="n">
        <f aca="false">D54-C54</f>
        <v>0</v>
      </c>
      <c r="F54" s="4" t="str">
        <f aca="false">IF(ABS(E54)&lt;0.00000001,"PASS","FAIL")</f>
        <v>PASS</v>
      </c>
    </row>
    <row r="55" customFormat="false" ht="15" hidden="false" customHeight="false" outlineLevel="0" collapsed="false">
      <c r="B55" s="3" t="s">
        <v>394</v>
      </c>
      <c r="C55" s="28" t="n">
        <v>0.0324</v>
      </c>
      <c r="D55" s="59" t="n">
        <f aca="false">ROUND('Days of Credit'!L9,4)</f>
        <v>0.0324</v>
      </c>
      <c r="E55" s="58" t="n">
        <f aca="false">D55-C55</f>
        <v>0</v>
      </c>
      <c r="F55" s="4" t="str">
        <f aca="false">IF(ABS(E55)&lt;0.00000001,"PASS","FAIL")</f>
        <v>PASS</v>
      </c>
    </row>
    <row r="56" customFormat="false" ht="15" hidden="false" customHeight="false" outlineLevel="0" collapsed="false">
      <c r="B56" s="3" t="s">
        <v>395</v>
      </c>
      <c r="C56" s="28" t="n">
        <v>0.025</v>
      </c>
      <c r="D56" s="59" t="n">
        <f aca="false">ROUND('Days of Credit'!L10,4)</f>
        <v>0.025</v>
      </c>
      <c r="E56" s="58" t="n">
        <f aca="false">D56-C56</f>
        <v>0</v>
      </c>
      <c r="F56" s="4" t="str">
        <f aca="false">IF(ABS(E56)&lt;0.00000001,"PASS","FAIL")</f>
        <v>PASS</v>
      </c>
    </row>
    <row r="57" customFormat="false" ht="15" hidden="false" customHeight="false" outlineLevel="0" collapsed="false">
      <c r="B57" s="3" t="s">
        <v>396</v>
      </c>
      <c r="C57" s="28" t="n">
        <v>0.0206</v>
      </c>
      <c r="D57" s="59" t="n">
        <f aca="false">ROUND('Days of Credit'!L11,4)</f>
        <v>0.0206</v>
      </c>
      <c r="E57" s="58" t="n">
        <f aca="false">D57-C57</f>
        <v>0</v>
      </c>
      <c r="F57" s="4" t="str">
        <f aca="false">IF(ABS(E57)&lt;0.00000001,"PASS","FAIL")</f>
        <v>PASS</v>
      </c>
    </row>
    <row r="58" customFormat="false" ht="15" hidden="false" customHeight="false" outlineLevel="0" collapsed="false">
      <c r="B58" s="3" t="s">
        <v>397</v>
      </c>
      <c r="C58" s="28" t="n">
        <v>0.0177</v>
      </c>
      <c r="D58" s="59" t="n">
        <f aca="false">ROUND('Days of Credit'!L12,4)</f>
        <v>0.0177</v>
      </c>
      <c r="E58" s="58" t="n">
        <f aca="false">D58-C58</f>
        <v>0</v>
      </c>
      <c r="F58" s="4" t="str">
        <f aca="false">IF(ABS(E58)&lt;0.00000001,"PASS","FAIL")</f>
        <v>PASS</v>
      </c>
    </row>
    <row r="59" customFormat="false" ht="15" hidden="false" customHeight="false" outlineLevel="0" collapsed="false">
      <c r="B59" s="3" t="s">
        <v>398</v>
      </c>
      <c r="C59" s="28" t="n">
        <v>0.0029</v>
      </c>
      <c r="D59" s="59" t="n">
        <f aca="false">ROUND('Days of Credit'!L13,4)</f>
        <v>0.0029</v>
      </c>
      <c r="E59" s="58" t="n">
        <f aca="false">D59-C59</f>
        <v>0</v>
      </c>
      <c r="F59" s="4" t="str">
        <f aca="false">IF(ABS(E59)&lt;0.00000001,"PASS","FAIL")</f>
        <v>PASS</v>
      </c>
    </row>
    <row r="60" customFormat="false" ht="15" hidden="false" customHeight="false" outlineLevel="0" collapsed="false">
      <c r="B60" s="2" t="s">
        <v>401</v>
      </c>
    </row>
    <row r="61" customFormat="false" ht="15" hidden="false" customHeight="false" outlineLevel="0" collapsed="false">
      <c r="B61" s="3" t="s">
        <v>392</v>
      </c>
      <c r="C61" s="61" t="n">
        <v>116.8</v>
      </c>
      <c r="D61" s="62" t="n">
        <f aca="false">ROUND('Days of Credit'!M7,1)</f>
        <v>116.8</v>
      </c>
      <c r="E61" s="58" t="n">
        <f aca="false">D61-C61</f>
        <v>0</v>
      </c>
      <c r="F61" s="4" t="str">
        <f aca="false">IF(ABS(E61)&lt;0.00000001,"PASS","FAIL")</f>
        <v>PASS</v>
      </c>
    </row>
    <row r="62" customFormat="false" ht="15" hidden="false" customHeight="false" outlineLevel="0" collapsed="false">
      <c r="B62" s="3" t="s">
        <v>393</v>
      </c>
      <c r="C62" s="61" t="n">
        <v>116.8</v>
      </c>
      <c r="D62" s="62" t="n">
        <f aca="false">ROUND('Days of Credit'!M8,1)</f>
        <v>116.8</v>
      </c>
      <c r="E62" s="58" t="n">
        <f aca="false">D62-C62</f>
        <v>0</v>
      </c>
      <c r="F62" s="4" t="str">
        <f aca="false">IF(ABS(E62)&lt;0.00000001,"PASS","FAIL")</f>
        <v>PASS</v>
      </c>
    </row>
    <row r="63" customFormat="false" ht="15" hidden="false" customHeight="false" outlineLevel="0" collapsed="false">
      <c r="B63" s="3" t="s">
        <v>394</v>
      </c>
      <c r="C63" s="61" t="n">
        <v>116.8</v>
      </c>
      <c r="D63" s="62" t="n">
        <f aca="false">ROUND('Days of Credit'!M9,1)</f>
        <v>116.8</v>
      </c>
      <c r="E63" s="58" t="n">
        <f aca="false">D63-C63</f>
        <v>0</v>
      </c>
      <c r="F63" s="4" t="str">
        <f aca="false">IF(ABS(E63)&lt;0.00000001,"PASS","FAIL")</f>
        <v>PASS</v>
      </c>
    </row>
    <row r="64" customFormat="false" ht="15" hidden="false" customHeight="false" outlineLevel="0" collapsed="false">
      <c r="B64" s="3" t="s">
        <v>395</v>
      </c>
      <c r="C64" s="61" t="n">
        <v>116.8</v>
      </c>
      <c r="D64" s="62" t="n">
        <f aca="false">ROUND('Days of Credit'!M10,1)</f>
        <v>116.8</v>
      </c>
      <c r="E64" s="58" t="n">
        <f aca="false">D64-C64</f>
        <v>0</v>
      </c>
      <c r="F64" s="4" t="str">
        <f aca="false">IF(ABS(E64)&lt;0.00000001,"PASS","FAIL")</f>
        <v>PASS</v>
      </c>
    </row>
    <row r="65" customFormat="false" ht="15" hidden="false" customHeight="false" outlineLevel="0" collapsed="false">
      <c r="B65" s="3" t="s">
        <v>396</v>
      </c>
      <c r="C65" s="61" t="n">
        <v>116.8</v>
      </c>
      <c r="D65" s="62" t="n">
        <f aca="false">ROUND('Days of Credit'!M11,1)</f>
        <v>116.8</v>
      </c>
      <c r="E65" s="58" t="n">
        <f aca="false">D65-C65</f>
        <v>0</v>
      </c>
      <c r="F65" s="4" t="str">
        <f aca="false">IF(ABS(E65)&lt;0.00000001,"PASS","FAIL")</f>
        <v>PASS</v>
      </c>
    </row>
    <row r="66" customFormat="false" ht="15" hidden="false" customHeight="false" outlineLevel="0" collapsed="false">
      <c r="B66" s="3" t="s">
        <v>397</v>
      </c>
      <c r="C66" s="61" t="n">
        <v>116.8</v>
      </c>
      <c r="D66" s="62" t="n">
        <f aca="false">ROUND('Days of Credit'!M12,1)</f>
        <v>116.8</v>
      </c>
      <c r="E66" s="58" t="n">
        <f aca="false">D66-C66</f>
        <v>0</v>
      </c>
      <c r="F66" s="4" t="str">
        <f aca="false">IF(ABS(E66)&lt;0.00000001,"PASS","FAIL")</f>
        <v>PASS</v>
      </c>
    </row>
    <row r="67" customFormat="false" ht="15" hidden="false" customHeight="false" outlineLevel="0" collapsed="false">
      <c r="B67" s="3" t="s">
        <v>398</v>
      </c>
      <c r="C67" s="61" t="n">
        <v>116.8</v>
      </c>
      <c r="D67" s="62" t="n">
        <f aca="false">ROUND('Days of Credit'!M13,1)</f>
        <v>116.8</v>
      </c>
      <c r="E67" s="58" t="n">
        <f aca="false">D67-C67</f>
        <v>0</v>
      </c>
      <c r="F67" s="4" t="str">
        <f aca="false">IF(ABS(E67)&lt;0.00000001,"PASS","FAIL")</f>
        <v>PASS</v>
      </c>
    </row>
    <row r="68" customFormat="false" ht="15" hidden="false" customHeight="false" outlineLevel="0" collapsed="false">
      <c r="B68" s="2" t="s">
        <v>402</v>
      </c>
    </row>
    <row r="69" customFormat="false" ht="15" hidden="false" customHeight="false" outlineLevel="0" collapsed="false">
      <c r="B69" s="3" t="s">
        <v>392</v>
      </c>
      <c r="C69" s="28" t="n">
        <v>0.0796</v>
      </c>
      <c r="D69" s="59" t="n">
        <f aca="false">ROUND('Days of Credit'!N7,4)</f>
        <v>0.0796</v>
      </c>
      <c r="E69" s="58" t="n">
        <f aca="false">D69-C69</f>
        <v>0</v>
      </c>
      <c r="F69" s="4" t="str">
        <f aca="false">IF(ABS(E69)&lt;0.00000001,"PASS","FAIL")</f>
        <v>PASS</v>
      </c>
    </row>
    <row r="70" customFormat="false" ht="15" hidden="false" customHeight="false" outlineLevel="0" collapsed="false">
      <c r="B70" s="3" t="s">
        <v>393</v>
      </c>
      <c r="C70" s="28" t="n">
        <v>0.1024</v>
      </c>
      <c r="D70" s="59" t="n">
        <f aca="false">ROUND('Days of Credit'!N8,4)</f>
        <v>0.1024</v>
      </c>
      <c r="E70" s="58" t="n">
        <f aca="false">D70-C70</f>
        <v>0</v>
      </c>
      <c r="F70" s="4" t="str">
        <f aca="false">IF(ABS(E70)&lt;0.00000001,"PASS","FAIL")</f>
        <v>PASS</v>
      </c>
    </row>
    <row r="71" customFormat="false" ht="15" hidden="false" customHeight="false" outlineLevel="0" collapsed="false">
      <c r="B71" s="3" t="s">
        <v>394</v>
      </c>
      <c r="C71" s="28" t="n">
        <v>0.1251</v>
      </c>
      <c r="D71" s="59" t="n">
        <f aca="false">ROUND('Days of Credit'!N9,4)</f>
        <v>0.1251</v>
      </c>
      <c r="E71" s="58" t="n">
        <f aca="false">D71-C71</f>
        <v>0</v>
      </c>
      <c r="F71" s="4" t="str">
        <f aca="false">IF(ABS(E71)&lt;0.00000001,"PASS","FAIL")</f>
        <v>PASS</v>
      </c>
    </row>
    <row r="72" customFormat="false" ht="15" hidden="false" customHeight="false" outlineLevel="0" collapsed="false">
      <c r="B72" s="3" t="s">
        <v>395</v>
      </c>
      <c r="C72" s="28" t="n">
        <v>0.1478</v>
      </c>
      <c r="D72" s="59" t="n">
        <f aca="false">ROUND('Days of Credit'!N10,4)</f>
        <v>0.1478</v>
      </c>
      <c r="E72" s="58" t="n">
        <f aca="false">D72-C72</f>
        <v>0</v>
      </c>
      <c r="F72" s="4" t="str">
        <f aca="false">IF(ABS(E72)&lt;0.00000001,"PASS","FAIL")</f>
        <v>PASS</v>
      </c>
    </row>
    <row r="73" customFormat="false" ht="15" hidden="false" customHeight="false" outlineLevel="0" collapsed="false">
      <c r="B73" s="3" t="s">
        <v>396</v>
      </c>
      <c r="C73" s="28" t="n">
        <v>0.1614</v>
      </c>
      <c r="D73" s="59" t="n">
        <f aca="false">ROUND('Days of Credit'!N11,4)</f>
        <v>0.1614</v>
      </c>
      <c r="E73" s="58" t="n">
        <f aca="false">D73-C73</f>
        <v>0</v>
      </c>
      <c r="F73" s="4" t="str">
        <f aca="false">IF(ABS(E73)&lt;0.00000001,"PASS","FAIL")</f>
        <v>PASS</v>
      </c>
    </row>
    <row r="74" customFormat="false" ht="15" hidden="false" customHeight="false" outlineLevel="0" collapsed="false">
      <c r="B74" s="3" t="s">
        <v>397</v>
      </c>
      <c r="C74" s="28" t="n">
        <v>0.1705</v>
      </c>
      <c r="D74" s="59" t="n">
        <f aca="false">ROUND('Days of Credit'!N12,4)</f>
        <v>0.1705</v>
      </c>
      <c r="E74" s="58" t="n">
        <f aca="false">D74-C74</f>
        <v>0</v>
      </c>
      <c r="F74" s="4" t="str">
        <f aca="false">IF(ABS(E74)&lt;0.00000001,"PASS","FAIL")</f>
        <v>PASS</v>
      </c>
    </row>
    <row r="75" customFormat="false" ht="15" hidden="false" customHeight="false" outlineLevel="0" collapsed="false">
      <c r="B75" s="3" t="s">
        <v>398</v>
      </c>
      <c r="C75" s="28" t="n">
        <v>0.2159</v>
      </c>
      <c r="D75" s="59" t="n">
        <f aca="false">ROUND('Days of Credit'!N13,4)</f>
        <v>0.2159</v>
      </c>
      <c r="E75" s="58" t="n">
        <f aca="false">D75-C75</f>
        <v>0</v>
      </c>
      <c r="F75" s="4" t="str">
        <f aca="false">IF(ABS(E75)&lt;0.00000001,"PASS","FAIL")</f>
        <v>PASS</v>
      </c>
    </row>
    <row r="76" customFormat="false" ht="15" hidden="false" customHeight="false" outlineLevel="0" collapsed="false">
      <c r="B76" s="2" t="s">
        <v>403</v>
      </c>
    </row>
    <row r="77" customFormat="false" ht="15" hidden="false" customHeight="false" outlineLevel="0" collapsed="false">
      <c r="B77" s="3" t="s">
        <v>404</v>
      </c>
      <c r="C77" s="15" t="n">
        <v>185716</v>
      </c>
      <c r="D77" s="57" t="n">
        <f aca="false">ROUND('Days of Credit'!$H$19,0)</f>
        <v>185716</v>
      </c>
      <c r="E77" s="58" t="n">
        <f aca="false">D77-C77</f>
        <v>0</v>
      </c>
      <c r="F77" s="4" t="str">
        <f aca="false">IF(ABS(E77)&lt;0.00000001,"PASS","FAIL")</f>
        <v>PASS</v>
      </c>
    </row>
    <row r="78" customFormat="false" ht="15" hidden="false" customHeight="false" outlineLevel="0" collapsed="false">
      <c r="B78" s="3" t="s">
        <v>405</v>
      </c>
      <c r="C78" s="18" t="n">
        <v>1031.76</v>
      </c>
      <c r="D78" s="60" t="n">
        <f aca="false">ROUND('Days of Credit'!$H$21,2)</f>
        <v>1031.76</v>
      </c>
      <c r="E78" s="58" t="n">
        <f aca="false">D78-C78</f>
        <v>0</v>
      </c>
      <c r="F78" s="4" t="str">
        <f aca="false">IF(ABS(E78)&lt;0.00000001,"PASS","FAIL")</f>
        <v>PASS</v>
      </c>
    </row>
    <row r="79" customFormat="false" ht="15" hidden="false" customHeight="false" outlineLevel="0" collapsed="false">
      <c r="B79" s="3" t="s">
        <v>406</v>
      </c>
      <c r="C79" s="15" t="n">
        <v>30955</v>
      </c>
      <c r="D79" s="57" t="n">
        <f aca="false">ROUND('Days of Credit'!J8-'Days of Credit'!J7,0)</f>
        <v>30955</v>
      </c>
      <c r="E79" s="58" t="n">
        <f aca="false">D79-C79</f>
        <v>0</v>
      </c>
      <c r="F79" s="4" t="str">
        <f aca="false">IF(ABS(E79)&lt;0.00000001,"PASS","FAIL")</f>
        <v>PASS</v>
      </c>
    </row>
    <row r="80" customFormat="false" ht="15" hidden="false" customHeight="false" outlineLevel="0" collapsed="false">
      <c r="B80" s="3" t="s">
        <v>407</v>
      </c>
      <c r="C80" s="18" t="n">
        <v>1031.67</v>
      </c>
      <c r="D80" s="60" t="n">
        <f aca="false">ROUND('Days of Credit'!$H$25,2)</f>
        <v>1031.67</v>
      </c>
      <c r="E80" s="58" t="n">
        <f aca="false">D80-C80</f>
        <v>0</v>
      </c>
      <c r="F80" s="4" t="str">
        <f aca="false">IF(ABS(E80)&lt;0.00000001,"PASS","FAIL")</f>
        <v>PASS</v>
      </c>
    </row>
    <row r="81" customFormat="false" ht="15" hidden="false" customHeight="false" outlineLevel="0" collapsed="false">
      <c r="B81" s="3" t="s">
        <v>408</v>
      </c>
      <c r="C81" s="18" t="n">
        <v>1031.73</v>
      </c>
      <c r="D81" s="60" t="n">
        <f aca="false">ROUND('Days of Credit'!$H$26,2)</f>
        <v>1031.73</v>
      </c>
      <c r="E81" s="58" t="n">
        <f aca="false">D81-C81</f>
        <v>0</v>
      </c>
      <c r="F81" s="4" t="str">
        <f aca="false">IF(ABS(E81)&lt;0.00000001,"PASS","FAIL")</f>
        <v>PASS</v>
      </c>
    </row>
    <row r="82" customFormat="false" ht="15" hidden="false" customHeight="false" outlineLevel="0" collapsed="false">
      <c r="B82" s="2" t="s">
        <v>409</v>
      </c>
    </row>
    <row r="83" customFormat="false" ht="15" hidden="false" customHeight="false" outlineLevel="0" collapsed="false">
      <c r="B83" s="3" t="s">
        <v>410</v>
      </c>
      <c r="C83" s="15" t="n">
        <v>192</v>
      </c>
      <c r="D83" s="57" t="n">
        <f aca="false">ROUND('Break-evens'!$C$27,0)</f>
        <v>192</v>
      </c>
      <c r="E83" s="58" t="n">
        <f aca="false">D83-C83</f>
        <v>0</v>
      </c>
      <c r="F83" s="4" t="str">
        <f aca="false">IF(ABS(E83)&lt;0.00000001,"PASS","FAIL")</f>
        <v>PASS</v>
      </c>
    </row>
    <row r="84" customFormat="false" ht="15" hidden="false" customHeight="false" outlineLevel="0" collapsed="false">
      <c r="B84" s="3" t="s">
        <v>411</v>
      </c>
      <c r="C84" s="15" t="n">
        <v>204</v>
      </c>
      <c r="D84" s="57" t="n">
        <f aca="false">ROUND('Break-evens'!$C$53,0)</f>
        <v>204</v>
      </c>
      <c r="E84" s="58" t="n">
        <f aca="false">D84-C84</f>
        <v>0</v>
      </c>
      <c r="F84" s="4" t="str">
        <f aca="false">IF(ABS(E84)&lt;0.00000001,"PASS","FAIL")</f>
        <v>PASS</v>
      </c>
    </row>
    <row r="85" customFormat="false" ht="15" hidden="false" customHeight="false" outlineLevel="0" collapsed="false">
      <c r="B85" s="3" t="s">
        <v>195</v>
      </c>
      <c r="C85" s="15" t="n">
        <v>12</v>
      </c>
      <c r="D85" s="57" t="n">
        <f aca="false">ROUND('Break-evens'!$C$56,0)</f>
        <v>12</v>
      </c>
      <c r="E85" s="58" t="n">
        <f aca="false">D85-C85</f>
        <v>0</v>
      </c>
      <c r="F85" s="4" t="str">
        <f aca="false">IF(ABS(E85)&lt;0.00000001,"PASS","FAIL")</f>
        <v>PASS</v>
      </c>
    </row>
    <row r="86" customFormat="false" ht="15" hidden="false" customHeight="false" outlineLevel="0" collapsed="false">
      <c r="B86" s="3" t="s">
        <v>412</v>
      </c>
      <c r="C86" s="15" t="n">
        <v>26523</v>
      </c>
      <c r="D86" s="57" t="n">
        <f aca="false">ROUND('Break-evens'!$C$101,0)</f>
        <v>26523</v>
      </c>
      <c r="E86" s="58" t="n">
        <f aca="false">D86-C86</f>
        <v>0</v>
      </c>
      <c r="F86" s="4" t="str">
        <f aca="false">IF(ABS(E86)&lt;0.00000001,"PASS","FAIL")</f>
        <v>PASS</v>
      </c>
    </row>
    <row r="87" customFormat="false" ht="15" hidden="false" customHeight="false" outlineLevel="0" collapsed="false">
      <c r="B87" s="3" t="s">
        <v>413</v>
      </c>
      <c r="C87" s="15" t="n">
        <v>26523</v>
      </c>
      <c r="D87" s="57" t="n">
        <f aca="false">ROUND('Break-evens'!$C$104,0)</f>
        <v>26523</v>
      </c>
      <c r="E87" s="58" t="n">
        <f aca="false">D87-C87</f>
        <v>0</v>
      </c>
      <c r="F87" s="4" t="str">
        <f aca="false">IF(ABS(E87)&lt;0.00000001,"PASS","FAIL")</f>
        <v>PASS</v>
      </c>
    </row>
    <row r="88" customFormat="false" ht="15" hidden="false" customHeight="false" outlineLevel="0" collapsed="false">
      <c r="B88" s="2" t="s">
        <v>414</v>
      </c>
    </row>
    <row r="89" customFormat="false" ht="15" hidden="false" customHeight="false" outlineLevel="0" collapsed="false">
      <c r="B89" s="3" t="s">
        <v>393</v>
      </c>
      <c r="C89" s="43" t="n">
        <v>0.00745</v>
      </c>
      <c r="D89" s="63" t="n">
        <f aca="false">ROUND('The Price of a Term'!L12,5)</f>
        <v>0.00745</v>
      </c>
      <c r="E89" s="58" t="n">
        <f aca="false">D89-C89</f>
        <v>0</v>
      </c>
      <c r="F89" s="4" t="str">
        <f aca="false">IF(ABS(E89)&lt;0.00000001,"PASS","FAIL")</f>
        <v>PASS</v>
      </c>
    </row>
    <row r="90" customFormat="false" ht="15" hidden="false" customHeight="false" outlineLevel="0" collapsed="false">
      <c r="B90" s="3" t="s">
        <v>394</v>
      </c>
      <c r="C90" s="43" t="n">
        <v>0.01501</v>
      </c>
      <c r="D90" s="63" t="n">
        <f aca="false">ROUND('The Price of a Term'!L13,5)</f>
        <v>0.01501</v>
      </c>
      <c r="E90" s="58" t="n">
        <f aca="false">D90-C90</f>
        <v>0</v>
      </c>
      <c r="F90" s="4" t="str">
        <f aca="false">IF(ABS(E90)&lt;0.00000001,"PASS","FAIL")</f>
        <v>PASS</v>
      </c>
    </row>
    <row r="91" customFormat="false" ht="15" hidden="false" customHeight="false" outlineLevel="0" collapsed="false">
      <c r="B91" s="3" t="s">
        <v>395</v>
      </c>
      <c r="C91" s="43" t="n">
        <v>0.02268</v>
      </c>
      <c r="D91" s="63" t="n">
        <f aca="false">ROUND('The Price of a Term'!L14,5)</f>
        <v>0.02268</v>
      </c>
      <c r="E91" s="58" t="n">
        <f aca="false">D91-C91</f>
        <v>0</v>
      </c>
      <c r="F91" s="4" t="str">
        <f aca="false">IF(ABS(E91)&lt;0.00000001,"PASS","FAIL")</f>
        <v>PASS</v>
      </c>
    </row>
    <row r="92" customFormat="false" ht="15" hidden="false" customHeight="false" outlineLevel="0" collapsed="false">
      <c r="B92" s="3" t="s">
        <v>397</v>
      </c>
      <c r="C92" s="43" t="n">
        <v>0.03048</v>
      </c>
      <c r="D92" s="63" t="n">
        <f aca="false">ROUND('The Price of a Term'!L15,5)</f>
        <v>0.03048</v>
      </c>
      <c r="E92" s="58" t="n">
        <f aca="false">D92-C92</f>
        <v>0</v>
      </c>
      <c r="F92" s="4" t="str">
        <f aca="false">IF(ABS(E92)&lt;0.00000001,"PASS","FAIL")</f>
        <v>PASS</v>
      </c>
    </row>
    <row r="93" customFormat="false" ht="15" hidden="false" customHeight="false" outlineLevel="0" collapsed="false">
      <c r="B93" s="3" t="s">
        <v>398</v>
      </c>
      <c r="C93" s="43" t="n">
        <v>0.04642</v>
      </c>
      <c r="D93" s="63" t="n">
        <f aca="false">ROUND('The Price of a Term'!L16,5)</f>
        <v>0.04642</v>
      </c>
      <c r="E93" s="58" t="n">
        <f aca="false">D93-C93</f>
        <v>0</v>
      </c>
      <c r="F93" s="4" t="str">
        <f aca="false">IF(ABS(E93)&lt;0.00000001,"PASS","FAIL")</f>
        <v>PASS</v>
      </c>
    </row>
    <row r="94" customFormat="false" ht="15" hidden="false" customHeight="false" outlineLevel="0" collapsed="false">
      <c r="B94" s="3" t="s">
        <v>415</v>
      </c>
      <c r="C94" s="43" t="n">
        <v>0.07128</v>
      </c>
      <c r="D94" s="63" t="n">
        <f aca="false">ROUND('The Price of a Term'!L17,5)</f>
        <v>0.07128</v>
      </c>
      <c r="E94" s="58" t="n">
        <f aca="false">D94-C94</f>
        <v>0</v>
      </c>
      <c r="F94" s="4" t="str">
        <f aca="false">IF(ABS(E94)&lt;0.00000001,"PASS","FAIL")</f>
        <v>PASS</v>
      </c>
    </row>
    <row r="95" customFormat="false" ht="15" hidden="false" customHeight="false" outlineLevel="0" collapsed="false">
      <c r="B95" s="3" t="s">
        <v>416</v>
      </c>
      <c r="C95" s="43" t="n">
        <v>0.09735</v>
      </c>
      <c r="D95" s="63" t="n">
        <f aca="false">ROUND('The Price of a Term'!L18,5)</f>
        <v>0.09735</v>
      </c>
      <c r="E95" s="58" t="n">
        <f aca="false">D95-C95</f>
        <v>0</v>
      </c>
      <c r="F95" s="4" t="str">
        <f aca="false">IF(ABS(E95)&lt;0.00000001,"PASS","FAIL")</f>
        <v>PASS</v>
      </c>
    </row>
    <row r="96" customFormat="false" ht="15" hidden="false" customHeight="false" outlineLevel="0" collapsed="false">
      <c r="B96" s="2" t="s">
        <v>417</v>
      </c>
    </row>
    <row r="97" customFormat="false" ht="15" hidden="false" customHeight="false" outlineLevel="0" collapsed="false">
      <c r="B97" s="3" t="s">
        <v>393</v>
      </c>
      <c r="C97" s="15" t="n">
        <v>31286</v>
      </c>
      <c r="D97" s="57" t="n">
        <f aca="false">ROUND('The Price of a Term'!M12,0)</f>
        <v>31286</v>
      </c>
      <c r="E97" s="58" t="n">
        <f aca="false">D97-C97</f>
        <v>0</v>
      </c>
      <c r="F97" s="4" t="str">
        <f aca="false">IF(ABS(E97)&lt;0.00000001,"PASS","FAIL")</f>
        <v>PASS</v>
      </c>
    </row>
    <row r="98" customFormat="false" ht="15" hidden="false" customHeight="false" outlineLevel="0" collapsed="false">
      <c r="B98" s="3" t="s">
        <v>394</v>
      </c>
      <c r="C98" s="15" t="n">
        <v>63041</v>
      </c>
      <c r="D98" s="57" t="n">
        <f aca="false">ROUND('The Price of a Term'!M13,0)</f>
        <v>63041</v>
      </c>
      <c r="E98" s="58" t="n">
        <f aca="false">D98-C98</f>
        <v>0</v>
      </c>
      <c r="F98" s="4" t="str">
        <f aca="false">IF(ABS(E98)&lt;0.00000001,"PASS","FAIL")</f>
        <v>PASS</v>
      </c>
    </row>
    <row r="99" customFormat="false" ht="15" hidden="false" customHeight="false" outlineLevel="0" collapsed="false">
      <c r="B99" s="3" t="s">
        <v>395</v>
      </c>
      <c r="C99" s="15" t="n">
        <v>95275</v>
      </c>
      <c r="D99" s="57" t="n">
        <f aca="false">ROUND('The Price of a Term'!M14,0)</f>
        <v>95275</v>
      </c>
      <c r="E99" s="58" t="n">
        <f aca="false">D99-C99</f>
        <v>0</v>
      </c>
      <c r="F99" s="4" t="str">
        <f aca="false">IF(ABS(E99)&lt;0.00000001,"PASS","FAIL")</f>
        <v>PASS</v>
      </c>
    </row>
    <row r="100" customFormat="false" ht="15" hidden="false" customHeight="false" outlineLevel="0" collapsed="false">
      <c r="B100" s="3" t="s">
        <v>397</v>
      </c>
      <c r="C100" s="15" t="n">
        <v>127999</v>
      </c>
      <c r="D100" s="57" t="n">
        <f aca="false">ROUND('The Price of a Term'!M15,0)</f>
        <v>127999</v>
      </c>
      <c r="E100" s="58" t="n">
        <f aca="false">D100-C100</f>
        <v>0</v>
      </c>
      <c r="F100" s="4" t="str">
        <f aca="false">IF(ABS(E100)&lt;0.00000001,"PASS","FAIL")</f>
        <v>PASS</v>
      </c>
    </row>
    <row r="101" customFormat="false" ht="15" hidden="false" customHeight="false" outlineLevel="0" collapsed="false">
      <c r="B101" s="3" t="s">
        <v>398</v>
      </c>
      <c r="C101" s="15" t="n">
        <v>194962</v>
      </c>
      <c r="D101" s="57" t="n">
        <f aca="false">ROUND('The Price of a Term'!M16,0)</f>
        <v>194962</v>
      </c>
      <c r="E101" s="58" t="n">
        <f aca="false">D101-C101</f>
        <v>0</v>
      </c>
      <c r="F101" s="4" t="str">
        <f aca="false">IF(ABS(E101)&lt;0.00000001,"PASS","FAIL")</f>
        <v>PASS</v>
      </c>
    </row>
    <row r="102" customFormat="false" ht="15" hidden="false" customHeight="false" outlineLevel="0" collapsed="false">
      <c r="B102" s="3" t="s">
        <v>415</v>
      </c>
      <c r="C102" s="15" t="n">
        <v>299374</v>
      </c>
      <c r="D102" s="57" t="n">
        <f aca="false">ROUND('The Price of a Term'!M17,0)</f>
        <v>299374</v>
      </c>
      <c r="E102" s="58" t="n">
        <f aca="false">D102-C102</f>
        <v>0</v>
      </c>
      <c r="F102" s="4" t="str">
        <f aca="false">IF(ABS(E102)&lt;0.00000001,"PASS","FAIL")</f>
        <v>PASS</v>
      </c>
    </row>
    <row r="103" customFormat="false" ht="15" hidden="false" customHeight="false" outlineLevel="0" collapsed="false">
      <c r="B103" s="3" t="s">
        <v>416</v>
      </c>
      <c r="C103" s="15" t="n">
        <v>408856</v>
      </c>
      <c r="D103" s="57" t="n">
        <f aca="false">ROUND('The Price of a Term'!M18,0)</f>
        <v>408856</v>
      </c>
      <c r="E103" s="58" t="n">
        <f aca="false">D103-C103</f>
        <v>0</v>
      </c>
      <c r="F103" s="4" t="str">
        <f aca="false">IF(ABS(E103)&lt;0.00000001,"PASS","FAIL")</f>
        <v>PASS</v>
      </c>
    </row>
    <row r="104" customFormat="false" ht="15" hidden="false" customHeight="false" outlineLevel="0" collapsed="false">
      <c r="B104" s="2" t="s">
        <v>418</v>
      </c>
    </row>
    <row r="105" customFormat="false" ht="15" hidden="false" customHeight="false" outlineLevel="0" collapsed="false">
      <c r="B105" s="3" t="s">
        <v>393</v>
      </c>
      <c r="C105" s="15" t="n">
        <v>139498</v>
      </c>
      <c r="D105" s="57" t="n">
        <f aca="false">ROUND('The Price of a Term'!H12,0)</f>
        <v>139498</v>
      </c>
      <c r="E105" s="58" t="n">
        <f aca="false">D105-C105</f>
        <v>0</v>
      </c>
      <c r="F105" s="4" t="str">
        <f aca="false">IF(ABS(E105)&lt;0.00000001,"PASS","FAIL")</f>
        <v>PASS</v>
      </c>
    </row>
    <row r="106" customFormat="false" ht="15" hidden="false" customHeight="false" outlineLevel="0" collapsed="false">
      <c r="B106" s="3" t="s">
        <v>394</v>
      </c>
      <c r="C106" s="15" t="n">
        <v>170452</v>
      </c>
      <c r="D106" s="57" t="n">
        <f aca="false">ROUND('The Price of a Term'!H13,0)</f>
        <v>170452</v>
      </c>
      <c r="E106" s="58" t="n">
        <f aca="false">D106-C106</f>
        <v>0</v>
      </c>
      <c r="F106" s="4" t="str">
        <f aca="false">IF(ABS(E106)&lt;0.00000001,"PASS","FAIL")</f>
        <v>PASS</v>
      </c>
    </row>
    <row r="107" customFormat="false" ht="15" hidden="false" customHeight="false" outlineLevel="0" collapsed="false">
      <c r="B107" s="3" t="s">
        <v>395</v>
      </c>
      <c r="C107" s="15" t="n">
        <v>201406</v>
      </c>
      <c r="D107" s="57" t="n">
        <f aca="false">ROUND('The Price of a Term'!H14,0)</f>
        <v>201406</v>
      </c>
      <c r="E107" s="58" t="n">
        <f aca="false">D107-C107</f>
        <v>0</v>
      </c>
      <c r="F107" s="4" t="str">
        <f aca="false">IF(ABS(E107)&lt;0.00000001,"PASS","FAIL")</f>
        <v>PASS</v>
      </c>
    </row>
    <row r="108" customFormat="false" ht="15" hidden="false" customHeight="false" outlineLevel="0" collapsed="false">
      <c r="B108" s="3" t="s">
        <v>397</v>
      </c>
      <c r="C108" s="15" t="n">
        <v>232358</v>
      </c>
      <c r="D108" s="57" t="n">
        <f aca="false">ROUND('The Price of a Term'!H15,0)</f>
        <v>232358</v>
      </c>
      <c r="E108" s="58" t="n">
        <f aca="false">D108-C108</f>
        <v>0</v>
      </c>
      <c r="F108" s="4" t="str">
        <f aca="false">IF(ABS(E108)&lt;0.00000001,"PASS","FAIL")</f>
        <v>PASS</v>
      </c>
    </row>
    <row r="109" customFormat="false" ht="15" hidden="false" customHeight="false" outlineLevel="0" collapsed="false">
      <c r="B109" s="3" t="s">
        <v>398</v>
      </c>
      <c r="C109" s="15" t="n">
        <v>294258</v>
      </c>
      <c r="D109" s="57" t="n">
        <f aca="false">ROUND('The Price of a Term'!H16,0)</f>
        <v>294258</v>
      </c>
      <c r="E109" s="58" t="n">
        <f aca="false">D109-C109</f>
        <v>0</v>
      </c>
      <c r="F109" s="4" t="str">
        <f aca="false">IF(ABS(E109)&lt;0.00000001,"PASS","FAIL")</f>
        <v>PASS</v>
      </c>
    </row>
    <row r="110" customFormat="false" ht="15" hidden="false" customHeight="false" outlineLevel="0" collapsed="false">
      <c r="B110" s="3" t="s">
        <v>415</v>
      </c>
      <c r="C110" s="15" t="n">
        <v>387101</v>
      </c>
      <c r="D110" s="57" t="n">
        <f aca="false">ROUND('The Price of a Term'!H17,0)</f>
        <v>387101</v>
      </c>
      <c r="E110" s="58" t="n">
        <f aca="false">D110-C110</f>
        <v>0</v>
      </c>
      <c r="F110" s="4" t="str">
        <f aca="false">IF(ABS(E110)&lt;0.00000001,"PASS","FAIL")</f>
        <v>PASS</v>
      </c>
    </row>
    <row r="111" customFormat="false" ht="15" hidden="false" customHeight="false" outlineLevel="0" collapsed="false">
      <c r="B111" s="3" t="s">
        <v>416</v>
      </c>
      <c r="C111" s="15" t="n">
        <v>479934</v>
      </c>
      <c r="D111" s="57" t="n">
        <f aca="false">ROUND('The Price of a Term'!H18,0)</f>
        <v>479934</v>
      </c>
      <c r="E111" s="58" t="n">
        <f aca="false">D111-C111</f>
        <v>0</v>
      </c>
      <c r="F111" s="4" t="str">
        <f aca="false">IF(ABS(E111)&lt;0.00000001,"PASS","FAIL")</f>
        <v>PASS</v>
      </c>
    </row>
    <row r="112" customFormat="false" ht="15" hidden="false" customHeight="false" outlineLevel="0" collapsed="false">
      <c r="B112" s="2" t="s">
        <v>419</v>
      </c>
    </row>
    <row r="113" customFormat="false" ht="15" hidden="false" customHeight="false" outlineLevel="0" collapsed="false">
      <c r="B113" s="3" t="s">
        <v>393</v>
      </c>
      <c r="C113" s="15" t="n">
        <v>167102</v>
      </c>
      <c r="D113" s="57" t="n">
        <f aca="false">ROUND('The Price of a Term'!I12,0)</f>
        <v>167102</v>
      </c>
      <c r="E113" s="58" t="n">
        <f aca="false">D113-C113</f>
        <v>0</v>
      </c>
      <c r="F113" s="4" t="str">
        <f aca="false">IF(ABS(E113)&lt;0.00000001,"PASS","FAIL")</f>
        <v>PASS</v>
      </c>
    </row>
    <row r="114" customFormat="false" ht="15" hidden="false" customHeight="false" outlineLevel="0" collapsed="false">
      <c r="B114" s="3" t="s">
        <v>394</v>
      </c>
      <c r="C114" s="15" t="n">
        <v>136148</v>
      </c>
      <c r="D114" s="57" t="n">
        <f aca="false">ROUND('The Price of a Term'!I13,0)</f>
        <v>136148</v>
      </c>
      <c r="E114" s="58" t="n">
        <f aca="false">D114-C114</f>
        <v>0</v>
      </c>
      <c r="F114" s="4" t="str">
        <f aca="false">IF(ABS(E114)&lt;0.00000001,"PASS","FAIL")</f>
        <v>PASS</v>
      </c>
    </row>
    <row r="115" customFormat="false" ht="15" hidden="false" customHeight="false" outlineLevel="0" collapsed="false">
      <c r="B115" s="3" t="s">
        <v>395</v>
      </c>
      <c r="C115" s="15" t="n">
        <v>105194</v>
      </c>
      <c r="D115" s="57" t="n">
        <f aca="false">ROUND('The Price of a Term'!I14,0)</f>
        <v>105194</v>
      </c>
      <c r="E115" s="58" t="n">
        <f aca="false">D115-C115</f>
        <v>0</v>
      </c>
      <c r="F115" s="4" t="str">
        <f aca="false">IF(ABS(E115)&lt;0.00000001,"PASS","FAIL")</f>
        <v>PASS</v>
      </c>
    </row>
    <row r="116" customFormat="false" ht="15" hidden="false" customHeight="false" outlineLevel="0" collapsed="false">
      <c r="B116" s="3" t="s">
        <v>397</v>
      </c>
      <c r="C116" s="15" t="n">
        <v>74242</v>
      </c>
      <c r="D116" s="57" t="n">
        <f aca="false">ROUND('The Price of a Term'!I15,0)</f>
        <v>74242</v>
      </c>
      <c r="E116" s="58" t="n">
        <f aca="false">D116-C116</f>
        <v>0</v>
      </c>
      <c r="F116" s="4" t="str">
        <f aca="false">IF(ABS(E116)&lt;0.00000001,"PASS","FAIL")</f>
        <v>PASS</v>
      </c>
    </row>
    <row r="117" customFormat="false" ht="15" hidden="false" customHeight="false" outlineLevel="0" collapsed="false">
      <c r="B117" s="3" t="s">
        <v>398</v>
      </c>
      <c r="C117" s="15" t="n">
        <v>12342</v>
      </c>
      <c r="D117" s="57" t="n">
        <f aca="false">ROUND('The Price of a Term'!I16,0)</f>
        <v>12342</v>
      </c>
      <c r="E117" s="58" t="n">
        <f aca="false">D117-C117</f>
        <v>0</v>
      </c>
      <c r="F117" s="4" t="str">
        <f aca="false">IF(ABS(E117)&lt;0.00000001,"PASS","FAIL")</f>
        <v>PASS</v>
      </c>
    </row>
    <row r="118" customFormat="false" ht="15" hidden="false" customHeight="false" outlineLevel="0" collapsed="false">
      <c r="B118" s="3" t="s">
        <v>415</v>
      </c>
      <c r="C118" s="15" t="n">
        <v>-80501</v>
      </c>
      <c r="D118" s="57" t="n">
        <f aca="false">ROUND('The Price of a Term'!I17,0)</f>
        <v>-80501</v>
      </c>
      <c r="E118" s="58" t="n">
        <f aca="false">D118-C118</f>
        <v>0</v>
      </c>
      <c r="F118" s="4" t="str">
        <f aca="false">IF(ABS(E118)&lt;0.00000001,"PASS","FAIL")</f>
        <v>PASS</v>
      </c>
    </row>
    <row r="119" customFormat="false" ht="15" hidden="false" customHeight="false" outlineLevel="0" collapsed="false">
      <c r="B119" s="3" t="s">
        <v>416</v>
      </c>
      <c r="C119" s="15" t="n">
        <v>-173334</v>
      </c>
      <c r="D119" s="57" t="n">
        <f aca="false">ROUND('The Price of a Term'!I18,0)</f>
        <v>-173334</v>
      </c>
      <c r="E119" s="58" t="n">
        <f aca="false">D119-C119</f>
        <v>0</v>
      </c>
      <c r="F119" s="4" t="str">
        <f aca="false">IF(ABS(E119)&lt;0.00000001,"PASS","FAIL")</f>
        <v>PASS</v>
      </c>
    </row>
    <row r="120" customFormat="false" ht="15" hidden="false" customHeight="false" outlineLevel="0" collapsed="false">
      <c r="B120" s="2" t="s">
        <v>420</v>
      </c>
    </row>
    <row r="121" customFormat="false" ht="15" hidden="false" customHeight="false" outlineLevel="0" collapsed="false">
      <c r="B121" s="3" t="s">
        <v>393</v>
      </c>
      <c r="C121" s="28" t="n">
        <v>0.0398</v>
      </c>
      <c r="D121" s="59" t="n">
        <f aca="false">ROUND('The Price of a Term'!J12,4)</f>
        <v>0.0398</v>
      </c>
      <c r="E121" s="58" t="n">
        <f aca="false">D121-C121</f>
        <v>0</v>
      </c>
      <c r="F121" s="4" t="str">
        <f aca="false">IF(ABS(E121)&lt;0.00000001,"PASS","FAIL")</f>
        <v>PASS</v>
      </c>
    </row>
    <row r="122" customFormat="false" ht="15" hidden="false" customHeight="false" outlineLevel="0" collapsed="false">
      <c r="B122" s="3" t="s">
        <v>394</v>
      </c>
      <c r="C122" s="28" t="n">
        <v>0.0324</v>
      </c>
      <c r="D122" s="59" t="n">
        <f aca="false">ROUND('The Price of a Term'!J13,4)</f>
        <v>0.0324</v>
      </c>
      <c r="E122" s="58" t="n">
        <f aca="false">D122-C122</f>
        <v>0</v>
      </c>
      <c r="F122" s="4" t="str">
        <f aca="false">IF(ABS(E122)&lt;0.00000001,"PASS","FAIL")</f>
        <v>PASS</v>
      </c>
    </row>
    <row r="123" customFormat="false" ht="15" hidden="false" customHeight="false" outlineLevel="0" collapsed="false">
      <c r="B123" s="3" t="s">
        <v>395</v>
      </c>
      <c r="C123" s="28" t="n">
        <v>0.025</v>
      </c>
      <c r="D123" s="59" t="n">
        <f aca="false">ROUND('The Price of a Term'!J14,4)</f>
        <v>0.025</v>
      </c>
      <c r="E123" s="58" t="n">
        <f aca="false">D123-C123</f>
        <v>0</v>
      </c>
      <c r="F123" s="4" t="str">
        <f aca="false">IF(ABS(E123)&lt;0.00000001,"PASS","FAIL")</f>
        <v>PASS</v>
      </c>
    </row>
    <row r="124" customFormat="false" ht="15" hidden="false" customHeight="false" outlineLevel="0" collapsed="false">
      <c r="B124" s="3" t="s">
        <v>397</v>
      </c>
      <c r="C124" s="28" t="n">
        <v>0.0177</v>
      </c>
      <c r="D124" s="59" t="n">
        <f aca="false">ROUND('The Price of a Term'!J15,4)</f>
        <v>0.0177</v>
      </c>
      <c r="E124" s="58" t="n">
        <f aca="false">D124-C124</f>
        <v>0</v>
      </c>
      <c r="F124" s="4" t="str">
        <f aca="false">IF(ABS(E124)&lt;0.00000001,"PASS","FAIL")</f>
        <v>PASS</v>
      </c>
    </row>
    <row r="125" customFormat="false" ht="15" hidden="false" customHeight="false" outlineLevel="0" collapsed="false">
      <c r="B125" s="3" t="s">
        <v>398</v>
      </c>
      <c r="C125" s="28" t="n">
        <v>0.0029</v>
      </c>
      <c r="D125" s="59" t="n">
        <f aca="false">ROUND('The Price of a Term'!J16,4)</f>
        <v>0.0029</v>
      </c>
      <c r="E125" s="58" t="n">
        <f aca="false">D125-C125</f>
        <v>0</v>
      </c>
      <c r="F125" s="4" t="str">
        <f aca="false">IF(ABS(E125)&lt;0.00000001,"PASS","FAIL")</f>
        <v>PASS</v>
      </c>
    </row>
    <row r="126" customFormat="false" ht="15" hidden="false" customHeight="false" outlineLevel="0" collapsed="false">
      <c r="B126" s="3" t="s">
        <v>415</v>
      </c>
      <c r="C126" s="28" t="n">
        <v>-0.0192</v>
      </c>
      <c r="D126" s="59" t="n">
        <f aca="false">ROUND('The Price of a Term'!J17,4)</f>
        <v>-0.0192</v>
      </c>
      <c r="E126" s="58" t="n">
        <f aca="false">D126-C126</f>
        <v>0</v>
      </c>
      <c r="F126" s="4" t="str">
        <f aca="false">IF(ABS(E126)&lt;0.00000001,"PASS","FAIL")</f>
        <v>PASS</v>
      </c>
    </row>
    <row r="127" customFormat="false" ht="15" hidden="false" customHeight="false" outlineLevel="0" collapsed="false">
      <c r="B127" s="3" t="s">
        <v>416</v>
      </c>
      <c r="C127" s="28" t="n">
        <v>-0.0413</v>
      </c>
      <c r="D127" s="59" t="n">
        <f aca="false">ROUND('The Price of a Term'!J18,4)</f>
        <v>-0.0413</v>
      </c>
      <c r="E127" s="58" t="n">
        <f aca="false">D127-C127</f>
        <v>0</v>
      </c>
      <c r="F127" s="4" t="str">
        <f aca="false">IF(ABS(E127)&lt;0.00000001,"PASS","FAIL")</f>
        <v>PASS</v>
      </c>
    </row>
    <row r="128" customFormat="false" ht="15" hidden="false" customHeight="false" outlineLevel="0" collapsed="false">
      <c r="B128" s="2" t="s">
        <v>421</v>
      </c>
    </row>
    <row r="129" customFormat="false" ht="15" hidden="false" customHeight="false" outlineLevel="0" collapsed="false">
      <c r="B129" s="3" t="s">
        <v>422</v>
      </c>
      <c r="C129" s="15" t="n">
        <v>4200000</v>
      </c>
      <c r="D129" s="57" t="n">
        <f aca="false">ROUND('Case B'!$C$12,0)</f>
        <v>4200000</v>
      </c>
      <c r="E129" s="58" t="n">
        <f aca="false">D129-C129</f>
        <v>0</v>
      </c>
      <c r="F129" s="4" t="str">
        <f aca="false">IF(ABS(E129)&lt;0.00000001,"PASS","FAIL")</f>
        <v>PASS</v>
      </c>
    </row>
    <row r="130" customFormat="false" ht="15" hidden="false" customHeight="false" outlineLevel="0" collapsed="false">
      <c r="B130" s="3" t="s">
        <v>423</v>
      </c>
      <c r="C130" s="15" t="n">
        <v>4263000</v>
      </c>
      <c r="D130" s="57" t="n">
        <f aca="false">ROUND('Case B'!$D$12,0)</f>
        <v>4263000</v>
      </c>
      <c r="E130" s="58" t="n">
        <f aca="false">D130-C130</f>
        <v>0</v>
      </c>
      <c r="F130" s="4" t="str">
        <f aca="false">IF(ABS(E130)&lt;0.00000001,"PASS","FAIL")</f>
        <v>PASS</v>
      </c>
    </row>
    <row r="131" customFormat="false" ht="15" hidden="false" customHeight="false" outlineLevel="0" collapsed="false">
      <c r="B131" s="3" t="s">
        <v>278</v>
      </c>
      <c r="C131" s="15" t="n">
        <v>63000</v>
      </c>
      <c r="D131" s="57" t="n">
        <f aca="false">ROUND('Case B'!$D$13,0)</f>
        <v>63000</v>
      </c>
      <c r="E131" s="58" t="n">
        <f aca="false">D131-C131</f>
        <v>0</v>
      </c>
      <c r="F131" s="4" t="str">
        <f aca="false">IF(ABS(E131)&lt;0.00000001,"PASS","FAIL")</f>
        <v>PASS</v>
      </c>
    </row>
    <row r="132" customFormat="false" ht="15" hidden="false" customHeight="false" outlineLevel="0" collapsed="false">
      <c r="B132" s="3" t="s">
        <v>424</v>
      </c>
      <c r="C132" s="15" t="n">
        <v>306600</v>
      </c>
      <c r="D132" s="57" t="n">
        <f aca="false">ROUND('Case B'!$C$16,0)</f>
        <v>306600</v>
      </c>
      <c r="E132" s="58" t="n">
        <f aca="false">D132-C132</f>
        <v>0</v>
      </c>
      <c r="F132" s="4" t="str">
        <f aca="false">IF(ABS(E132)&lt;0.00000001,"PASS","FAIL")</f>
        <v>PASS</v>
      </c>
    </row>
    <row r="133" customFormat="false" ht="15" hidden="false" customHeight="false" outlineLevel="0" collapsed="false">
      <c r="B133" s="3" t="s">
        <v>425</v>
      </c>
      <c r="C133" s="15" t="n">
        <v>369600</v>
      </c>
      <c r="D133" s="57" t="n">
        <f aca="false">ROUND('Case B'!$D$16,0)</f>
        <v>369600</v>
      </c>
      <c r="E133" s="58" t="n">
        <f aca="false">D133-C133</f>
        <v>0</v>
      </c>
      <c r="F133" s="4" t="str">
        <f aca="false">IF(ABS(E133)&lt;0.00000001,"PASS","FAIL")</f>
        <v>PASS</v>
      </c>
    </row>
    <row r="134" customFormat="false" ht="15" hidden="false" customHeight="false" outlineLevel="0" collapsed="false">
      <c r="B134" s="3" t="s">
        <v>426</v>
      </c>
      <c r="C134" s="15" t="n">
        <v>108543</v>
      </c>
      <c r="D134" s="57" t="n">
        <f aca="false">ROUND('Case B'!$C$27,0)</f>
        <v>108543</v>
      </c>
      <c r="E134" s="58" t="n">
        <f aca="false">D134-C134</f>
        <v>0</v>
      </c>
      <c r="F134" s="4" t="str">
        <f aca="false">IF(ABS(E134)&lt;0.00000001,"PASS","FAIL")</f>
        <v>PASS</v>
      </c>
    </row>
    <row r="135" customFormat="false" ht="15" hidden="false" customHeight="false" outlineLevel="0" collapsed="false">
      <c r="B135" s="3" t="s">
        <v>427</v>
      </c>
      <c r="C135" s="15" t="n">
        <v>297246</v>
      </c>
      <c r="D135" s="57" t="n">
        <f aca="false">ROUND('Case B'!$D$27,0)</f>
        <v>297246</v>
      </c>
      <c r="E135" s="58" t="n">
        <f aca="false">D135-C135</f>
        <v>0</v>
      </c>
      <c r="F135" s="4" t="str">
        <f aca="false">IF(ABS(E135)&lt;0.00000001,"PASS","FAIL")</f>
        <v>PASS</v>
      </c>
    </row>
    <row r="136" customFormat="false" ht="15" hidden="false" customHeight="false" outlineLevel="0" collapsed="false">
      <c r="B136" s="3" t="s">
        <v>428</v>
      </c>
      <c r="C136" s="15" t="n">
        <v>188704</v>
      </c>
      <c r="D136" s="57" t="n">
        <f aca="false">ROUND('Case B'!$C$32,0)</f>
        <v>188704</v>
      </c>
      <c r="E136" s="58" t="n">
        <f aca="false">D136-C136</f>
        <v>0</v>
      </c>
      <c r="F136" s="4" t="str">
        <f aca="false">IF(ABS(E136)&lt;0.00000001,"PASS","FAIL")</f>
        <v>PASS</v>
      </c>
    </row>
    <row r="137" customFormat="false" ht="15" hidden="false" customHeight="false" outlineLevel="0" collapsed="false">
      <c r="B137" s="3" t="s">
        <v>429</v>
      </c>
      <c r="C137" s="15" t="n">
        <v>198057</v>
      </c>
      <c r="D137" s="57" t="n">
        <f aca="false">ROUND('Case B'!$C$28,0)</f>
        <v>198057</v>
      </c>
      <c r="E137" s="58" t="n">
        <f aca="false">D137-C137</f>
        <v>0</v>
      </c>
      <c r="F137" s="4" t="str">
        <f aca="false">IF(ABS(E137)&lt;0.00000001,"PASS","FAIL")</f>
        <v>PASS</v>
      </c>
    </row>
    <row r="138" customFormat="false" ht="15" hidden="false" customHeight="false" outlineLevel="0" collapsed="false">
      <c r="B138" s="3" t="s">
        <v>430</v>
      </c>
      <c r="C138" s="15" t="n">
        <v>72354</v>
      </c>
      <c r="D138" s="57" t="n">
        <f aca="false">ROUND('Case B'!$D$28,0)</f>
        <v>72354</v>
      </c>
      <c r="E138" s="58" t="n">
        <f aca="false">D138-C138</f>
        <v>0</v>
      </c>
      <c r="F138" s="4" t="str">
        <f aca="false">IF(ABS(E138)&lt;0.00000001,"PASS","FAIL")</f>
        <v>PASS</v>
      </c>
    </row>
    <row r="139" customFormat="false" ht="15" hidden="false" customHeight="false" outlineLevel="0" collapsed="false">
      <c r="B139" s="3" t="s">
        <v>431</v>
      </c>
      <c r="C139" s="28" t="n">
        <v>0.0472</v>
      </c>
      <c r="D139" s="59" t="n">
        <f aca="false">ROUND('Case B'!$C$29,4)</f>
        <v>0.0472</v>
      </c>
      <c r="E139" s="58" t="n">
        <f aca="false">D139-C139</f>
        <v>0</v>
      </c>
      <c r="F139" s="4" t="str">
        <f aca="false">IF(ABS(E139)&lt;0.00000001,"PASS","FAIL")</f>
        <v>PASS</v>
      </c>
    </row>
    <row r="140" customFormat="false" ht="15" hidden="false" customHeight="false" outlineLevel="0" collapsed="false">
      <c r="B140" s="3" t="s">
        <v>432</v>
      </c>
      <c r="C140" s="28" t="n">
        <v>0.017</v>
      </c>
      <c r="D140" s="59" t="n">
        <f aca="false">ROUND('Case B'!$D$29,4)</f>
        <v>0.017</v>
      </c>
      <c r="E140" s="58" t="n">
        <f aca="false">D140-C140</f>
        <v>0</v>
      </c>
      <c r="F140" s="4" t="str">
        <f aca="false">IF(ABS(E140)&lt;0.00000001,"PASS","FAIL")</f>
        <v>PASS</v>
      </c>
    </row>
    <row r="141" customFormat="false" ht="15" hidden="false" customHeight="false" outlineLevel="0" collapsed="false">
      <c r="B141" s="3" t="s">
        <v>433</v>
      </c>
      <c r="C141" s="15" t="n">
        <v>125704</v>
      </c>
      <c r="D141" s="57" t="n">
        <f aca="false">ROUND('Case B'!$C$34,0)</f>
        <v>125704</v>
      </c>
      <c r="E141" s="58" t="n">
        <f aca="false">D141-C141</f>
        <v>0</v>
      </c>
      <c r="F141" s="4" t="str">
        <f aca="false">IF(ABS(E141)&lt;0.00000001,"PASS","FAIL")</f>
        <v>PASS</v>
      </c>
    </row>
    <row r="142" customFormat="false" ht="15" hidden="false" customHeight="false" outlineLevel="0" collapsed="false">
      <c r="B142" s="3" t="s">
        <v>293</v>
      </c>
      <c r="C142" s="28" t="n">
        <v>0.365</v>
      </c>
      <c r="D142" s="59" t="n">
        <f aca="false">ROUND('Case B'!$C$35,3)</f>
        <v>0.365</v>
      </c>
      <c r="E142" s="58" t="n">
        <f aca="false">D142-C142</f>
        <v>0</v>
      </c>
      <c r="F142" s="4" t="str">
        <f aca="false">IF(ABS(E142)&lt;0.00000001,"PASS","FAIL")</f>
        <v>PASS</v>
      </c>
    </row>
    <row r="143" customFormat="false" ht="15" hidden="false" customHeight="false" outlineLevel="0" collapsed="false">
      <c r="B143" s="3" t="s">
        <v>434</v>
      </c>
      <c r="C143" s="43" t="n">
        <v>0.04642</v>
      </c>
      <c r="D143" s="63" t="n">
        <f aca="false">ROUND('Case B'!$C$36,5)</f>
        <v>0.04642</v>
      </c>
      <c r="E143" s="58" t="n">
        <f aca="false">D143-C143</f>
        <v>0</v>
      </c>
      <c r="F143" s="4" t="str">
        <f aca="false">IF(ABS(E143)&lt;0.00000001,"PASS","FAIL")</f>
        <v>PASS</v>
      </c>
    </row>
    <row r="144" customFormat="false" ht="15" hidden="false" customHeight="false" outlineLevel="0" collapsed="false">
      <c r="B144" s="3" t="s">
        <v>435</v>
      </c>
      <c r="C144" s="18" t="n">
        <v>3.14</v>
      </c>
      <c r="D144" s="60" t="n">
        <f aca="false">ROUND('Case B'!$C$38,2)</f>
        <v>3.14</v>
      </c>
      <c r="E144" s="58" t="n">
        <f aca="false">D144-C144</f>
        <v>0</v>
      </c>
      <c r="F144" s="4" t="str">
        <f aca="false">IF(ABS(E144)&lt;0.00000001,"PASS","FAIL")</f>
        <v>PASS</v>
      </c>
    </row>
    <row r="145" customFormat="false" ht="15" hidden="false" customHeight="false" outlineLevel="0" collapsed="false">
      <c r="B145" s="3" t="s">
        <v>436</v>
      </c>
      <c r="C145" s="61" t="n">
        <v>116.8</v>
      </c>
      <c r="D145" s="62" t="n">
        <f aca="false">ROUND('Case B'!$C$20,1)</f>
        <v>116.8</v>
      </c>
      <c r="E145" s="58" t="n">
        <f aca="false">D145-C145</f>
        <v>0</v>
      </c>
      <c r="F145" s="4" t="str">
        <f aca="false">IF(ABS(E145)&lt;0.00000001,"PASS","FAIL")</f>
        <v>PASS</v>
      </c>
    </row>
    <row r="146" customFormat="false" ht="15" hidden="false" customHeight="false" outlineLevel="0" collapsed="false">
      <c r="B146" s="3" t="s">
        <v>437</v>
      </c>
      <c r="C146" s="61" t="n">
        <v>116.8</v>
      </c>
      <c r="D146" s="62" t="n">
        <f aca="false">ROUND('Case B'!$D$20,1)</f>
        <v>116.8</v>
      </c>
      <c r="E146" s="58" t="n">
        <f aca="false">D146-C146</f>
        <v>0</v>
      </c>
      <c r="F146" s="4" t="str">
        <f aca="false">IF(ABS(E146)&lt;0.00000001,"PASS","FAIL")</f>
        <v>PASS</v>
      </c>
    </row>
    <row r="147" customFormat="false" ht="15" hidden="false" customHeight="false" outlineLevel="0" collapsed="false">
      <c r="B147" s="3" t="s">
        <v>438</v>
      </c>
      <c r="C147" s="15" t="n">
        <v>198057</v>
      </c>
      <c r="D147" s="57" t="n">
        <f aca="false">ROUND('Case B'!$C$16-'Case B'!$C$27,0)</f>
        <v>198057</v>
      </c>
      <c r="E147" s="58" t="n">
        <f aca="false">D147-C147</f>
        <v>0</v>
      </c>
      <c r="F147" s="4" t="str">
        <f aca="false">IF(ABS(E147)&lt;0.00000001,"PASS","FAIL")</f>
        <v>PASS</v>
      </c>
    </row>
    <row r="148" customFormat="false" ht="15" hidden="false" customHeight="false" outlineLevel="0" collapsed="false">
      <c r="B148" s="3" t="s">
        <v>439</v>
      </c>
      <c r="C148" s="15" t="n">
        <v>72354</v>
      </c>
      <c r="D148" s="57" t="n">
        <f aca="false">ROUND('Case B'!$D$16-'Case B'!$D$27,0)</f>
        <v>72354</v>
      </c>
      <c r="E148" s="58" t="n">
        <f aca="false">D148-C148</f>
        <v>0</v>
      </c>
      <c r="F148" s="4" t="str">
        <f aca="false">IF(ABS(E148)&lt;0.00000001,"PASS","FAIL")</f>
        <v>PASS</v>
      </c>
    </row>
    <row r="149" customFormat="false" ht="15" hidden="false" customHeight="false" outlineLevel="0" collapsed="false">
      <c r="B149" s="2" t="s">
        <v>440</v>
      </c>
    </row>
    <row r="150" customFormat="false" ht="15" hidden="false" customHeight="false" outlineLevel="0" collapsed="false">
      <c r="B150" s="3" t="s">
        <v>441</v>
      </c>
      <c r="C150" s="15" t="n">
        <v>224931</v>
      </c>
      <c r="D150" s="57" t="n">
        <f aca="false">ROUND(Sensitivities!F21,0)</f>
        <v>224931</v>
      </c>
      <c r="E150" s="58" t="n">
        <f aca="false">D150-C150</f>
        <v>0</v>
      </c>
      <c r="F150" s="4" t="str">
        <f aca="false">IF(ABS(E150)&lt;0.00000001,"PASS","FAIL")</f>
        <v>PASS</v>
      </c>
    </row>
    <row r="151" customFormat="false" ht="15" hidden="false" customHeight="false" outlineLevel="0" collapsed="false">
      <c r="B151" s="3" t="s">
        <v>442</v>
      </c>
      <c r="C151" s="15" t="n">
        <v>228525</v>
      </c>
      <c r="D151" s="57" t="n">
        <f aca="false">ROUND(Sensitivities!F22,0)</f>
        <v>228525</v>
      </c>
      <c r="E151" s="58" t="n">
        <f aca="false">D151-C151</f>
        <v>0</v>
      </c>
      <c r="F151" s="4" t="str">
        <f aca="false">IF(ABS(E151)&lt;0.00000001,"PASS","FAIL")</f>
        <v>PASS</v>
      </c>
    </row>
    <row r="152" customFormat="false" ht="15" hidden="false" customHeight="false" outlineLevel="0" collapsed="false">
      <c r="B152" s="3" t="s">
        <v>443</v>
      </c>
      <c r="C152" s="15" t="n">
        <v>230920</v>
      </c>
      <c r="D152" s="57" t="n">
        <f aca="false">ROUND(Sensitivities!F23,0)</f>
        <v>230920</v>
      </c>
      <c r="E152" s="58" t="n">
        <f aca="false">D152-C152</f>
        <v>0</v>
      </c>
      <c r="F152" s="4" t="str">
        <f aca="false">IF(ABS(E152)&lt;0.00000001,"PASS","FAIL")</f>
        <v>PASS</v>
      </c>
    </row>
    <row r="153" customFormat="false" ht="15" hidden="false" customHeight="false" outlineLevel="0" collapsed="false">
      <c r="B153" s="3" t="s">
        <v>444</v>
      </c>
      <c r="C153" s="15" t="n">
        <v>232358</v>
      </c>
      <c r="D153" s="57" t="n">
        <f aca="false">ROUND(Sensitivities!F24,0)</f>
        <v>232358</v>
      </c>
      <c r="E153" s="58" t="n">
        <f aca="false">D153-C153</f>
        <v>0</v>
      </c>
      <c r="F153" s="4" t="str">
        <f aca="false">IF(ABS(E153)&lt;0.00000001,"PASS","FAIL")</f>
        <v>PASS</v>
      </c>
    </row>
    <row r="154" customFormat="false" ht="15" hidden="false" customHeight="false" outlineLevel="0" collapsed="false">
      <c r="B154" s="3" t="s">
        <v>445</v>
      </c>
      <c r="C154" s="15" t="n">
        <v>234514</v>
      </c>
      <c r="D154" s="57" t="n">
        <f aca="false">ROUND(Sensitivities!F25,0)</f>
        <v>234514</v>
      </c>
      <c r="E154" s="58" t="n">
        <f aca="false">D154-C154</f>
        <v>0</v>
      </c>
      <c r="F154" s="4" t="str">
        <f aca="false">IF(ABS(E154)&lt;0.00000001,"PASS","FAIL")</f>
        <v>PASS</v>
      </c>
    </row>
    <row r="155" customFormat="false" ht="15" hidden="false" customHeight="false" outlineLevel="0" collapsed="false">
      <c r="B155" s="3" t="s">
        <v>446</v>
      </c>
      <c r="C155" s="15" t="n">
        <v>81669</v>
      </c>
      <c r="D155" s="57" t="n">
        <f aca="false">ROUND(Sensitivities!G21,0)</f>
        <v>81669</v>
      </c>
      <c r="E155" s="58" t="n">
        <f aca="false">D155-C155</f>
        <v>0</v>
      </c>
      <c r="F155" s="4" t="str">
        <f aca="false">IF(ABS(E155)&lt;0.00000001,"PASS","FAIL")</f>
        <v>PASS</v>
      </c>
    </row>
    <row r="156" customFormat="false" ht="15" hidden="false" customHeight="false" outlineLevel="0" collapsed="false">
      <c r="B156" s="3" t="s">
        <v>447</v>
      </c>
      <c r="C156" s="15" t="n">
        <v>78075</v>
      </c>
      <c r="D156" s="57" t="n">
        <f aca="false">ROUND(Sensitivities!G22,0)</f>
        <v>78075</v>
      </c>
      <c r="E156" s="58" t="n">
        <f aca="false">D156-C156</f>
        <v>0</v>
      </c>
      <c r="F156" s="4" t="str">
        <f aca="false">IF(ABS(E156)&lt;0.00000001,"PASS","FAIL")</f>
        <v>PASS</v>
      </c>
    </row>
    <row r="157" customFormat="false" ht="15" hidden="false" customHeight="false" outlineLevel="0" collapsed="false">
      <c r="B157" s="3" t="s">
        <v>448</v>
      </c>
      <c r="C157" s="15" t="n">
        <v>75680</v>
      </c>
      <c r="D157" s="57" t="n">
        <f aca="false">ROUND(Sensitivities!G23,0)</f>
        <v>75680</v>
      </c>
      <c r="E157" s="58" t="n">
        <f aca="false">D157-C157</f>
        <v>0</v>
      </c>
      <c r="F157" s="4" t="str">
        <f aca="false">IF(ABS(E157)&lt;0.00000001,"PASS","FAIL")</f>
        <v>PASS</v>
      </c>
    </row>
    <row r="158" customFormat="false" ht="15" hidden="false" customHeight="false" outlineLevel="0" collapsed="false">
      <c r="B158" s="3" t="s">
        <v>449</v>
      </c>
      <c r="C158" s="15" t="n">
        <v>74242</v>
      </c>
      <c r="D158" s="57" t="n">
        <f aca="false">ROUND(Sensitivities!G24,0)</f>
        <v>74242</v>
      </c>
      <c r="E158" s="58" t="n">
        <f aca="false">D158-C158</f>
        <v>0</v>
      </c>
      <c r="F158" s="4" t="str">
        <f aca="false">IF(ABS(E158)&lt;0.00000001,"PASS","FAIL")</f>
        <v>PASS</v>
      </c>
    </row>
    <row r="159" customFormat="false" ht="15" hidden="false" customHeight="false" outlineLevel="0" collapsed="false">
      <c r="B159" s="3" t="s">
        <v>450</v>
      </c>
      <c r="C159" s="15" t="n">
        <v>72086</v>
      </c>
      <c r="D159" s="57" t="n">
        <f aca="false">ROUND(Sensitivities!G25,0)</f>
        <v>72086</v>
      </c>
      <c r="E159" s="58" t="n">
        <f aca="false">D159-C159</f>
        <v>0</v>
      </c>
      <c r="F159" s="4" t="str">
        <f aca="false">IF(ABS(E159)&lt;0.00000001,"PASS","FAIL")</f>
        <v>PASS</v>
      </c>
    </row>
    <row r="160" customFormat="false" ht="15" hidden="false" customHeight="false" outlineLevel="0" collapsed="false">
      <c r="B160" s="3" t="s">
        <v>318</v>
      </c>
      <c r="C160" s="15" t="n">
        <v>9583</v>
      </c>
      <c r="D160" s="57" t="n">
        <f aca="false">ROUND(Sensitivities!F26,0)</f>
        <v>9583</v>
      </c>
      <c r="E160" s="58" t="n">
        <f aca="false">D160-C160</f>
        <v>0</v>
      </c>
      <c r="F160" s="4" t="str">
        <f aca="false">IF(ABS(E160)&lt;0.00000001,"PASS","FAIL")</f>
        <v>PASS</v>
      </c>
    </row>
    <row r="161" customFormat="false" ht="15" hidden="false" customHeight="false" outlineLevel="0" collapsed="false">
      <c r="B161" s="2" t="s">
        <v>451</v>
      </c>
    </row>
    <row r="162" customFormat="false" ht="15" hidden="false" customHeight="false" outlineLevel="0" collapsed="false">
      <c r="B162" s="3" t="s">
        <v>452</v>
      </c>
      <c r="C162" s="15" t="n">
        <v>189038</v>
      </c>
      <c r="D162" s="57" t="n">
        <f aca="false">ROUND(Sensitivities!F31,0)</f>
        <v>189038</v>
      </c>
      <c r="E162" s="58" t="n">
        <f aca="false">D162-C162</f>
        <v>0</v>
      </c>
      <c r="F162" s="4" t="str">
        <f aca="false">IF(ABS(E162)&lt;0.00000001,"PASS","FAIL")</f>
        <v>PASS</v>
      </c>
    </row>
    <row r="163" customFormat="false" ht="15" hidden="false" customHeight="false" outlineLevel="0" collapsed="false">
      <c r="B163" s="3" t="s">
        <v>453</v>
      </c>
      <c r="C163" s="15" t="n">
        <v>211253</v>
      </c>
      <c r="D163" s="57" t="n">
        <f aca="false">ROUND(Sensitivities!F32,0)</f>
        <v>211253</v>
      </c>
      <c r="E163" s="58" t="n">
        <f aca="false">D163-C163</f>
        <v>0</v>
      </c>
      <c r="F163" s="4" t="str">
        <f aca="false">IF(ABS(E163)&lt;0.00000001,"PASS","FAIL")</f>
        <v>PASS</v>
      </c>
    </row>
    <row r="164" customFormat="false" ht="15" hidden="false" customHeight="false" outlineLevel="0" collapsed="false">
      <c r="B164" s="3" t="s">
        <v>454</v>
      </c>
      <c r="C164" s="15" t="n">
        <v>232358</v>
      </c>
      <c r="D164" s="57" t="n">
        <f aca="false">ROUND(Sensitivities!F33,0)</f>
        <v>232358</v>
      </c>
      <c r="E164" s="58" t="n">
        <f aca="false">D164-C164</f>
        <v>0</v>
      </c>
      <c r="F164" s="4" t="str">
        <f aca="false">IF(ABS(E164)&lt;0.00000001,"PASS","FAIL")</f>
        <v>PASS</v>
      </c>
    </row>
    <row r="165" customFormat="false" ht="15" hidden="false" customHeight="false" outlineLevel="0" collapsed="false">
      <c r="B165" s="3" t="s">
        <v>455</v>
      </c>
      <c r="C165" s="15" t="n">
        <v>255684</v>
      </c>
      <c r="D165" s="57" t="n">
        <f aca="false">ROUND(Sensitivities!F34,0)</f>
        <v>255684</v>
      </c>
      <c r="E165" s="58" t="n">
        <f aca="false">D165-C165</f>
        <v>0</v>
      </c>
      <c r="F165" s="4" t="str">
        <f aca="false">IF(ABS(E165)&lt;0.00000001,"PASS","FAIL")</f>
        <v>PASS</v>
      </c>
    </row>
    <row r="166" customFormat="false" ht="15" hidden="false" customHeight="false" outlineLevel="0" collapsed="false">
      <c r="B166" s="3" t="s">
        <v>456</v>
      </c>
      <c r="C166" s="15" t="n">
        <v>283453</v>
      </c>
      <c r="D166" s="57" t="n">
        <f aca="false">ROUND(Sensitivities!F35,0)</f>
        <v>283453</v>
      </c>
      <c r="E166" s="58" t="n">
        <f aca="false">D166-C166</f>
        <v>0</v>
      </c>
      <c r="F166" s="4" t="str">
        <f aca="false">IF(ABS(E166)&lt;0.00000001,"PASS","FAIL")</f>
        <v>PASS</v>
      </c>
    </row>
    <row r="167" customFormat="false" ht="15" hidden="false" customHeight="false" outlineLevel="0" collapsed="false">
      <c r="B167" s="3" t="s">
        <v>457</v>
      </c>
      <c r="C167" s="15" t="n">
        <v>117562</v>
      </c>
      <c r="D167" s="57" t="n">
        <f aca="false">ROUND(Sensitivities!G31,0)</f>
        <v>117562</v>
      </c>
      <c r="E167" s="58" t="n">
        <f aca="false">D167-C167</f>
        <v>0</v>
      </c>
      <c r="F167" s="4" t="str">
        <f aca="false">IF(ABS(E167)&lt;0.00000001,"PASS","FAIL")</f>
        <v>PASS</v>
      </c>
    </row>
    <row r="168" customFormat="false" ht="15" hidden="false" customHeight="false" outlineLevel="0" collapsed="false">
      <c r="B168" s="3" t="s">
        <v>458</v>
      </c>
      <c r="C168" s="15" t="n">
        <v>95347</v>
      </c>
      <c r="D168" s="57" t="n">
        <f aca="false">ROUND(Sensitivities!G32,0)</f>
        <v>95347</v>
      </c>
      <c r="E168" s="58" t="n">
        <f aca="false">D168-C168</f>
        <v>0</v>
      </c>
      <c r="F168" s="4" t="str">
        <f aca="false">IF(ABS(E168)&lt;0.00000001,"PASS","FAIL")</f>
        <v>PASS</v>
      </c>
    </row>
    <row r="169" customFormat="false" ht="15" hidden="false" customHeight="false" outlineLevel="0" collapsed="false">
      <c r="B169" s="3" t="s">
        <v>459</v>
      </c>
      <c r="C169" s="15" t="n">
        <v>74242</v>
      </c>
      <c r="D169" s="57" t="n">
        <f aca="false">ROUND(Sensitivities!G33,0)</f>
        <v>74242</v>
      </c>
      <c r="E169" s="58" t="n">
        <f aca="false">D169-C169</f>
        <v>0</v>
      </c>
      <c r="F169" s="4" t="str">
        <f aca="false">IF(ABS(E169)&lt;0.00000001,"PASS","FAIL")</f>
        <v>PASS</v>
      </c>
    </row>
    <row r="170" customFormat="false" ht="15" hidden="false" customHeight="false" outlineLevel="0" collapsed="false">
      <c r="B170" s="3" t="s">
        <v>460</v>
      </c>
      <c r="C170" s="15" t="n">
        <v>50916</v>
      </c>
      <c r="D170" s="57" t="n">
        <f aca="false">ROUND(Sensitivities!G34,0)</f>
        <v>50916</v>
      </c>
      <c r="E170" s="58" t="n">
        <f aca="false">D170-C170</f>
        <v>0</v>
      </c>
      <c r="F170" s="4" t="str">
        <f aca="false">IF(ABS(E170)&lt;0.00000001,"PASS","FAIL")</f>
        <v>PASS</v>
      </c>
    </row>
    <row r="171" customFormat="false" ht="15" hidden="false" customHeight="false" outlineLevel="0" collapsed="false">
      <c r="B171" s="3" t="s">
        <v>461</v>
      </c>
      <c r="C171" s="15" t="n">
        <v>23147</v>
      </c>
      <c r="D171" s="57" t="n">
        <f aca="false">ROUND(Sensitivities!G35,0)</f>
        <v>23147</v>
      </c>
      <c r="E171" s="58" t="n">
        <f aca="false">D171-C171</f>
        <v>0</v>
      </c>
      <c r="F171" s="4" t="str">
        <f aca="false">IF(ABS(E171)&lt;0.00000001,"PASS","FAIL")</f>
        <v>PASS</v>
      </c>
    </row>
    <row r="172" customFormat="false" ht="15" hidden="false" customHeight="false" outlineLevel="0" collapsed="false">
      <c r="B172" s="3" t="s">
        <v>318</v>
      </c>
      <c r="C172" s="15" t="n">
        <v>94415</v>
      </c>
      <c r="D172" s="57" t="n">
        <f aca="false">ROUND(Sensitivities!F36,0)</f>
        <v>94415</v>
      </c>
      <c r="E172" s="58" t="n">
        <f aca="false">D172-C172</f>
        <v>0</v>
      </c>
      <c r="F172" s="4" t="str">
        <f aca="false">IF(ABS(E172)&lt;0.00000001,"PASS","FAIL")</f>
        <v>PASS</v>
      </c>
    </row>
    <row r="173" customFormat="false" ht="15" hidden="false" customHeight="false" outlineLevel="0" collapsed="false">
      <c r="B173" s="2" t="s">
        <v>462</v>
      </c>
    </row>
    <row r="174" customFormat="false" ht="15" hidden="false" customHeight="false" outlineLevel="0" collapsed="false">
      <c r="B174" s="3" t="s">
        <v>463</v>
      </c>
      <c r="C174" s="15" t="n">
        <v>200404</v>
      </c>
      <c r="D174" s="57" t="n">
        <f aca="false">ROUND(Sensitivities!F40,0)</f>
        <v>200404</v>
      </c>
      <c r="E174" s="58" t="n">
        <f aca="false">D174-C174</f>
        <v>0</v>
      </c>
      <c r="F174" s="4" t="str">
        <f aca="false">IF(ABS(E174)&lt;0.00000001,"PASS","FAIL")</f>
        <v>PASS</v>
      </c>
    </row>
    <row r="175" customFormat="false" ht="15" hidden="false" customHeight="false" outlineLevel="0" collapsed="false">
      <c r="B175" s="3" t="s">
        <v>464</v>
      </c>
      <c r="C175" s="15" t="n">
        <v>216987</v>
      </c>
      <c r="D175" s="57" t="n">
        <f aca="false">ROUND(Sensitivities!F41,0)</f>
        <v>216987</v>
      </c>
      <c r="E175" s="58" t="n">
        <f aca="false">D175-C175</f>
        <v>0</v>
      </c>
      <c r="F175" s="4" t="str">
        <f aca="false">IF(ABS(E175)&lt;0.00000001,"PASS","FAIL")</f>
        <v>PASS</v>
      </c>
    </row>
    <row r="176" customFormat="false" ht="15" hidden="false" customHeight="false" outlineLevel="0" collapsed="false">
      <c r="B176" s="3" t="s">
        <v>465</v>
      </c>
      <c r="C176" s="15" t="n">
        <v>232358</v>
      </c>
      <c r="D176" s="57" t="n">
        <f aca="false">ROUND(Sensitivities!F42,0)</f>
        <v>232358</v>
      </c>
      <c r="E176" s="58" t="n">
        <f aca="false">D176-C176</f>
        <v>0</v>
      </c>
      <c r="F176" s="4" t="str">
        <f aca="false">IF(ABS(E176)&lt;0.00000001,"PASS","FAIL")</f>
        <v>PASS</v>
      </c>
    </row>
    <row r="177" customFormat="false" ht="15" hidden="false" customHeight="false" outlineLevel="0" collapsed="false">
      <c r="B177" s="3" t="s">
        <v>466</v>
      </c>
      <c r="C177" s="15" t="n">
        <v>253154</v>
      </c>
      <c r="D177" s="57" t="n">
        <f aca="false">ROUND(Sensitivities!F43,0)</f>
        <v>253154</v>
      </c>
      <c r="E177" s="58" t="n">
        <f aca="false">D177-C177</f>
        <v>0</v>
      </c>
      <c r="F177" s="4" t="str">
        <f aca="false">IF(ABS(E177)&lt;0.00000001,"PASS","FAIL")</f>
        <v>PASS</v>
      </c>
    </row>
    <row r="178" customFormat="false" ht="15" hidden="false" customHeight="false" outlineLevel="0" collapsed="false">
      <c r="B178" s="3" t="s">
        <v>467</v>
      </c>
      <c r="C178" s="15" t="n">
        <v>280279</v>
      </c>
      <c r="D178" s="57" t="n">
        <f aca="false">ROUND(Sensitivities!F44,0)</f>
        <v>280279</v>
      </c>
      <c r="E178" s="58" t="n">
        <f aca="false">D178-C178</f>
        <v>0</v>
      </c>
      <c r="F178" s="4" t="str">
        <f aca="false">IF(ABS(E178)&lt;0.00000001,"PASS","FAIL")</f>
        <v>PASS</v>
      </c>
    </row>
    <row r="179" customFormat="false" ht="15" hidden="false" customHeight="false" outlineLevel="0" collapsed="false">
      <c r="B179" s="3" t="s">
        <v>468</v>
      </c>
      <c r="C179" s="15" t="n">
        <v>106196</v>
      </c>
      <c r="D179" s="57" t="n">
        <f aca="false">ROUND(Sensitivities!G40,0)</f>
        <v>106196</v>
      </c>
      <c r="E179" s="58" t="n">
        <f aca="false">D179-C179</f>
        <v>0</v>
      </c>
      <c r="F179" s="4" t="str">
        <f aca="false">IF(ABS(E179)&lt;0.00000001,"PASS","FAIL")</f>
        <v>PASS</v>
      </c>
    </row>
    <row r="180" customFormat="false" ht="15" hidden="false" customHeight="false" outlineLevel="0" collapsed="false">
      <c r="B180" s="3" t="s">
        <v>469</v>
      </c>
      <c r="C180" s="15" t="n">
        <v>89613</v>
      </c>
      <c r="D180" s="57" t="n">
        <f aca="false">ROUND(Sensitivities!G41,0)</f>
        <v>89613</v>
      </c>
      <c r="E180" s="58" t="n">
        <f aca="false">D180-C180</f>
        <v>0</v>
      </c>
      <c r="F180" s="4" t="str">
        <f aca="false">IF(ABS(E180)&lt;0.00000001,"PASS","FAIL")</f>
        <v>PASS</v>
      </c>
    </row>
    <row r="181" customFormat="false" ht="15" hidden="false" customHeight="false" outlineLevel="0" collapsed="false">
      <c r="B181" s="3" t="s">
        <v>470</v>
      </c>
      <c r="C181" s="15" t="n">
        <v>74242</v>
      </c>
      <c r="D181" s="57" t="n">
        <f aca="false">ROUND(Sensitivities!G42,0)</f>
        <v>74242</v>
      </c>
      <c r="E181" s="58" t="n">
        <f aca="false">D181-C181</f>
        <v>0</v>
      </c>
      <c r="F181" s="4" t="str">
        <f aca="false">IF(ABS(E181)&lt;0.00000001,"PASS","FAIL")</f>
        <v>PASS</v>
      </c>
    </row>
    <row r="182" customFormat="false" ht="15" hidden="false" customHeight="false" outlineLevel="0" collapsed="false">
      <c r="B182" s="3" t="s">
        <v>471</v>
      </c>
      <c r="C182" s="15" t="n">
        <v>53446</v>
      </c>
      <c r="D182" s="57" t="n">
        <f aca="false">ROUND(Sensitivities!G43,0)</f>
        <v>53446</v>
      </c>
      <c r="E182" s="58" t="n">
        <f aca="false">D182-C182</f>
        <v>0</v>
      </c>
      <c r="F182" s="4" t="str">
        <f aca="false">IF(ABS(E182)&lt;0.00000001,"PASS","FAIL")</f>
        <v>PASS</v>
      </c>
    </row>
    <row r="183" customFormat="false" ht="15" hidden="false" customHeight="false" outlineLevel="0" collapsed="false">
      <c r="B183" s="3" t="s">
        <v>472</v>
      </c>
      <c r="C183" s="15" t="n">
        <v>26321</v>
      </c>
      <c r="D183" s="57" t="n">
        <f aca="false">ROUND(Sensitivities!G44,0)</f>
        <v>26321</v>
      </c>
      <c r="E183" s="58" t="n">
        <f aca="false">D183-C183</f>
        <v>0</v>
      </c>
      <c r="F183" s="4" t="str">
        <f aca="false">IF(ABS(E183)&lt;0.00000001,"PASS","FAIL")</f>
        <v>PASS</v>
      </c>
    </row>
    <row r="184" customFormat="false" ht="15" hidden="false" customHeight="false" outlineLevel="0" collapsed="false">
      <c r="B184" s="3" t="s">
        <v>318</v>
      </c>
      <c r="C184" s="15" t="n">
        <v>79875</v>
      </c>
      <c r="D184" s="57" t="n">
        <f aca="false">ROUND(Sensitivities!F45,0)</f>
        <v>79875</v>
      </c>
      <c r="E184" s="58" t="n">
        <f aca="false">D184-C184</f>
        <v>0</v>
      </c>
      <c r="F184" s="4" t="str">
        <f aca="false">IF(ABS(E184)&lt;0.00000001,"PASS","FAIL")</f>
        <v>PASS</v>
      </c>
    </row>
    <row r="185" customFormat="false" ht="15" hidden="false" customHeight="false" outlineLevel="0" collapsed="false">
      <c r="B185" s="2" t="s">
        <v>473</v>
      </c>
    </row>
    <row r="186" customFormat="false" ht="15" hidden="false" customHeight="false" outlineLevel="0" collapsed="false">
      <c r="B186" s="3" t="s">
        <v>474</v>
      </c>
      <c r="C186" s="15" t="n">
        <v>191758</v>
      </c>
      <c r="D186" s="57" t="n">
        <f aca="false">ROUND(Sensitivities!F50,0)</f>
        <v>191758</v>
      </c>
      <c r="E186" s="58" t="n">
        <f aca="false">D186-C186</f>
        <v>0</v>
      </c>
      <c r="F186" s="4" t="str">
        <f aca="false">IF(ABS(E186)&lt;0.00000001,"PASS","FAIL")</f>
        <v>PASS</v>
      </c>
    </row>
    <row r="187" customFormat="false" ht="15" hidden="false" customHeight="false" outlineLevel="0" collapsed="false">
      <c r="B187" s="3" t="s">
        <v>475</v>
      </c>
      <c r="C187" s="15" t="n">
        <v>212758</v>
      </c>
      <c r="D187" s="57" t="n">
        <f aca="false">ROUND(Sensitivities!F51,0)</f>
        <v>212758</v>
      </c>
      <c r="E187" s="58" t="n">
        <f aca="false">D187-C187</f>
        <v>0</v>
      </c>
      <c r="F187" s="4" t="str">
        <f aca="false">IF(ABS(E187)&lt;0.00000001,"PASS","FAIL")</f>
        <v>PASS</v>
      </c>
    </row>
    <row r="188" customFormat="false" ht="15" hidden="false" customHeight="false" outlineLevel="0" collapsed="false">
      <c r="B188" s="3" t="s">
        <v>476</v>
      </c>
      <c r="C188" s="15" t="n">
        <v>232358</v>
      </c>
      <c r="D188" s="57" t="n">
        <f aca="false">ROUND(Sensitivities!F52,0)</f>
        <v>232358</v>
      </c>
      <c r="E188" s="58" t="n">
        <f aca="false">D188-C188</f>
        <v>0</v>
      </c>
      <c r="F188" s="4" t="str">
        <f aca="false">IF(ABS(E188)&lt;0.00000001,"PASS","FAIL")</f>
        <v>PASS</v>
      </c>
    </row>
    <row r="189" customFormat="false" ht="15" hidden="false" customHeight="false" outlineLevel="0" collapsed="false">
      <c r="B189" s="3" t="s">
        <v>477</v>
      </c>
      <c r="C189" s="15" t="n">
        <v>261758</v>
      </c>
      <c r="D189" s="57" t="n">
        <f aca="false">ROUND(Sensitivities!F53,0)</f>
        <v>261758</v>
      </c>
      <c r="E189" s="58" t="n">
        <f aca="false">D189-C189</f>
        <v>0</v>
      </c>
      <c r="F189" s="4" t="str">
        <f aca="false">IF(ABS(E189)&lt;0.00000001,"PASS","FAIL")</f>
        <v>PASS</v>
      </c>
    </row>
    <row r="190" customFormat="false" ht="15" hidden="false" customHeight="false" outlineLevel="0" collapsed="false">
      <c r="B190" s="3" t="s">
        <v>478</v>
      </c>
      <c r="C190" s="15" t="n">
        <v>303758</v>
      </c>
      <c r="D190" s="57" t="n">
        <f aca="false">ROUND(Sensitivities!F54,0)</f>
        <v>303758</v>
      </c>
      <c r="E190" s="58" t="n">
        <f aca="false">D190-C190</f>
        <v>0</v>
      </c>
      <c r="F190" s="4" t="str">
        <f aca="false">IF(ABS(E190)&lt;0.00000001,"PASS","FAIL")</f>
        <v>PASS</v>
      </c>
    </row>
    <row r="191" customFormat="false" ht="15" hidden="false" customHeight="false" outlineLevel="0" collapsed="false">
      <c r="B191" s="3" t="s">
        <v>479</v>
      </c>
      <c r="C191" s="15" t="n">
        <v>114842</v>
      </c>
      <c r="D191" s="57" t="n">
        <f aca="false">ROUND(Sensitivities!G50,0)</f>
        <v>114842</v>
      </c>
      <c r="E191" s="58" t="n">
        <f aca="false">D191-C191</f>
        <v>0</v>
      </c>
      <c r="F191" s="4" t="str">
        <f aca="false">IF(ABS(E191)&lt;0.00000001,"PASS","FAIL")</f>
        <v>PASS</v>
      </c>
    </row>
    <row r="192" customFormat="false" ht="15" hidden="false" customHeight="false" outlineLevel="0" collapsed="false">
      <c r="B192" s="3" t="s">
        <v>480</v>
      </c>
      <c r="C192" s="15" t="n">
        <v>93842</v>
      </c>
      <c r="D192" s="57" t="n">
        <f aca="false">ROUND(Sensitivities!G51,0)</f>
        <v>93842</v>
      </c>
      <c r="E192" s="58" t="n">
        <f aca="false">D192-C192</f>
        <v>0</v>
      </c>
      <c r="F192" s="4" t="str">
        <f aca="false">IF(ABS(E192)&lt;0.00000001,"PASS","FAIL")</f>
        <v>PASS</v>
      </c>
    </row>
    <row r="193" customFormat="false" ht="15" hidden="false" customHeight="false" outlineLevel="0" collapsed="false">
      <c r="B193" s="3" t="s">
        <v>481</v>
      </c>
      <c r="C193" s="15" t="n">
        <v>74242</v>
      </c>
      <c r="D193" s="57" t="n">
        <f aca="false">ROUND(Sensitivities!G52,0)</f>
        <v>74242</v>
      </c>
      <c r="E193" s="58" t="n">
        <f aca="false">D193-C193</f>
        <v>0</v>
      </c>
      <c r="F193" s="4" t="str">
        <f aca="false">IF(ABS(E193)&lt;0.00000001,"PASS","FAIL")</f>
        <v>PASS</v>
      </c>
    </row>
    <row r="194" customFormat="false" ht="15" hidden="false" customHeight="false" outlineLevel="0" collapsed="false">
      <c r="B194" s="3" t="s">
        <v>482</v>
      </c>
      <c r="C194" s="15" t="n">
        <v>44842</v>
      </c>
      <c r="D194" s="57" t="n">
        <f aca="false">ROUND(Sensitivities!G53,0)</f>
        <v>44842</v>
      </c>
      <c r="E194" s="58" t="n">
        <f aca="false">D194-C194</f>
        <v>0</v>
      </c>
      <c r="F194" s="4" t="str">
        <f aca="false">IF(ABS(E194)&lt;0.00000001,"PASS","FAIL")</f>
        <v>PASS</v>
      </c>
    </row>
    <row r="195" customFormat="false" ht="15" hidden="false" customHeight="false" outlineLevel="0" collapsed="false">
      <c r="B195" s="3" t="s">
        <v>483</v>
      </c>
      <c r="C195" s="15" t="n">
        <v>2842</v>
      </c>
      <c r="D195" s="57" t="n">
        <f aca="false">ROUND(Sensitivities!G54,0)</f>
        <v>2842</v>
      </c>
      <c r="E195" s="58" t="n">
        <f aca="false">D195-C195</f>
        <v>0</v>
      </c>
      <c r="F195" s="4" t="str">
        <f aca="false">IF(ABS(E195)&lt;0.00000001,"PASS","FAIL")</f>
        <v>PASS</v>
      </c>
    </row>
    <row r="196" customFormat="false" ht="15" hidden="false" customHeight="false" outlineLevel="0" collapsed="false">
      <c r="B196" s="3" t="s">
        <v>318</v>
      </c>
      <c r="C196" s="15" t="n">
        <v>112000</v>
      </c>
      <c r="D196" s="57" t="n">
        <f aca="false">ROUND(Sensitivities!F55,0)</f>
        <v>112000</v>
      </c>
      <c r="E196" s="58" t="n">
        <f aca="false">D196-C196</f>
        <v>0</v>
      </c>
      <c r="F196" s="4" t="str">
        <f aca="false">IF(ABS(E196)&lt;0.00000001,"PASS","FAIL")</f>
        <v>PASS</v>
      </c>
    </row>
    <row r="197" customFormat="false" ht="15" hidden="false" customHeight="false" outlineLevel="0" collapsed="false">
      <c r="B197" s="2" t="s">
        <v>484</v>
      </c>
    </row>
    <row r="198" customFormat="false" ht="15" hidden="false" customHeight="false" outlineLevel="0" collapsed="false">
      <c r="B198" s="3" t="s">
        <v>485</v>
      </c>
      <c r="C198" s="15" t="n">
        <v>239799</v>
      </c>
      <c r="D198" s="57" t="n">
        <f aca="false">ROUND(Sensitivities!F59,0)</f>
        <v>239799</v>
      </c>
      <c r="E198" s="58" t="n">
        <f aca="false">D198-C198</f>
        <v>0</v>
      </c>
      <c r="F198" s="4" t="str">
        <f aca="false">IF(ABS(E198)&lt;0.00000001,"PASS","FAIL")</f>
        <v>PASS</v>
      </c>
    </row>
    <row r="199" customFormat="false" ht="15" hidden="false" customHeight="false" outlineLevel="0" collapsed="false">
      <c r="B199" s="3" t="s">
        <v>486</v>
      </c>
      <c r="C199" s="15" t="n">
        <v>236365</v>
      </c>
      <c r="D199" s="57" t="n">
        <f aca="false">ROUND(Sensitivities!F60,0)</f>
        <v>236365</v>
      </c>
      <c r="E199" s="58" t="n">
        <f aca="false">D199-C199</f>
        <v>0</v>
      </c>
      <c r="F199" s="4" t="str">
        <f aca="false">IF(ABS(E199)&lt;0.00000001,"PASS","FAIL")</f>
        <v>PASS</v>
      </c>
    </row>
    <row r="200" customFormat="false" ht="15" hidden="false" customHeight="false" outlineLevel="0" collapsed="false">
      <c r="B200" s="3" t="s">
        <v>487</v>
      </c>
      <c r="C200" s="15" t="n">
        <v>232358</v>
      </c>
      <c r="D200" s="57" t="n">
        <f aca="false">ROUND(Sensitivities!F61,0)</f>
        <v>232358</v>
      </c>
      <c r="E200" s="58" t="n">
        <f aca="false">D200-C200</f>
        <v>0</v>
      </c>
      <c r="F200" s="4" t="str">
        <f aca="false">IF(ABS(E200)&lt;0.00000001,"PASS","FAIL")</f>
        <v>PASS</v>
      </c>
    </row>
    <row r="201" customFormat="false" ht="15" hidden="false" customHeight="false" outlineLevel="0" collapsed="false">
      <c r="B201" s="3" t="s">
        <v>488</v>
      </c>
      <c r="C201" s="15" t="n">
        <v>227206</v>
      </c>
      <c r="D201" s="57" t="n">
        <f aca="false">ROUND(Sensitivities!F62,0)</f>
        <v>227206</v>
      </c>
      <c r="E201" s="58" t="n">
        <f aca="false">D201-C201</f>
        <v>0</v>
      </c>
      <c r="F201" s="4" t="str">
        <f aca="false">IF(ABS(E201)&lt;0.00000001,"PASS","FAIL")</f>
        <v>PASS</v>
      </c>
    </row>
    <row r="202" customFormat="false" ht="15" hidden="false" customHeight="false" outlineLevel="0" collapsed="false">
      <c r="B202" s="3" t="s">
        <v>489</v>
      </c>
      <c r="C202" s="15" t="n">
        <v>219192</v>
      </c>
      <c r="D202" s="57" t="n">
        <f aca="false">ROUND(Sensitivities!F63,0)</f>
        <v>219192</v>
      </c>
      <c r="E202" s="58" t="n">
        <f aca="false">D202-C202</f>
        <v>0</v>
      </c>
      <c r="F202" s="4" t="str">
        <f aca="false">IF(ABS(E202)&lt;0.00000001,"PASS","FAIL")</f>
        <v>PASS</v>
      </c>
    </row>
    <row r="203" customFormat="false" ht="15" hidden="false" customHeight="false" outlineLevel="0" collapsed="false">
      <c r="B203" s="3" t="s">
        <v>490</v>
      </c>
      <c r="C203" s="15" t="n">
        <v>-206199</v>
      </c>
      <c r="D203" s="57" t="n">
        <f aca="false">ROUND(Sensitivities!G59,0)</f>
        <v>-206199</v>
      </c>
      <c r="E203" s="58" t="n">
        <f aca="false">D203-C203</f>
        <v>0</v>
      </c>
      <c r="F203" s="4" t="str">
        <f aca="false">IF(ABS(E203)&lt;0.00000001,"PASS","FAIL")</f>
        <v>PASS</v>
      </c>
    </row>
    <row r="204" customFormat="false" ht="15" hidden="false" customHeight="false" outlineLevel="0" collapsed="false">
      <c r="B204" s="3" t="s">
        <v>491</v>
      </c>
      <c r="C204" s="15" t="n">
        <v>-76765</v>
      </c>
      <c r="D204" s="57" t="n">
        <f aca="false">ROUND(Sensitivities!G60,0)</f>
        <v>-76765</v>
      </c>
      <c r="E204" s="58" t="n">
        <f aca="false">D204-C204</f>
        <v>0</v>
      </c>
      <c r="F204" s="4" t="str">
        <f aca="false">IF(ABS(E204)&lt;0.00000001,"PASS","FAIL")</f>
        <v>PASS</v>
      </c>
    </row>
    <row r="205" customFormat="false" ht="15" hidden="false" customHeight="false" outlineLevel="0" collapsed="false">
      <c r="B205" s="3" t="s">
        <v>492</v>
      </c>
      <c r="C205" s="15" t="n">
        <v>74242</v>
      </c>
      <c r="D205" s="57" t="n">
        <f aca="false">ROUND(Sensitivities!G61,0)</f>
        <v>74242</v>
      </c>
      <c r="E205" s="58" t="n">
        <f aca="false">D205-C205</f>
        <v>0</v>
      </c>
      <c r="F205" s="4" t="str">
        <f aca="false">IF(ABS(E205)&lt;0.00000001,"PASS","FAIL")</f>
        <v>PASS</v>
      </c>
    </row>
    <row r="206" customFormat="false" ht="15" hidden="false" customHeight="false" outlineLevel="0" collapsed="false">
      <c r="B206" s="3" t="s">
        <v>493</v>
      </c>
      <c r="C206" s="15" t="n">
        <v>268394</v>
      </c>
      <c r="D206" s="57" t="n">
        <f aca="false">ROUND(Sensitivities!G62,0)</f>
        <v>268394</v>
      </c>
      <c r="E206" s="58" t="n">
        <f aca="false">D206-C206</f>
        <v>0</v>
      </c>
      <c r="F206" s="4" t="str">
        <f aca="false">IF(ABS(E206)&lt;0.00000001,"PASS","FAIL")</f>
        <v>PASS</v>
      </c>
    </row>
    <row r="207" customFormat="false" ht="15" hidden="false" customHeight="false" outlineLevel="0" collapsed="false">
      <c r="B207" s="3" t="s">
        <v>494</v>
      </c>
      <c r="C207" s="15" t="n">
        <v>570408</v>
      </c>
      <c r="D207" s="57" t="n">
        <f aca="false">ROUND(Sensitivities!G63,0)</f>
        <v>570408</v>
      </c>
      <c r="E207" s="58" t="n">
        <f aca="false">D207-C207</f>
        <v>0</v>
      </c>
      <c r="F207" s="4" t="str">
        <f aca="false">IF(ABS(E207)&lt;0.00000001,"PASS","FAIL")</f>
        <v>PASS</v>
      </c>
    </row>
    <row r="208" customFormat="false" ht="15" hidden="false" customHeight="false" outlineLevel="0" collapsed="false">
      <c r="B208" s="3" t="s">
        <v>318</v>
      </c>
      <c r="C208" s="15" t="n">
        <v>20607</v>
      </c>
      <c r="D208" s="57" t="n">
        <f aca="false">ROUND(Sensitivities!F64,0)</f>
        <v>20607</v>
      </c>
      <c r="E208" s="58" t="n">
        <f aca="false">D208-C208</f>
        <v>0</v>
      </c>
      <c r="F208" s="4" t="str">
        <f aca="false">IF(ABS(E208)&lt;0.00000001,"PASS","FAIL")</f>
        <v>PASS</v>
      </c>
    </row>
    <row r="209" customFormat="false" ht="15" hidden="false" customHeight="false" outlineLevel="0" collapsed="false">
      <c r="B209" s="2" t="s">
        <v>495</v>
      </c>
    </row>
    <row r="210" customFormat="false" ht="15" hidden="false" customHeight="false" outlineLevel="0" collapsed="false">
      <c r="B210" s="3" t="s">
        <v>496</v>
      </c>
      <c r="C210" s="15" t="n">
        <v>200410</v>
      </c>
      <c r="D210" s="57" t="n">
        <f aca="false">ROUND(Sensitivities!F69,0)</f>
        <v>200410</v>
      </c>
      <c r="E210" s="58" t="n">
        <f aca="false">D210-C210</f>
        <v>0</v>
      </c>
      <c r="F210" s="4" t="str">
        <f aca="false">IF(ABS(E210)&lt;0.00000001,"PASS","FAIL")</f>
        <v>PASS</v>
      </c>
    </row>
    <row r="211" customFormat="false" ht="15" hidden="false" customHeight="false" outlineLevel="0" collapsed="false">
      <c r="B211" s="3" t="s">
        <v>497</v>
      </c>
      <c r="C211" s="15" t="n">
        <v>216384</v>
      </c>
      <c r="D211" s="57" t="n">
        <f aca="false">ROUND(Sensitivities!F70,0)</f>
        <v>216384</v>
      </c>
      <c r="E211" s="58" t="n">
        <f aca="false">D211-C211</f>
        <v>0</v>
      </c>
      <c r="F211" s="4" t="str">
        <f aca="false">IF(ABS(E211)&lt;0.00000001,"PASS","FAIL")</f>
        <v>PASS</v>
      </c>
    </row>
    <row r="212" customFormat="false" ht="15" hidden="false" customHeight="false" outlineLevel="0" collapsed="false">
      <c r="B212" s="3" t="s">
        <v>498</v>
      </c>
      <c r="C212" s="15" t="n">
        <v>232358</v>
      </c>
      <c r="D212" s="57" t="n">
        <f aca="false">ROUND(Sensitivities!F71,0)</f>
        <v>232358</v>
      </c>
      <c r="E212" s="58" t="n">
        <f aca="false">D212-C212</f>
        <v>0</v>
      </c>
      <c r="F212" s="4" t="str">
        <f aca="false">IF(ABS(E212)&lt;0.00000001,"PASS","FAIL")</f>
        <v>PASS</v>
      </c>
    </row>
    <row r="213" customFormat="false" ht="15" hidden="false" customHeight="false" outlineLevel="0" collapsed="false">
      <c r="B213" s="3" t="s">
        <v>499</v>
      </c>
      <c r="C213" s="15" t="n">
        <v>252325</v>
      </c>
      <c r="D213" s="57" t="n">
        <f aca="false">ROUND(Sensitivities!F72,0)</f>
        <v>252325</v>
      </c>
      <c r="E213" s="58" t="n">
        <f aca="false">D213-C213</f>
        <v>0</v>
      </c>
      <c r="F213" s="4" t="str">
        <f aca="false">IF(ABS(E213)&lt;0.00000001,"PASS","FAIL")</f>
        <v>PASS</v>
      </c>
    </row>
    <row r="214" customFormat="false" ht="15" hidden="false" customHeight="false" outlineLevel="0" collapsed="false">
      <c r="B214" s="3" t="s">
        <v>500</v>
      </c>
      <c r="C214" s="15" t="n">
        <v>280280</v>
      </c>
      <c r="D214" s="57" t="n">
        <f aca="false">ROUND(Sensitivities!F73,0)</f>
        <v>280280</v>
      </c>
      <c r="E214" s="58" t="n">
        <f aca="false">D214-C214</f>
        <v>0</v>
      </c>
      <c r="F214" s="4" t="str">
        <f aca="false">IF(ABS(E214)&lt;0.00000001,"PASS","FAIL")</f>
        <v>PASS</v>
      </c>
    </row>
    <row r="215" customFormat="false" ht="15" hidden="false" customHeight="false" outlineLevel="0" collapsed="false">
      <c r="B215" s="3" t="s">
        <v>501</v>
      </c>
      <c r="C215" s="15" t="n">
        <v>106190</v>
      </c>
      <c r="D215" s="57" t="n">
        <f aca="false">ROUND(Sensitivities!G69,0)</f>
        <v>106190</v>
      </c>
      <c r="E215" s="58" t="n">
        <f aca="false">D215-C215</f>
        <v>0</v>
      </c>
      <c r="F215" s="4" t="str">
        <f aca="false">IF(ABS(E215)&lt;0.00000001,"PASS","FAIL")</f>
        <v>PASS</v>
      </c>
    </row>
    <row r="216" customFormat="false" ht="15" hidden="false" customHeight="false" outlineLevel="0" collapsed="false">
      <c r="B216" s="3" t="s">
        <v>502</v>
      </c>
      <c r="C216" s="15" t="n">
        <v>90216</v>
      </c>
      <c r="D216" s="57" t="n">
        <f aca="false">ROUND(Sensitivities!G70,0)</f>
        <v>90216</v>
      </c>
      <c r="E216" s="58" t="n">
        <f aca="false">D216-C216</f>
        <v>0</v>
      </c>
      <c r="F216" s="4" t="str">
        <f aca="false">IF(ABS(E216)&lt;0.00000001,"PASS","FAIL")</f>
        <v>PASS</v>
      </c>
    </row>
    <row r="217" customFormat="false" ht="15" hidden="false" customHeight="false" outlineLevel="0" collapsed="false">
      <c r="B217" s="3" t="s">
        <v>503</v>
      </c>
      <c r="C217" s="15" t="n">
        <v>74242</v>
      </c>
      <c r="D217" s="57" t="n">
        <f aca="false">ROUND(Sensitivities!G71,0)</f>
        <v>74242</v>
      </c>
      <c r="E217" s="58" t="n">
        <f aca="false">D217-C217</f>
        <v>0</v>
      </c>
      <c r="F217" s="4" t="str">
        <f aca="false">IF(ABS(E217)&lt;0.00000001,"PASS","FAIL")</f>
        <v>PASS</v>
      </c>
    </row>
    <row r="218" customFormat="false" ht="15" hidden="false" customHeight="false" outlineLevel="0" collapsed="false">
      <c r="B218" s="3" t="s">
        <v>504</v>
      </c>
      <c r="C218" s="15" t="n">
        <v>54275</v>
      </c>
      <c r="D218" s="57" t="n">
        <f aca="false">ROUND(Sensitivities!G72,0)</f>
        <v>54275</v>
      </c>
      <c r="E218" s="58" t="n">
        <f aca="false">D218-C218</f>
        <v>0</v>
      </c>
      <c r="F218" s="4" t="str">
        <f aca="false">IF(ABS(E218)&lt;0.00000001,"PASS","FAIL")</f>
        <v>PASS</v>
      </c>
    </row>
    <row r="219" customFormat="false" ht="15" hidden="false" customHeight="false" outlineLevel="0" collapsed="false">
      <c r="B219" s="3" t="s">
        <v>505</v>
      </c>
      <c r="C219" s="15" t="n">
        <v>26320</v>
      </c>
      <c r="D219" s="57" t="n">
        <f aca="false">ROUND(Sensitivities!G73,0)</f>
        <v>26320</v>
      </c>
      <c r="E219" s="58" t="n">
        <f aca="false">D219-C219</f>
        <v>0</v>
      </c>
      <c r="F219" s="4" t="str">
        <f aca="false">IF(ABS(E219)&lt;0.00000001,"PASS","FAIL")</f>
        <v>PASS</v>
      </c>
    </row>
    <row r="220" customFormat="false" ht="15" hidden="false" customHeight="false" outlineLevel="0" collapsed="false">
      <c r="B220" s="3" t="s">
        <v>318</v>
      </c>
      <c r="C220" s="15" t="n">
        <v>79870</v>
      </c>
      <c r="D220" s="57" t="n">
        <f aca="false">ROUND(Sensitivities!F74,0)</f>
        <v>79870</v>
      </c>
      <c r="E220" s="58" t="n">
        <f aca="false">D220-C220</f>
        <v>0</v>
      </c>
      <c r="F220" s="4" t="str">
        <f aca="false">IF(ABS(E220)&lt;0.00000001,"PASS","FAIL")</f>
        <v>PASS</v>
      </c>
    </row>
    <row r="221" customFormat="false" ht="15" hidden="false" customHeight="false" outlineLevel="0" collapsed="false">
      <c r="B221" s="2" t="s">
        <v>506</v>
      </c>
    </row>
    <row r="222" customFormat="false" ht="15" hidden="false" customHeight="false" outlineLevel="0" collapsed="false">
      <c r="B222" s="3" t="s">
        <v>147</v>
      </c>
      <c r="C222" s="15" t="n">
        <v>185716</v>
      </c>
      <c r="D222" s="57" t="n">
        <f aca="false">ROUND(Sensitivities!F17,0)</f>
        <v>185716</v>
      </c>
      <c r="E222" s="58" t="n">
        <f aca="false">D222-C222</f>
        <v>0</v>
      </c>
      <c r="F222" s="4" t="str">
        <f aca="false">IF(ABS(E222)&lt;0.00000001,"PASS","FAIL")</f>
        <v>PASS</v>
      </c>
    </row>
    <row r="223" customFormat="false" ht="15" hidden="false" customHeight="false" outlineLevel="0" collapsed="false">
      <c r="B223" s="3" t="s">
        <v>507</v>
      </c>
      <c r="C223" s="15" t="n">
        <v>1</v>
      </c>
      <c r="D223" s="57" t="n">
        <f aca="false">ROUND(Sensitivities!G79,0)</f>
        <v>1</v>
      </c>
      <c r="E223" s="58" t="n">
        <f aca="false">D223-C223</f>
        <v>0</v>
      </c>
      <c r="F223" s="4" t="str">
        <f aca="false">IF(ABS(E223)&lt;0.00000001,"PASS","FAIL")</f>
        <v>PASS</v>
      </c>
    </row>
    <row r="224" customFormat="false" ht="15" hidden="false" customHeight="false" outlineLevel="0" collapsed="false">
      <c r="B224" s="3" t="s">
        <v>508</v>
      </c>
      <c r="C224" s="15" t="n">
        <v>2</v>
      </c>
      <c r="D224" s="57" t="n">
        <f aca="false">ROUND(Sensitivities!G80,0)</f>
        <v>2</v>
      </c>
      <c r="E224" s="58" t="n">
        <f aca="false">D224-C224</f>
        <v>0</v>
      </c>
      <c r="F224" s="4" t="str">
        <f aca="false">IF(ABS(E224)&lt;0.00000001,"PASS","FAIL")</f>
        <v>PASS</v>
      </c>
    </row>
    <row r="225" customFormat="false" ht="15" hidden="false" customHeight="false" outlineLevel="0" collapsed="false">
      <c r="B225" s="3" t="s">
        <v>509</v>
      </c>
      <c r="C225" s="15" t="n">
        <v>7</v>
      </c>
      <c r="D225" s="57" t="n">
        <f aca="false">ROUND(Sensitivities!G85,0)</f>
        <v>7</v>
      </c>
      <c r="E225" s="58" t="n">
        <f aca="false">D225-C225</f>
        <v>0</v>
      </c>
      <c r="F225" s="4" t="str">
        <f aca="false">IF(ABS(E225)&lt;0.00000001,"PASS","FAIL")</f>
        <v>PASS</v>
      </c>
    </row>
    <row r="227" customFormat="false" ht="15" hidden="false" customHeight="false" outlineLevel="0" collapsed="false">
      <c r="B227" s="2" t="s">
        <v>510</v>
      </c>
      <c r="C227" s="4"/>
    </row>
    <row r="228" customFormat="false" ht="15" hidden="false" customHeight="false" outlineLevel="0" collapsed="false">
      <c r="B228" s="3" t="s">
        <v>511</v>
      </c>
      <c r="C228" s="15" t="n">
        <v>135281</v>
      </c>
      <c r="D228" s="57" t="n">
        <f aca="false">ROUND('Break-evens'!C160,0)</f>
        <v>135281</v>
      </c>
      <c r="E228" s="58" t="n">
        <f aca="false">D228-C228</f>
        <v>0</v>
      </c>
      <c r="F228" s="4" t="str">
        <f aca="false">IF(ABS(E228)&lt;0.00000001,"PASS","FAIL")</f>
        <v>PASS</v>
      </c>
    </row>
    <row r="229" customFormat="false" ht="15" hidden="false" customHeight="false" outlineLevel="0" collapsed="false">
      <c r="B229" s="3" t="s">
        <v>512</v>
      </c>
      <c r="C229" s="15" t="n">
        <v>135281</v>
      </c>
      <c r="D229" s="57" t="n">
        <f aca="false">ROUND('Break-evens'!C163,0)</f>
        <v>135281</v>
      </c>
      <c r="E229" s="58" t="n">
        <f aca="false">D229-C229</f>
        <v>0</v>
      </c>
      <c r="F229" s="4" t="str">
        <f aca="false">IF(ABS(E229)&lt;0.00000001,"PASS","FAIL")</f>
        <v>PASS</v>
      </c>
    </row>
    <row r="230" customFormat="false" ht="15" hidden="false" customHeight="false" outlineLevel="0" collapsed="false">
      <c r="B230" s="3" t="s">
        <v>513</v>
      </c>
      <c r="C230" s="15" t="n">
        <v>5.1</v>
      </c>
      <c r="D230" s="57" t="n">
        <f aca="false">ROUND('Break-evens'!C164,1)</f>
        <v>5.1</v>
      </c>
      <c r="E230" s="58" t="n">
        <f aca="false">D230-C230</f>
        <v>0</v>
      </c>
      <c r="F230" s="4" t="str">
        <f aca="false">IF(ABS(E230)&lt;0.00000001,"PASS","FAIL")</f>
        <v>PASS</v>
      </c>
    </row>
    <row r="231" customFormat="false" ht="15" hidden="false" customHeight="false" outlineLevel="0" collapsed="false">
      <c r="B231" s="3" t="s">
        <v>514</v>
      </c>
      <c r="C231" s="15" t="n">
        <v>31399</v>
      </c>
      <c r="D231" s="57" t="n">
        <f aca="false">ROUND('The Price of a Term'!C35,0)</f>
        <v>31399</v>
      </c>
      <c r="E231" s="58" t="n">
        <f aca="false">D231-C231</f>
        <v>0</v>
      </c>
      <c r="F231" s="4" t="str">
        <f aca="false">IF(ABS(E231)&lt;0.00000001,"PASS","FAIL")</f>
        <v>PASS</v>
      </c>
    </row>
    <row r="232" customFormat="false" ht="15" hidden="false" customHeight="false" outlineLevel="0" collapsed="false">
      <c r="B232" s="3" t="s">
        <v>515</v>
      </c>
      <c r="C232" s="15" t="n">
        <v>27481</v>
      </c>
      <c r="D232" s="57" t="n">
        <f aca="false">ROUND('The Price of a Term'!C36,0)</f>
        <v>27481</v>
      </c>
      <c r="E232" s="58" t="n">
        <f aca="false">D232-C232</f>
        <v>0</v>
      </c>
      <c r="F232" s="4" t="str">
        <f aca="false">IF(ABS(E232)&lt;0.00000001,"PASS","FAIL")</f>
        <v>PASS</v>
      </c>
    </row>
    <row r="233" customFormat="false" ht="15" hidden="false" customHeight="false" outlineLevel="0" collapsed="false">
      <c r="B233" s="3" t="s">
        <v>516</v>
      </c>
      <c r="C233" s="15" t="n">
        <v>0.65</v>
      </c>
      <c r="D233" s="57" t="n">
        <f aca="false">ROUND('The Price of a Term'!N15*100,2)</f>
        <v>0.65</v>
      </c>
      <c r="E233" s="58" t="n">
        <f aca="false">D233-C233</f>
        <v>0</v>
      </c>
      <c r="F233" s="4" t="str">
        <f aca="false">IF(ABS(E233)&lt;0.00000001,"PASS","FAIL")</f>
        <v>PASS</v>
      </c>
    </row>
    <row r="234" customFormat="false" ht="15" hidden="false" customHeight="false" outlineLevel="0" collapsed="false">
      <c r="B234" s="3" t="s">
        <v>517</v>
      </c>
      <c r="C234" s="15" t="n">
        <v>25900</v>
      </c>
      <c r="D234" s="57" t="n">
        <f aca="false">ROUND('The Price of a Term'!C37,0)</f>
        <v>25900</v>
      </c>
      <c r="E234" s="58" t="n">
        <f aca="false">D234-C234</f>
        <v>0</v>
      </c>
      <c r="F234" s="4" t="str">
        <f aca="false">IF(ABS(E234)&lt;0.00000001,"PASS","FAIL")</f>
        <v>PASS</v>
      </c>
    </row>
    <row r="235" customFormat="false" ht="15" hidden="false" customHeight="false" outlineLevel="0" collapsed="false">
      <c r="B235" s="3" t="s">
        <v>518</v>
      </c>
      <c r="C235" s="15" t="n">
        <v>1315</v>
      </c>
      <c r="D235" s="57" t="n">
        <f aca="false">ROUND('The Price of a Term'!C38,0)</f>
        <v>1315</v>
      </c>
      <c r="E235" s="58" t="n">
        <f aca="false">D235-C235</f>
        <v>0</v>
      </c>
      <c r="F235" s="4" t="str">
        <f aca="false">IF(ABS(E235)&lt;0.00000001,"PASS","FAIL")</f>
        <v>PASS</v>
      </c>
    </row>
    <row r="236" customFormat="false" ht="15" hidden="false" customHeight="false" outlineLevel="0" collapsed="false">
      <c r="B236" s="3" t="s">
        <v>519</v>
      </c>
      <c r="C236" s="15" t="n">
        <v>266</v>
      </c>
      <c r="D236" s="57" t="n">
        <f aca="false">ROUND('The Price of a Term'!C39,0)</f>
        <v>266</v>
      </c>
      <c r="E236" s="58" t="n">
        <f aca="false">D236-C236</f>
        <v>0</v>
      </c>
      <c r="F236" s="4" t="str">
        <f aca="false">IF(ABS(E236)&lt;0.00000001,"PASS","FAIL")</f>
        <v>PASS</v>
      </c>
    </row>
    <row r="237" customFormat="false" ht="15" hidden="false" customHeight="false" outlineLevel="0" collapsed="false">
      <c r="B237" s="3" t="s">
        <v>520</v>
      </c>
      <c r="C237" s="15" t="n">
        <v>0</v>
      </c>
      <c r="D237" s="57" t="n">
        <f aca="false">ROUND('The Price of a Term'!C40,0)</f>
        <v>0</v>
      </c>
      <c r="E237" s="58" t="n">
        <f aca="false">D237-C237</f>
        <v>0</v>
      </c>
      <c r="F237" s="4" t="str">
        <f aca="false">IF(ABS(E237)&lt;0.00000001,"PASS","FAIL")</f>
        <v>PASS</v>
      </c>
    </row>
    <row r="238" customFormat="false" ht="15" hidden="false" customHeight="false" outlineLevel="0" collapsed="false">
      <c r="B238" s="3" t="s">
        <v>521</v>
      </c>
      <c r="C238" s="15" t="n">
        <v>0.98</v>
      </c>
      <c r="D238" s="57" t="n">
        <f aca="false">ROUND('The Price of a Term'!N16*100,2)</f>
        <v>0.98</v>
      </c>
      <c r="E238" s="58" t="n">
        <f aca="false">D238-C238</f>
        <v>0</v>
      </c>
      <c r="F238" s="4" t="str">
        <f aca="false">IF(ABS(E238)&lt;0.00000001,"PASS","FAIL")</f>
        <v>PASS</v>
      </c>
    </row>
    <row r="239" customFormat="false" ht="15" hidden="false" customHeight="false" outlineLevel="0" collapsed="false">
      <c r="B239" s="3" t="s">
        <v>522</v>
      </c>
      <c r="C239" s="15" t="n">
        <v>41350</v>
      </c>
      <c r="D239" s="57" t="n">
        <f aca="false">ROUND('The Price of a Term'!O16,0)</f>
        <v>41350</v>
      </c>
      <c r="E239" s="58" t="n">
        <f aca="false">D239-C239</f>
        <v>0</v>
      </c>
      <c r="F239" s="4" t="str">
        <f aca="false">IF(ABS(E239)&lt;0.00000001,"PASS","FAIL")</f>
        <v>PASS</v>
      </c>
    </row>
    <row r="240" customFormat="false" ht="15" hidden="false" customHeight="false" outlineLevel="0" collapsed="false">
      <c r="B240" s="3" t="s">
        <v>523</v>
      </c>
      <c r="C240" s="15" t="n">
        <v>0</v>
      </c>
      <c r="D240" s="57" t="n">
        <f aca="false">ROUND(Sensitivities!F110,0)</f>
        <v>0</v>
      </c>
      <c r="E240" s="58" t="n">
        <f aca="false">D240-C240</f>
        <v>0</v>
      </c>
      <c r="F240" s="4" t="str">
        <f aca="false">IF(ABS(E240)&lt;0.00000001,"PASS","FAIL")</f>
        <v>PASS</v>
      </c>
    </row>
    <row r="241" customFormat="false" ht="15" hidden="false" customHeight="false" outlineLevel="0" collapsed="false">
      <c r="B241" s="3" t="s">
        <v>524</v>
      </c>
      <c r="C241" s="15" t="n">
        <v>94415</v>
      </c>
      <c r="D241" s="57" t="n">
        <f aca="false">ROUND(Sensitivities!F111,0)</f>
        <v>94415</v>
      </c>
      <c r="E241" s="58" t="n">
        <f aca="false">D241-C241</f>
        <v>0</v>
      </c>
      <c r="F241" s="4" t="str">
        <f aca="false">IF(ABS(E241)&lt;0.00000001,"PASS","FAIL")</f>
        <v>PASS</v>
      </c>
    </row>
    <row r="242" customFormat="false" ht="15" hidden="false" customHeight="false" outlineLevel="0" collapsed="false">
      <c r="B242" s="3" t="s">
        <v>525</v>
      </c>
      <c r="C242" s="15" t="n">
        <v>16875</v>
      </c>
      <c r="D242" s="57" t="n">
        <f aca="false">ROUND(Sensitivities!F112,0)</f>
        <v>16875</v>
      </c>
      <c r="E242" s="58" t="n">
        <f aca="false">D242-C242</f>
        <v>0</v>
      </c>
      <c r="F242" s="4" t="str">
        <f aca="false">IF(ABS(E242)&lt;0.00000001,"PASS","FAIL")</f>
        <v>PASS</v>
      </c>
    </row>
    <row r="243" customFormat="false" ht="15" hidden="false" customHeight="false" outlineLevel="0" collapsed="false">
      <c r="B243" s="3" t="s">
        <v>526</v>
      </c>
      <c r="C243" s="15" t="n">
        <v>79870</v>
      </c>
      <c r="D243" s="57" t="n">
        <f aca="false">ROUND(Sensitivities!F113,0)</f>
        <v>79870</v>
      </c>
      <c r="E243" s="58" t="n">
        <f aca="false">D243-C243</f>
        <v>0</v>
      </c>
      <c r="F243" s="4" t="str">
        <f aca="false">IF(ABS(E243)&lt;0.00000001,"PASS","FAIL")</f>
        <v>PASS</v>
      </c>
    </row>
    <row r="244" customFormat="false" ht="15" hidden="false" customHeight="false" outlineLevel="0" collapsed="false">
      <c r="B244" s="3" t="s">
        <v>527</v>
      </c>
      <c r="C244" s="15" t="n">
        <v>20607</v>
      </c>
      <c r="D244" s="57" t="n">
        <f aca="false">ROUND(Sensitivities!F114,0)</f>
        <v>20607</v>
      </c>
      <c r="E244" s="58" t="n">
        <f aca="false">D244-C244</f>
        <v>0</v>
      </c>
      <c r="F244" s="4" t="str">
        <f aca="false">IF(ABS(E244)&lt;0.00000001,"PASS","FAIL")</f>
        <v>PASS</v>
      </c>
    </row>
    <row r="245" customFormat="false" ht="15" hidden="false" customHeight="false" outlineLevel="0" collapsed="false">
      <c r="B245" s="3" t="s">
        <v>528</v>
      </c>
      <c r="C245" s="15" t="n">
        <v>7886</v>
      </c>
      <c r="D245" s="57" t="n">
        <f aca="false">ROUND(Sensitivities!F115,0)</f>
        <v>7886</v>
      </c>
      <c r="E245" s="58" t="n">
        <f aca="false">D245-C245</f>
        <v>0</v>
      </c>
      <c r="F245" s="4" t="str">
        <f aca="false">IF(ABS(E245)&lt;0.00000001,"PASS","FAIL")</f>
        <v>PASS</v>
      </c>
    </row>
    <row r="246" customFormat="false" ht="15" hidden="false" customHeight="false" outlineLevel="0" collapsed="false">
      <c r="B246" s="3" t="s">
        <v>529</v>
      </c>
      <c r="C246" s="15" t="n">
        <v>1</v>
      </c>
      <c r="D246" s="57" t="n">
        <f aca="false">ROUND(Sensitivities!I111,0)</f>
        <v>1</v>
      </c>
      <c r="E246" s="58" t="n">
        <f aca="false">D246-C246</f>
        <v>0</v>
      </c>
      <c r="F246" s="4" t="str">
        <f aca="false">IF(ABS(E246)&lt;0.00000001,"PASS","FAIL")</f>
        <v>PASS</v>
      </c>
    </row>
    <row r="247" customFormat="false" ht="15" hidden="false" customHeight="false" outlineLevel="0" collapsed="false">
      <c r="B247" s="3" t="s">
        <v>530</v>
      </c>
      <c r="C247" s="15" t="n">
        <v>0</v>
      </c>
      <c r="D247" s="57" t="n">
        <f aca="false">ROUND(Sensitivities!H110,6)</f>
        <v>0</v>
      </c>
      <c r="E247" s="58" t="n">
        <f aca="false">D247-C247</f>
        <v>0</v>
      </c>
      <c r="F247" s="4" t="str">
        <f aca="false">IF(ABS(E247)&lt;0.00000001,"PASS","FAIL")</f>
        <v>PASS</v>
      </c>
    </row>
    <row r="248" customFormat="false" ht="15" hidden="false" customHeight="false" outlineLevel="0" collapsed="false">
      <c r="B248" s="3" t="s">
        <v>531</v>
      </c>
      <c r="C248" s="15" t="n">
        <v>0</v>
      </c>
      <c r="D248" s="57" t="n">
        <f aca="false">ROUND(Sensitivities!H111,6)</f>
        <v>0</v>
      </c>
      <c r="E248" s="58" t="n">
        <f aca="false">D248-C248</f>
        <v>0</v>
      </c>
      <c r="F248" s="4" t="str">
        <f aca="false">IF(ABS(E248)&lt;0.00000001,"PASS","FAIL")</f>
        <v>PASS</v>
      </c>
    </row>
    <row r="249" customFormat="false" ht="15" hidden="false" customHeight="false" outlineLevel="0" collapsed="false">
      <c r="B249" s="3" t="s">
        <v>532</v>
      </c>
      <c r="C249" s="15" t="n">
        <v>0</v>
      </c>
      <c r="D249" s="57" t="n">
        <f aca="false">ROUND(Sensitivities!H112,6)</f>
        <v>0</v>
      </c>
      <c r="E249" s="58" t="n">
        <f aca="false">D249-C249</f>
        <v>0</v>
      </c>
      <c r="F249" s="4" t="str">
        <f aca="false">IF(ABS(E249)&lt;0.00000001,"PASS","FAIL")</f>
        <v>PASS</v>
      </c>
    </row>
    <row r="250" customFormat="false" ht="15" hidden="false" customHeight="false" outlineLevel="0" collapsed="false">
      <c r="B250" s="3" t="s">
        <v>533</v>
      </c>
      <c r="C250" s="15" t="n">
        <v>0</v>
      </c>
      <c r="D250" s="57" t="n">
        <f aca="false">ROUND(Sensitivities!H113,6)</f>
        <v>0</v>
      </c>
      <c r="E250" s="58" t="n">
        <f aca="false">D250-C250</f>
        <v>0</v>
      </c>
      <c r="F250" s="4" t="str">
        <f aca="false">IF(ABS(E250)&lt;0.00000001,"PASS","FAIL")</f>
        <v>PASS</v>
      </c>
    </row>
    <row r="251" customFormat="false" ht="15" hidden="false" customHeight="false" outlineLevel="0" collapsed="false">
      <c r="B251" s="3" t="s">
        <v>534</v>
      </c>
      <c r="C251" s="15" t="n">
        <v>0</v>
      </c>
      <c r="D251" s="57" t="n">
        <f aca="false">ROUND(Sensitivities!H114,6)</f>
        <v>0</v>
      </c>
      <c r="E251" s="58" t="n">
        <f aca="false">D251-C251</f>
        <v>0</v>
      </c>
      <c r="F251" s="4" t="str">
        <f aca="false">IF(ABS(E251)&lt;0.00000001,"PASS","FAIL")</f>
        <v>PASS</v>
      </c>
    </row>
    <row r="252" customFormat="false" ht="15" hidden="false" customHeight="false" outlineLevel="0" collapsed="false">
      <c r="B252" s="3" t="s">
        <v>535</v>
      </c>
      <c r="C252" s="15" t="n">
        <v>0</v>
      </c>
      <c r="D252" s="57" t="n">
        <f aca="false">ROUND(Sensitivities!H115,6)</f>
        <v>0</v>
      </c>
      <c r="E252" s="58" t="n">
        <f aca="false">D252-C252</f>
        <v>0</v>
      </c>
      <c r="F252" s="4" t="str">
        <f aca="false">IF(ABS(E252)&lt;0.00000001,"PASS","FAIL")</f>
        <v>PASS</v>
      </c>
    </row>
    <row r="254" customFormat="false" ht="15" hidden="false" customHeight="false" outlineLevel="0" collapsed="false">
      <c r="B254" s="4" t="s">
        <v>536</v>
      </c>
      <c r="C254" s="4" t="n">
        <f aca="false">COUNTIF(F8:F252,"PASS")+COUNTIF(F8:F252,"FAIL")</f>
        <v>219</v>
      </c>
    </row>
    <row r="255" customFormat="false" ht="15" hidden="false" customHeight="false" outlineLevel="0" collapsed="false">
      <c r="B255" s="4" t="s">
        <v>537</v>
      </c>
      <c r="C255" s="4" t="n">
        <f aca="false">COUNTIF(F8:F252,"PASS")</f>
        <v>219</v>
      </c>
    </row>
    <row r="256" customFormat="false" ht="15" hidden="false" customHeight="false" outlineLevel="0" collapsed="false">
      <c r="B256" s="4" t="s">
        <v>538</v>
      </c>
      <c r="C256" s="4" t="n">
        <f aca="false">COUNTIF(F8:F252,"FAIL")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2026-09-11T08:26:55Z</dcterms:created>
  <dc:creator>openpyxl</dc:creator>
  <dc:description/>
  <dc:language>en-US</dc:language>
  <cp:lastModifiedBy/>
  <dcterms:modified xsi:type="dcterms:W3CDTF">2026-09-24T01:42:47Z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