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ycle" sheetId="2" state="visible" r:id="rId4"/>
    <sheet name="Discount" sheetId="3" state="visible" r:id="rId5"/>
    <sheet name="SupplyChainFinance" sheetId="4" state="visible" r:id="rId6"/>
    <sheet name="Pool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<sst xmlns="http://schemas.openxmlformats.org/spreadsheetml/2006/main" count="240" uniqueCount="226">
  <si>
    <t xml:space="preserve">Working Capital and the Discount</t>
  </si>
  <si>
    <t xml:space="preserve">Companion to Treasury Management, Chapters 8 to 11. Inputs in blue.</t>
  </si>
  <si>
    <t xml:space="preserve">How to read this workbook</t>
  </si>
  <si>
    <t xml:space="preserve">Blue figures are inputs; change them and everything recomputes.</t>
  </si>
  <si>
    <t xml:space="preserve">Black figures are formulas. Green figures on the Checks sheet are links.</t>
  </si>
  <si>
    <t xml:space="preserve">Yellow cells are the assumptions that decide the answer.</t>
  </si>
  <si>
    <t xml:space="preserve">Amounts are in the reporting currency, without a symbol. Ratios carry an x.</t>
  </si>
  <si>
    <t xml:space="preserve">The company</t>
  </si>
  <si>
    <t xml:space="preserve">Revenue</t>
  </si>
  <si>
    <t xml:space="preserve">Cost of goods sold</t>
  </si>
  <si>
    <t xml:space="preserve">EBITDA</t>
  </si>
  <si>
    <t xml:space="preserve">Days sales outstanding</t>
  </si>
  <si>
    <t xml:space="preserve">Days inventory outstanding</t>
  </si>
  <si>
    <t xml:space="preserve">Days payables outstanding (group average)</t>
  </si>
  <si>
    <t xml:space="preserve">Net debt on reported cash (from The Five Balances)</t>
  </si>
  <si>
    <t xml:space="preserve">Covenant net debt, accessible cash (from The Five Balances)</t>
  </si>
  <si>
    <t xml:space="preserve">Net leverage covenant</t>
  </si>
  <si>
    <t xml:space="preserve">Liquidity headroom (from The Liquidity Test)</t>
  </si>
  <si>
    <t xml:space="preserve">Revolver drawn rate (base + margin)</t>
  </si>
  <si>
    <t xml:space="preserve">Cost of the undrawn revolver, per year (from The Liquidity Test)</t>
  </si>
  <si>
    <t xml:space="preserve">The early-payment discount</t>
  </si>
  <si>
    <t xml:space="preserve">Discount</t>
  </si>
  <si>
    <t xml:space="preserve">Paid by day</t>
  </si>
  <si>
    <t xml:space="preserve">Net terms, days</t>
  </si>
  <si>
    <t xml:space="preserve">Share of purchases carrying the offer</t>
  </si>
  <si>
    <t xml:space="preserve">Supply chain finance</t>
  </si>
  <si>
    <t xml:space="preserve">Extended terms, days</t>
  </si>
  <si>
    <t xml:space="preserve">Share of purchases on the programme</t>
  </si>
  <si>
    <t xml:space="preserve">Rate the bank charges the supplier (on the buyer's name)</t>
  </si>
  <si>
    <t xml:space="preserve">Supplier's own funding rate (assumption)</t>
  </si>
  <si>
    <t xml:space="preserve">The eurozone pool</t>
  </si>
  <si>
    <t xml:space="preserve">Credit balances</t>
  </si>
  <si>
    <t xml:space="preserve">Overdrafts (positive)</t>
  </si>
  <si>
    <t xml:space="preserve">Overdraft rate</t>
  </si>
  <si>
    <t xml:space="preserve">Credit interest rate</t>
  </si>
  <si>
    <t xml:space="preserve">Added</t>
  </si>
  <si>
    <t xml:space="preserve">The same discount on shorter net terms, days</t>
  </si>
  <si>
    <t xml:space="preserve">Headroom over the minimum without the revolver (from The Liquidity Test)</t>
  </si>
  <si>
    <t xml:space="preserve">Operating leverage (from The Liquidity Test)</t>
  </si>
  <si>
    <t xml:space="preserve">The cash conversion cycle, in days and in money</t>
  </si>
  <si>
    <t xml:space="preserve">Revenue per calendar day</t>
  </si>
  <si>
    <t xml:space="preserve">Cost of goods sold per calendar day</t>
  </si>
  <si>
    <t xml:space="preserve">Receivables</t>
  </si>
  <si>
    <t xml:space="preserve">Inventory</t>
  </si>
  <si>
    <t xml:space="preserve">Payables</t>
  </si>
  <si>
    <t xml:space="preserve">Cash conversion cycle, days</t>
  </si>
  <si>
    <t xml:space="preserve">Net working capital</t>
  </si>
  <si>
    <t xml:space="preserve">... as a share of revenue</t>
  </si>
  <si>
    <t xml:space="preserve">Five days off DSO releases</t>
  </si>
  <si>
    <t xml:space="preserve">... as a share of the liquidity headroom</t>
  </si>
  <si>
    <t xml:space="preserve">Leverage on the facility definition after the release</t>
  </si>
  <si>
    <t xml:space="preserve">Net working capital from the three rounded balances</t>
  </si>
  <si>
    <t xml:space="preserve">THE SHORTCUT: the 80-day cycle at revenue per day (not used)</t>
  </si>
  <si>
    <t xml:space="preserve">... overstates net working capital by</t>
  </si>
  <si>
    <t xml:space="preserve">The cycle in days of revenue</t>
  </si>
  <si>
    <t xml:space="preserve">A day of receivables, in days of payables</t>
  </si>
  <si>
    <t xml:space="preserve">... the difference per day</t>
  </si>
  <si>
    <t xml:space="preserve">The receivables side pays more per day by</t>
  </si>
  <si>
    <t xml:space="preserve">EBITDA margin (not the same thing)</t>
  </si>
  <si>
    <t xml:space="preserve">Five days on to DPO releases</t>
  </si>
  <si>
    <t xml:space="preserve">Five days off DSO less five days on DPO</t>
  </si>
  <si>
    <t xml:space="preserve">Covenant net debt after five days off DSO</t>
  </si>
  <si>
    <t xml:space="preserve">... turns of headroom gained</t>
  </si>
  <si>
    <t xml:space="preserve">A five-day concession, a year, at the revolver's drawn rate</t>
  </si>
  <si>
    <t xml:space="preserve">The discount that is worth taking</t>
  </si>
  <si>
    <t xml:space="preserve">Annualised cost of not taking the discount</t>
  </si>
  <si>
    <t xml:space="preserve">Purchases carrying the offer</t>
  </si>
  <si>
    <t xml:space="preserve">Discount captured</t>
  </si>
  <si>
    <t xml:space="preserve">Amount paid early (net of discount)</t>
  </si>
  <si>
    <t xml:space="preserve">Cost of funding the early days on the revolver</t>
  </si>
  <si>
    <t xml:space="preserve">Net gain, per year</t>
  </si>
  <si>
    <t xml:space="preserve">Average cash tied up</t>
  </si>
  <si>
    <t xml:space="preserve">Net debt on reported cash after taking the discount</t>
  </si>
  <si>
    <t xml:space="preserve">Leverage on reading 1 after taking the discount</t>
  </si>
  <si>
    <t xml:space="preserve">... in turns</t>
  </si>
  <si>
    <t xml:space="preserve">The rate for the fifty days</t>
  </si>
  <si>
    <t xml:space="preserve">The same discount on the shorter net terms, annualised</t>
  </si>
  <si>
    <t xml:space="preserve">Funding rate at which the net gain is nil</t>
  </si>
  <si>
    <t xml:space="preserve">Payables that disappear, on the day count</t>
  </si>
  <si>
    <t xml:space="preserve">... less the cash that pays them</t>
  </si>
  <si>
    <t xml:space="preserve">DPO after taking every discount</t>
  </si>
  <si>
    <t xml:space="preserve">Cash conversion cycle after</t>
  </si>
  <si>
    <t xml:space="preserve">Covenant net debt after</t>
  </si>
  <si>
    <t xml:space="preserve">Leverage on the facility's definition after</t>
  </si>
  <si>
    <t xml:space="preserve">Headroom under the covenant after, turns</t>
  </si>
  <si>
    <t xml:space="preserve">EBITDA if the discount reaches it</t>
  </si>
  <si>
    <t xml:space="preserve">Leverage on reading 1, discount in EBITDA</t>
  </si>
  <si>
    <t xml:space="preserve">... turns added</t>
  </si>
  <si>
    <t xml:space="preserve">Fifty days of funding at the drawn rate, share of the amount</t>
  </si>
  <si>
    <t xml:space="preserve">Supply chain finance, and who pays for it</t>
  </si>
  <si>
    <t xml:space="preserve">Annual cost = annual flow x rate x days / 365. Never apply a period rate to the stock.</t>
  </si>
  <si>
    <t xml:space="preserve">Days gained on the programme suppliers</t>
  </si>
  <si>
    <t xml:space="preserve">Cash released (extension reading)</t>
  </si>
  <si>
    <t xml:space="preserve">Annual purchases on the programme</t>
  </si>
  <si>
    <t xml:space="preserve">Payables outstanding on the programme at any time (Bramwell's exposure)</t>
  </si>
  <si>
    <t xml:space="preserve">Days the bank funds (from day 10 to the extended term)</t>
  </si>
  <si>
    <t xml:space="preserve">Amount the bank funds at any time</t>
  </si>
  <si>
    <t xml:space="preserve">Supplier's cost on the programme, per year</t>
  </si>
  <si>
    <t xml:space="preserve">Supplier's cost funding the same days itself, per year</t>
  </si>
  <si>
    <t xml:space="preserve">Supplier's saving against 90-day terms</t>
  </si>
  <si>
    <t xml:space="preserve">THE ONE-TURN ERROR: rate x days/365 applied to the stock (not used)</t>
  </si>
  <si>
    <t xml:space="preserve">Days the supplier funded before the programme (day 10 to the old term)</t>
  </si>
  <si>
    <t xml:space="preserve">Supplier's cost on its ACTUAL terms, per year</t>
  </si>
  <si>
    <t xml:space="preserve">Programme cost less status quo (positive = the programme costs the supplier more)</t>
  </si>
  <si>
    <t xml:space="preserve">Buyer's saving against the revolver</t>
  </si>
  <si>
    <t xml:space="preserve">Implied terms of the programme suppliers, if the discount suppliers are on the net terms</t>
  </si>
  <si>
    <t xml:space="preserve">Cash released on the implied terms</t>
  </si>
  <si>
    <t xml:space="preserve">Reclassification — both readings, release spent</t>
  </si>
  <si>
    <t xml:space="preserve">Extension reading: net debt + release</t>
  </si>
  <si>
    <t xml:space="preserve">Balance reading: net debt + the amount the bank holds</t>
  </si>
  <si>
    <t xml:space="preserve">EBITDA at which 3.00x would be met on the balance reading</t>
  </si>
  <si>
    <t xml:space="preserve">Whole-balance reading</t>
  </si>
  <si>
    <t xml:space="preserve">... release still held as accessible cash</t>
  </si>
  <si>
    <t xml:space="preserve">Extension reading</t>
  </si>
  <si>
    <t xml:space="preserve">Balance reading</t>
  </si>
  <si>
    <t xml:space="preserve">Purchases per calendar day on the programme</t>
  </si>
  <si>
    <t xml:space="preserve">Days gained on the implied terms</t>
  </si>
  <si>
    <t xml:space="preserve">Days off the group DPO base</t>
  </si>
  <si>
    <t xml:space="preserve">DPO after the programme</t>
  </si>
  <si>
    <t xml:space="preserve">One-turn error: the programme's cost on the stock</t>
  </si>
  <si>
    <t xml:space="preserve">One-turn error: the supplier's own cost on the stock</t>
  </si>
  <si>
    <t xml:space="preserve">Days the supplier funds on the implied terms</t>
  </si>
  <si>
    <t xml:space="preserve">... its cost on its own line</t>
  </si>
  <si>
    <t xml:space="preserve">The programme costs such a supplier more by</t>
  </si>
  <si>
    <t xml:space="preserve">Covenant net debt, extension reading</t>
  </si>
  <si>
    <t xml:space="preserve">Headroom under 3.00x, extension reading</t>
  </si>
  <si>
    <t xml:space="preserve">EBITDA at which 3.00x is met, extension reading</t>
  </si>
  <si>
    <t xml:space="preserve">... distance from today's EBITDA</t>
  </si>
  <si>
    <t xml:space="preserve">... fall in EBITDA</t>
  </si>
  <si>
    <t xml:space="preserve">... fall in annual revenue</t>
  </si>
  <si>
    <t xml:space="preserve">One quarter at that level moves trailing EBITDA by</t>
  </si>
  <si>
    <t xml:space="preserve">Covenant net debt, balance reading</t>
  </si>
  <si>
    <t xml:space="preserve">Headroom over the minimum if the revolver and the programme both leave</t>
  </si>
  <si>
    <t xml:space="preserve">... on the implied-terms release</t>
  </si>
  <si>
    <t xml:space="preserve">Pooling the eurozone — what it would save</t>
  </si>
  <si>
    <t xml:space="preserve">Interest paid on the overdrafts, today</t>
  </si>
  <si>
    <t xml:space="preserve">Interest earned on the credit balances, today</t>
  </si>
  <si>
    <t xml:space="preserve">Net interest, unpooled</t>
  </si>
  <si>
    <t xml:space="preserve">Net interest, pooled (credit interest on the net)</t>
  </si>
  <si>
    <t xml:space="preserve">Saving from pooling, per year</t>
  </si>
  <si>
    <t xml:space="preserve">The spread on the overdrafts (check)</t>
  </si>
  <si>
    <t xml:space="preserve">The spread</t>
  </si>
  <si>
    <t xml:space="preserve">Checks — the printed figure beside the computed one</t>
  </si>
  <si>
    <t xml:space="preserve">Blue = the figure as printed in the book, except where the book's last digit is wrong: the label then gives the printed figure. Computed = the live formula.</t>
  </si>
  <si>
    <t xml:space="preserve">Figure</t>
  </si>
  <si>
    <t xml:space="preserve">Printed in the book</t>
  </si>
  <si>
    <t xml:space="preserve">Computed here</t>
  </si>
  <si>
    <t xml:space="preserve">Difference</t>
  </si>
  <si>
    <t xml:space="preserve">Status</t>
  </si>
  <si>
    <t xml:space="preserve">Revenue per day</t>
  </si>
  <si>
    <t xml:space="preserve">Five days off DSO</t>
  </si>
  <si>
    <t xml:space="preserve">Annualised cost of the foregone discount</t>
  </si>
  <si>
    <t xml:space="preserve">Funding cost</t>
  </si>
  <si>
    <t xml:space="preserve">Net gain</t>
  </si>
  <si>
    <t xml:space="preserve">Leverage on reading 1 after the discount</t>
  </si>
  <si>
    <t xml:space="preserve">Cash released by the programme</t>
  </si>
  <si>
    <t xml:space="preserve">Payables outstanding on the programme</t>
  </si>
  <si>
    <t xml:space="preserve">Amount the bank funds</t>
  </si>
  <si>
    <t xml:space="preserve">Supplier's cost on the programme</t>
  </si>
  <si>
    <t xml:space="preserve">Supplier's cost on its own funding, 80 days</t>
  </si>
  <si>
    <t xml:space="preserve">The one-turn error (not used)</t>
  </si>
  <si>
    <t xml:space="preserve">Supplier's cost on its actual terms</t>
  </si>
  <si>
    <t xml:space="preserve">Programme less status quo</t>
  </si>
  <si>
    <t xml:space="preserve">Buyer's saving</t>
  </si>
  <si>
    <t xml:space="preserve">Implied terms of the programme suppliers</t>
  </si>
  <si>
    <t xml:space="preserve">Release on the implied terms</t>
  </si>
  <si>
    <t xml:space="preserve">Leverage, extension reading</t>
  </si>
  <si>
    <t xml:space="preserve">Leverage, balance reading</t>
  </si>
  <si>
    <t xml:space="preserve">EBITDA at the covenant, balance reading</t>
  </si>
  <si>
    <t xml:space="preserve">Leverage, whole balance</t>
  </si>
  <si>
    <t xml:space="preserve">Balance reading, release held</t>
  </si>
  <si>
    <t xml:space="preserve">Interest paid on the overdrafts</t>
  </si>
  <si>
    <t xml:space="preserve">Net interest, pooled</t>
  </si>
  <si>
    <t xml:space="preserve">Saving from pooling</t>
  </si>
  <si>
    <t xml:space="preserve">Cost of goods sold per day</t>
  </si>
  <si>
    <t xml:space="preserve">Cycle in days</t>
  </si>
  <si>
    <t xml:space="preserve">Net working capital, share of revenue</t>
  </si>
  <si>
    <t xml:space="preserve">Rounded sum</t>
  </si>
  <si>
    <t xml:space="preserve">The shortcut</t>
  </si>
  <si>
    <t xml:space="preserve">... overstatement</t>
  </si>
  <si>
    <t xml:space="preserve">Cycle in days of revenue</t>
  </si>
  <si>
    <t xml:space="preserve">Day ratio</t>
  </si>
  <si>
    <t xml:space="preserve">Difference per day</t>
  </si>
  <si>
    <t xml:space="preserve">Receivables side pays more by</t>
  </si>
  <si>
    <t xml:space="preserve">EBITDA margin</t>
  </si>
  <si>
    <t xml:space="preserve">Five days on DPO</t>
  </si>
  <si>
    <t xml:space="preserve">Five days DSO less DPO</t>
  </si>
  <si>
    <t xml:space="preserve">Share of headroom</t>
  </si>
  <si>
    <t xml:space="preserve">Leverage after five days off DSO</t>
  </si>
  <si>
    <t xml:space="preserve">Net debt after five days off DSO</t>
  </si>
  <si>
    <t xml:space="preserve">Turns of headroom gained (the book prints 0.1141, 2.3690 less 2.2549 rounded)</t>
  </si>
  <si>
    <t xml:space="preserve">Five-day concession a year</t>
  </si>
  <si>
    <t xml:space="preserve">The fifty-day rate</t>
  </si>
  <si>
    <t xml:space="preserve">Net 30</t>
  </si>
  <si>
    <t xml:space="preserve">Funding rate at nil gain</t>
  </si>
  <si>
    <t xml:space="preserve">Payables on the day count</t>
  </si>
  <si>
    <t xml:space="preserve">... gap</t>
  </si>
  <si>
    <t xml:space="preserve">DPO after</t>
  </si>
  <si>
    <t xml:space="preserve">CCC after</t>
  </si>
  <si>
    <t xml:space="preserve">Leverage, facility definition, after</t>
  </si>
  <si>
    <t xml:space="preserve">Headroom after</t>
  </si>
  <si>
    <t xml:space="preserve">EBITDA with the discount</t>
  </si>
  <si>
    <t xml:space="preserve">Leverage, discount in EBITDA</t>
  </si>
  <si>
    <t xml:space="preserve">... turns</t>
  </si>
  <si>
    <t xml:space="preserve">Fifty days at the drawn rate</t>
  </si>
  <si>
    <t xml:space="preserve">Per day on the programme</t>
  </si>
  <si>
    <t xml:space="preserve">Days gained, implied terms</t>
  </si>
  <si>
    <t xml:space="preserve">Days off DPO</t>
  </si>
  <si>
    <t xml:space="preserve">One turn, programme</t>
  </si>
  <si>
    <t xml:space="preserve">One turn, own line</t>
  </si>
  <si>
    <t xml:space="preserve">Days on implied terms</t>
  </si>
  <si>
    <t xml:space="preserve">Cost on implied terms</t>
  </si>
  <si>
    <t xml:space="preserve">Programme costs more by</t>
  </si>
  <si>
    <t xml:space="preserve">Net debt, extension</t>
  </si>
  <si>
    <t xml:space="preserve">Headroom, extension</t>
  </si>
  <si>
    <t xml:space="preserve">Turns added</t>
  </si>
  <si>
    <t xml:space="preserve">EBITDA at 3.00x, extension</t>
  </si>
  <si>
    <t xml:space="preserve">... distance</t>
  </si>
  <si>
    <t xml:space="preserve">... fall</t>
  </si>
  <si>
    <t xml:space="preserve">... revenue fall</t>
  </si>
  <si>
    <t xml:space="preserve">... one quarter</t>
  </si>
  <si>
    <t xml:space="preserve">Net debt, balance reading</t>
  </si>
  <si>
    <t xml:space="preserve">Both leave</t>
  </si>
  <si>
    <t xml:space="preserve">Both leave, implied terms</t>
  </si>
  <si>
    <t xml:space="preserve">Pool spread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</si>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</sst>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[RED]\-#,##0.00"/>
    <numFmt numFmtId="166" formatCode="#,##0;[RED]\-#,##0"/>
    <numFmt numFmtId="167" formatCode="0.0000\x"/>
    <numFmt numFmtId="168" formatCode="0.00%"/>
    <numFmt numFmtId="169" formatCode="0.00"/>
    <numFmt numFmtId="170" formatCode="0.0000%"/>
    <numFmt numFmtId="171" formatCode="0.0000"/>
    <numFmt numFmtId="172" formatCode="0.00E+00"/>
    <numFmt numFmtId="173" formatCode="#,##0.0000;[RED]\-#,##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7" t="s">
        <v>5</v>
      </c>
    </row>
    <row r="8" customFormat="false" ht="15" hidden="false" customHeight="false" outlineLevel="0" collapsed="false">
      <c r="A8" s="6" t="s">
        <v>6</v>
      </c>
    </row>
    <row r="10" customFormat="false" ht="15" hidden="false" customHeight="false" outlineLevel="0" collapsed="false">
      <c r="A10" s="3" t="s">
        <v>7</v>
      </c>
      <c r="B10" s="4"/>
      <c r="C10" s="4"/>
      <c r="D10" s="4"/>
      <c r="E10" s="4"/>
      <c r="F10" s="4"/>
    </row>
    <row r="11" customFormat="false" ht="15" hidden="false" customHeight="false" outlineLevel="0" collapsed="false">
      <c r="A11" s="6" t="s">
        <v>8</v>
      </c>
      <c r="B11" s="8" t="n">
        <v>1400000000</v>
      </c>
    </row>
    <row r="12" customFormat="false" ht="15" hidden="false" customHeight="false" outlineLevel="0" collapsed="false">
      <c r="A12" s="6" t="s">
        <v>9</v>
      </c>
      <c r="B12" s="8" t="n">
        <v>980000000</v>
      </c>
    </row>
    <row r="13" customFormat="false" ht="15" hidden="false" customHeight="false" outlineLevel="0" collapsed="false">
      <c r="A13" s="6" t="s">
        <v>10</v>
      </c>
      <c r="B13" s="8" t="n">
        <v>168000000</v>
      </c>
    </row>
    <row r="14" customFormat="false" ht="15" hidden="false" customHeight="false" outlineLevel="0" collapsed="false">
      <c r="A14" s="6" t="s">
        <v>11</v>
      </c>
      <c r="B14" s="9" t="n">
        <v>58</v>
      </c>
    </row>
    <row r="15" customFormat="false" ht="15" hidden="false" customHeight="false" outlineLevel="0" collapsed="false">
      <c r="A15" s="6" t="s">
        <v>12</v>
      </c>
      <c r="B15" s="9" t="n">
        <v>71</v>
      </c>
    </row>
    <row r="16" customFormat="false" ht="15" hidden="false" customHeight="false" outlineLevel="0" collapsed="false">
      <c r="A16" s="6" t="s">
        <v>13</v>
      </c>
      <c r="B16" s="9" t="n">
        <v>49</v>
      </c>
    </row>
    <row r="17" customFormat="false" ht="15" hidden="false" customHeight="false" outlineLevel="0" collapsed="false">
      <c r="A17" s="6" t="s">
        <v>14</v>
      </c>
      <c r="B17" s="8" t="n">
        <v>336000000</v>
      </c>
    </row>
    <row r="18" customFormat="false" ht="15" hidden="false" customHeight="false" outlineLevel="0" collapsed="false">
      <c r="A18" s="6" t="s">
        <v>15</v>
      </c>
      <c r="B18" s="8" t="n">
        <v>398000000</v>
      </c>
    </row>
    <row r="19" customFormat="false" ht="15" hidden="false" customHeight="false" outlineLevel="0" collapsed="false">
      <c r="A19" s="6" t="s">
        <v>16</v>
      </c>
      <c r="B19" s="10" t="n">
        <v>3</v>
      </c>
    </row>
    <row r="20" customFormat="false" ht="15" hidden="false" customHeight="false" outlineLevel="0" collapsed="false">
      <c r="A20" s="6" t="s">
        <v>17</v>
      </c>
      <c r="B20" s="8" t="n">
        <v>370608000</v>
      </c>
    </row>
    <row r="21" customFormat="false" ht="15" hidden="false" customHeight="false" outlineLevel="0" collapsed="false">
      <c r="A21" s="6" t="s">
        <v>18</v>
      </c>
      <c r="B21" s="11" t="n">
        <v>0.045</v>
      </c>
    </row>
    <row r="22" customFormat="false" ht="15" hidden="false" customHeight="false" outlineLevel="0" collapsed="false">
      <c r="A22" s="6" t="s">
        <v>19</v>
      </c>
      <c r="B22" s="8" t="n">
        <v>1562500</v>
      </c>
    </row>
    <row r="23" customFormat="false" ht="15" hidden="false" customHeight="false" outlineLevel="0" collapsed="false">
      <c r="A23" s="3" t="s">
        <v>20</v>
      </c>
      <c r="B23" s="4"/>
      <c r="C23" s="4"/>
      <c r="D23" s="4"/>
      <c r="E23" s="4"/>
      <c r="F23" s="4"/>
    </row>
    <row r="24" customFormat="false" ht="15" hidden="false" customHeight="false" outlineLevel="0" collapsed="false">
      <c r="A24" s="6" t="s">
        <v>21</v>
      </c>
      <c r="B24" s="12" t="n">
        <v>0.02</v>
      </c>
    </row>
    <row r="25" customFormat="false" ht="15" hidden="false" customHeight="false" outlineLevel="0" collapsed="false">
      <c r="A25" s="6" t="s">
        <v>22</v>
      </c>
      <c r="B25" s="9" t="n">
        <v>10</v>
      </c>
    </row>
    <row r="26" customFormat="false" ht="15" hidden="false" customHeight="false" outlineLevel="0" collapsed="false">
      <c r="A26" s="6" t="s">
        <v>23</v>
      </c>
      <c r="B26" s="9" t="n">
        <v>60</v>
      </c>
    </row>
    <row r="27" customFormat="false" ht="15" hidden="false" customHeight="false" outlineLevel="0" collapsed="false">
      <c r="A27" s="6" t="s">
        <v>24</v>
      </c>
      <c r="B27" s="12" t="n">
        <v>0.4</v>
      </c>
    </row>
    <row r="28" customFormat="false" ht="15" hidden="false" customHeight="false" outlineLevel="0" collapsed="false">
      <c r="A28" s="3" t="s">
        <v>25</v>
      </c>
      <c r="B28" s="4"/>
      <c r="C28" s="4"/>
      <c r="D28" s="4"/>
      <c r="E28" s="4"/>
      <c r="F28" s="4"/>
    </row>
    <row r="29" customFormat="false" ht="15" hidden="false" customHeight="false" outlineLevel="0" collapsed="false">
      <c r="A29" s="6" t="s">
        <v>26</v>
      </c>
      <c r="B29" s="13" t="n">
        <v>90</v>
      </c>
    </row>
    <row r="30" customFormat="false" ht="15" hidden="false" customHeight="false" outlineLevel="0" collapsed="false">
      <c r="A30" s="6" t="s">
        <v>27</v>
      </c>
      <c r="B30" s="12" t="n">
        <v>0.6</v>
      </c>
    </row>
    <row r="31" customFormat="false" ht="15" hidden="false" customHeight="false" outlineLevel="0" collapsed="false">
      <c r="A31" s="6" t="s">
        <v>28</v>
      </c>
      <c r="B31" s="11" t="n">
        <v>0.042</v>
      </c>
    </row>
    <row r="32" customFormat="false" ht="15" hidden="false" customHeight="false" outlineLevel="0" collapsed="false">
      <c r="A32" s="6" t="s">
        <v>29</v>
      </c>
      <c r="B32" s="12" t="n">
        <v>0.085</v>
      </c>
    </row>
    <row r="33" customFormat="false" ht="15" hidden="false" customHeight="false" outlineLevel="0" collapsed="false">
      <c r="A33" s="3" t="s">
        <v>30</v>
      </c>
      <c r="B33" s="4"/>
      <c r="C33" s="4"/>
      <c r="D33" s="4"/>
      <c r="E33" s="4"/>
      <c r="F33" s="4"/>
    </row>
    <row r="34" customFormat="false" ht="15" hidden="false" customHeight="false" outlineLevel="0" collapsed="false">
      <c r="A34" s="6" t="s">
        <v>31</v>
      </c>
      <c r="B34" s="8" t="n">
        <v>131000000</v>
      </c>
    </row>
    <row r="35" customFormat="false" ht="15" hidden="false" customHeight="false" outlineLevel="0" collapsed="false">
      <c r="A35" s="6" t="s">
        <v>32</v>
      </c>
      <c r="B35" s="8" t="n">
        <v>35000000</v>
      </c>
    </row>
    <row r="36" customFormat="false" ht="15" hidden="false" customHeight="false" outlineLevel="0" collapsed="false">
      <c r="A36" s="6" t="s">
        <v>33</v>
      </c>
      <c r="B36" s="11" t="n">
        <v>0.055</v>
      </c>
    </row>
    <row r="37" customFormat="false" ht="15" hidden="false" customHeight="false" outlineLevel="0" collapsed="false">
      <c r="A37" s="6" t="s">
        <v>34</v>
      </c>
      <c r="B37" s="11" t="n">
        <v>0.021</v>
      </c>
    </row>
    <row r="39" customFormat="false" ht="15" hidden="false" customHeight="false" outlineLevel="0" collapsed="false">
      <c r="A39" s="14" t="s">
        <v>35</v>
      </c>
    </row>
    <row r="40" customFormat="false" ht="15" hidden="false" customHeight="false" outlineLevel="0" collapsed="false">
      <c r="A40" s="6" t="s">
        <v>36</v>
      </c>
      <c r="B40" s="9" t="n">
        <v>30</v>
      </c>
    </row>
    <row r="41" customFormat="false" ht="15" hidden="false" customHeight="false" outlineLevel="0" collapsed="false">
      <c r="A41" s="6" t="s">
        <v>37</v>
      </c>
      <c r="B41" s="8" t="n">
        <v>27403718.8412781</v>
      </c>
    </row>
    <row r="42" customFormat="false" ht="15" hidden="false" customHeight="false" outlineLevel="0" collapsed="false">
      <c r="A42" s="6" t="s">
        <v>38</v>
      </c>
      <c r="B42" s="15" t="n">
        <v>2.5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39</v>
      </c>
    </row>
    <row r="3" customFormat="false" ht="15" hidden="false" customHeight="false" outlineLevel="0" collapsed="false">
      <c r="A3" s="6" t="s">
        <v>40</v>
      </c>
      <c r="B3" s="16" t="n">
        <f aca="false">Inputs!$B$11/365</f>
        <v>3835616.43835616</v>
      </c>
    </row>
    <row r="4" customFormat="false" ht="15" hidden="false" customHeight="false" outlineLevel="0" collapsed="false">
      <c r="A4" s="6" t="s">
        <v>41</v>
      </c>
      <c r="B4" s="16" t="n">
        <f aca="false">Inputs!$B$12/365</f>
        <v>2684931.50684932</v>
      </c>
    </row>
    <row r="5" customFormat="false" ht="15" hidden="false" customHeight="false" outlineLevel="0" collapsed="false">
      <c r="A5" s="6" t="s">
        <v>42</v>
      </c>
      <c r="B5" s="16" t="n">
        <f aca="false">Inputs!$B$14*$B$3</f>
        <v>222465753.424658</v>
      </c>
    </row>
    <row r="6" customFormat="false" ht="15" hidden="false" customHeight="false" outlineLevel="0" collapsed="false">
      <c r="A6" s="6" t="s">
        <v>43</v>
      </c>
      <c r="B6" s="16" t="n">
        <f aca="false">Inputs!$B$15*$B$4</f>
        <v>190630136.986301</v>
      </c>
    </row>
    <row r="7" customFormat="false" ht="15" hidden="false" customHeight="false" outlineLevel="0" collapsed="false">
      <c r="A7" s="6" t="s">
        <v>44</v>
      </c>
      <c r="B7" s="16" t="n">
        <f aca="false">Inputs!$B$16*$B$4</f>
        <v>131561643.835616</v>
      </c>
    </row>
    <row r="8" customFormat="false" ht="15" hidden="false" customHeight="false" outlineLevel="0" collapsed="false">
      <c r="A8" s="17" t="s">
        <v>45</v>
      </c>
      <c r="B8" s="18" t="n">
        <f aca="false">Inputs!$B$14+Inputs!$B$15-Inputs!$B$16</f>
        <v>80</v>
      </c>
    </row>
    <row r="9" customFormat="false" ht="15" hidden="false" customHeight="false" outlineLevel="0" collapsed="false">
      <c r="A9" s="17" t="s">
        <v>46</v>
      </c>
      <c r="B9" s="19" t="n">
        <f aca="false">$B$5+$B$6-$B$7</f>
        <v>281534246.575342</v>
      </c>
    </row>
    <row r="10" customFormat="false" ht="15" hidden="false" customHeight="false" outlineLevel="0" collapsed="false">
      <c r="A10" s="6" t="s">
        <v>47</v>
      </c>
      <c r="B10" s="20" t="n">
        <f aca="false">$B$9/Inputs!$B$11</f>
        <v>0.201095890410959</v>
      </c>
    </row>
    <row r="11" customFormat="false" ht="15" hidden="false" customHeight="false" outlineLevel="0" collapsed="false">
      <c r="A11" s="6" t="s">
        <v>48</v>
      </c>
      <c r="B11" s="16" t="n">
        <f aca="false">5*$B$3</f>
        <v>19178082.1917808</v>
      </c>
    </row>
    <row r="12" customFormat="false" ht="15" hidden="false" customHeight="false" outlineLevel="0" collapsed="false">
      <c r="A12" s="6" t="s">
        <v>49</v>
      </c>
      <c r="B12" s="20" t="n">
        <f aca="false">$B$11/Inputs!$B$20</f>
        <v>0.0517476206444028</v>
      </c>
    </row>
    <row r="13" customFormat="false" ht="15" hidden="false" customHeight="false" outlineLevel="0" collapsed="false">
      <c r="A13" s="6" t="s">
        <v>50</v>
      </c>
      <c r="B13" s="21" t="n">
        <f aca="false">(Inputs!$B$18-$B$11)/Inputs!$B$13</f>
        <v>2.25489236790607</v>
      </c>
    </row>
    <row r="15" customFormat="false" ht="15" hidden="false" customHeight="false" outlineLevel="0" collapsed="false">
      <c r="A15" s="6" t="s">
        <v>51</v>
      </c>
      <c r="B15" s="16" t="n">
        <f aca="false">ROUND($B$5,2)+ROUND($B$6,2)-ROUND($B$7,2)</f>
        <v>281534246.57</v>
      </c>
    </row>
    <row r="16" customFormat="false" ht="15" hidden="false" customHeight="false" outlineLevel="0" collapsed="false">
      <c r="A16" s="6" t="s">
        <v>52</v>
      </c>
      <c r="B16" s="16" t="n">
        <f aca="false">$B$8*$B$3</f>
        <v>306849315.068493</v>
      </c>
    </row>
    <row r="17" customFormat="false" ht="15" hidden="false" customHeight="false" outlineLevel="0" collapsed="false">
      <c r="A17" s="6" t="s">
        <v>53</v>
      </c>
      <c r="B17" s="16" t="n">
        <f aca="false">B16-$B$9</f>
        <v>25315068.4931507</v>
      </c>
    </row>
    <row r="18" customFormat="false" ht="15" hidden="false" customHeight="false" outlineLevel="0" collapsed="false">
      <c r="A18" s="6" t="s">
        <v>54</v>
      </c>
      <c r="B18" s="22" t="n">
        <f aca="false">Inputs!$B$14+(Inputs!$B$15-Inputs!$B$16)*Inputs!$B$12/Inputs!$B$11</f>
        <v>73.4</v>
      </c>
    </row>
    <row r="19" customFormat="false" ht="15" hidden="false" customHeight="false" outlineLevel="0" collapsed="false">
      <c r="A19" s="6" t="s">
        <v>55</v>
      </c>
      <c r="B19" s="23" t="n">
        <f aca="false">$B$3/$B$4</f>
        <v>1.42857142857143</v>
      </c>
    </row>
    <row r="20" customFormat="false" ht="15" hidden="false" customHeight="false" outlineLevel="0" collapsed="false">
      <c r="A20" s="6" t="s">
        <v>56</v>
      </c>
      <c r="B20" s="16" t="n">
        <f aca="false">$B$3-$B$4</f>
        <v>1150684.93150685</v>
      </c>
    </row>
    <row r="21" customFormat="false" ht="15" hidden="false" customHeight="false" outlineLevel="0" collapsed="false">
      <c r="A21" s="6" t="s">
        <v>57</v>
      </c>
      <c r="B21" s="20" t="n">
        <f aca="false">B19-1</f>
        <v>0.428571428571429</v>
      </c>
    </row>
    <row r="22" customFormat="false" ht="15" hidden="false" customHeight="false" outlineLevel="0" collapsed="false">
      <c r="A22" s="6" t="s">
        <v>58</v>
      </c>
      <c r="B22" s="24" t="n">
        <f aca="false">Inputs!$B$13/Inputs!$B$11</f>
        <v>0.12</v>
      </c>
    </row>
    <row r="23" customFormat="false" ht="15" hidden="false" customHeight="false" outlineLevel="0" collapsed="false">
      <c r="A23" s="6" t="s">
        <v>59</v>
      </c>
      <c r="B23" s="16" t="n">
        <f aca="false">5*$B$4</f>
        <v>13424657.5342466</v>
      </c>
    </row>
    <row r="24" customFormat="false" ht="15" hidden="false" customHeight="false" outlineLevel="0" collapsed="false">
      <c r="A24" s="6" t="s">
        <v>60</v>
      </c>
      <c r="B24" s="16" t="n">
        <f aca="false">$B$11-B23</f>
        <v>5753424.65753425</v>
      </c>
    </row>
    <row r="25" customFormat="false" ht="15" hidden="false" customHeight="false" outlineLevel="0" collapsed="false">
      <c r="A25" s="6" t="s">
        <v>61</v>
      </c>
      <c r="B25" s="16" t="n">
        <f aca="false">Inputs!$B$18-$B$11</f>
        <v>378821917.808219</v>
      </c>
    </row>
    <row r="26" customFormat="false" ht="15" hidden="false" customHeight="false" outlineLevel="0" collapsed="false">
      <c r="A26" s="6" t="s">
        <v>62</v>
      </c>
      <c r="B26" s="23" t="n">
        <f aca="false">Inputs!$B$18/Inputs!$B$13-$B$13</f>
        <v>0.114155251141552</v>
      </c>
    </row>
    <row r="27" customFormat="false" ht="15" hidden="false" customHeight="false" outlineLevel="0" collapsed="false">
      <c r="A27" s="6" t="s">
        <v>63</v>
      </c>
      <c r="B27" s="16" t="n">
        <f aca="false">$B$11*Inputs!$B$21</f>
        <v>863013.698630137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64</v>
      </c>
    </row>
    <row r="3" customFormat="false" ht="15" hidden="false" customHeight="false" outlineLevel="0" collapsed="false">
      <c r="A3" s="17" t="s">
        <v>65</v>
      </c>
      <c r="B3" s="25" t="n">
        <f aca="false">Inputs!$B$24/(1-Inputs!$B$24)*365/(Inputs!$B$26-Inputs!$B$25)</f>
        <v>0.148979591836735</v>
      </c>
    </row>
    <row r="4" customFormat="false" ht="15" hidden="false" customHeight="false" outlineLevel="0" collapsed="false">
      <c r="A4" s="6" t="s">
        <v>66</v>
      </c>
      <c r="B4" s="16" t="n">
        <f aca="false">Inputs!$B$12*Inputs!$B$27</f>
        <v>392000000</v>
      </c>
    </row>
    <row r="5" customFormat="false" ht="15" hidden="false" customHeight="false" outlineLevel="0" collapsed="false">
      <c r="A5" s="6" t="s">
        <v>67</v>
      </c>
      <c r="B5" s="16" t="n">
        <f aca="false">$B$4*Inputs!$B$24</f>
        <v>7840000</v>
      </c>
    </row>
    <row r="6" customFormat="false" ht="15" hidden="false" customHeight="false" outlineLevel="0" collapsed="false">
      <c r="A6" s="6" t="s">
        <v>68</v>
      </c>
      <c r="B6" s="16" t="n">
        <f aca="false">$B$4*(1-Inputs!$B$24)</f>
        <v>384160000</v>
      </c>
    </row>
    <row r="7" customFormat="false" ht="15" hidden="false" customHeight="false" outlineLevel="0" collapsed="false">
      <c r="A7" s="6" t="s">
        <v>69</v>
      </c>
      <c r="B7" s="16" t="n">
        <f aca="false">$B$6*Inputs!$B$21*(Inputs!$B$26-Inputs!$B$25)/365</f>
        <v>2368109.5890411</v>
      </c>
    </row>
    <row r="8" customFormat="false" ht="15" hidden="false" customHeight="false" outlineLevel="0" collapsed="false">
      <c r="A8" s="17" t="s">
        <v>70</v>
      </c>
      <c r="B8" s="19" t="n">
        <f aca="false">$B$5-$B$7</f>
        <v>5471890.41095891</v>
      </c>
    </row>
    <row r="9" customFormat="false" ht="15" hidden="false" customHeight="false" outlineLevel="0" collapsed="false">
      <c r="A9" s="6" t="s">
        <v>71</v>
      </c>
      <c r="B9" s="16" t="n">
        <f aca="false">$B$6*(Inputs!$B$26-Inputs!$B$25)/365</f>
        <v>52624657.5342466</v>
      </c>
    </row>
    <row r="10" customFormat="false" ht="15" hidden="false" customHeight="false" outlineLevel="0" collapsed="false">
      <c r="A10" s="6" t="s">
        <v>72</v>
      </c>
      <c r="B10" s="16" t="n">
        <f aca="false">Inputs!$B$17+$B$9</f>
        <v>388624657.534247</v>
      </c>
    </row>
    <row r="11" customFormat="false" ht="15" hidden="false" customHeight="false" outlineLevel="0" collapsed="false">
      <c r="A11" s="6" t="s">
        <v>73</v>
      </c>
      <c r="B11" s="21" t="n">
        <f aca="false">$B$10/Inputs!$B$13</f>
        <v>2.31324200913242</v>
      </c>
    </row>
    <row r="12" customFormat="false" ht="15" hidden="false" customHeight="false" outlineLevel="0" collapsed="false">
      <c r="A12" s="6" t="s">
        <v>74</v>
      </c>
      <c r="B12" s="23" t="n">
        <f aca="false">$B$9/Inputs!$B$13</f>
        <v>0.31324200913242</v>
      </c>
    </row>
    <row r="14" customFormat="false" ht="15" hidden="false" customHeight="false" outlineLevel="0" collapsed="false">
      <c r="A14" s="6" t="s">
        <v>75</v>
      </c>
      <c r="B14" s="20" t="n">
        <f aca="false">Inputs!$B$24/(1-Inputs!$B$24)</f>
        <v>0.0204081632653061</v>
      </c>
    </row>
    <row r="15" customFormat="false" ht="15" hidden="false" customHeight="false" outlineLevel="0" collapsed="false">
      <c r="A15" s="6" t="s">
        <v>76</v>
      </c>
      <c r="B15" s="20" t="n">
        <f aca="false">B14*365/(Inputs!$B$40-Inputs!$B$25)</f>
        <v>0.372448979591837</v>
      </c>
    </row>
    <row r="16" customFormat="false" ht="15" hidden="false" customHeight="false" outlineLevel="0" collapsed="false">
      <c r="A16" s="6" t="s">
        <v>77</v>
      </c>
      <c r="B16" s="20" t="n">
        <f aca="false">$B$5/$B$9</f>
        <v>0.148979591836735</v>
      </c>
    </row>
    <row r="17" customFormat="false" ht="15" hidden="false" customHeight="false" outlineLevel="0" collapsed="false">
      <c r="A17" s="6" t="s">
        <v>78</v>
      </c>
      <c r="B17" s="16" t="n">
        <f aca="false">$B$4*(Inputs!$B$26-Inputs!$B$25)/365</f>
        <v>53698630.1369863</v>
      </c>
    </row>
    <row r="18" customFormat="false" ht="15" hidden="false" customHeight="false" outlineLevel="0" collapsed="false">
      <c r="A18" s="6" t="s">
        <v>79</v>
      </c>
      <c r="B18" s="16" t="n">
        <f aca="false">B17-$B$9</f>
        <v>1073972.60273972</v>
      </c>
    </row>
    <row r="19" customFormat="false" ht="15" hidden="false" customHeight="false" outlineLevel="0" collapsed="false">
      <c r="A19" s="6" t="s">
        <v>80</v>
      </c>
      <c r="B19" s="22" t="n">
        <f aca="false">Inputs!$B$16-Inputs!$B$27*(Inputs!$B$26-Inputs!$B$25)</f>
        <v>29</v>
      </c>
    </row>
    <row r="20" customFormat="false" ht="15" hidden="false" customHeight="false" outlineLevel="0" collapsed="false">
      <c r="A20" s="6" t="s">
        <v>81</v>
      </c>
      <c r="B20" s="22" t="n">
        <f aca="false">Cycle!$B$8+Inputs!$B$27*(Inputs!$B$26-Inputs!$B$25)</f>
        <v>100</v>
      </c>
    </row>
    <row r="21" customFormat="false" ht="15" hidden="false" customHeight="false" outlineLevel="0" collapsed="false">
      <c r="A21" s="6" t="s">
        <v>82</v>
      </c>
      <c r="B21" s="16" t="n">
        <f aca="false">Inputs!$B$18+$B$9</f>
        <v>450624657.534247</v>
      </c>
    </row>
    <row r="22" customFormat="false" ht="15" hidden="false" customHeight="false" outlineLevel="0" collapsed="false">
      <c r="A22" s="6" t="s">
        <v>83</v>
      </c>
      <c r="B22" s="21" t="n">
        <f aca="false">B21/Inputs!$B$13</f>
        <v>2.68228962818004</v>
      </c>
    </row>
    <row r="23" customFormat="false" ht="15" hidden="false" customHeight="false" outlineLevel="0" collapsed="false">
      <c r="A23" s="6" t="s">
        <v>84</v>
      </c>
      <c r="B23" s="23" t="n">
        <f aca="false">Inputs!$B$19-B22</f>
        <v>0.317710371819961</v>
      </c>
    </row>
    <row r="24" customFormat="false" ht="15" hidden="false" customHeight="false" outlineLevel="0" collapsed="false">
      <c r="A24" s="6" t="s">
        <v>85</v>
      </c>
      <c r="B24" s="16" t="n">
        <f aca="false">Inputs!$B$13+$B$5</f>
        <v>175840000</v>
      </c>
    </row>
    <row r="25" customFormat="false" ht="15" hidden="false" customHeight="false" outlineLevel="0" collapsed="false">
      <c r="A25" s="6" t="s">
        <v>86</v>
      </c>
      <c r="B25" s="21" t="n">
        <f aca="false">$B$10/B24</f>
        <v>2.21010383038129</v>
      </c>
    </row>
    <row r="26" customFormat="false" ht="15" hidden="false" customHeight="false" outlineLevel="0" collapsed="false">
      <c r="A26" s="6" t="s">
        <v>87</v>
      </c>
      <c r="B26" s="23" t="n">
        <f aca="false">B25-Inputs!$B$17/Inputs!$B$13</f>
        <v>0.210103830381293</v>
      </c>
    </row>
    <row r="27" customFormat="false" ht="15" hidden="false" customHeight="false" outlineLevel="0" collapsed="false">
      <c r="A27" s="6" t="s">
        <v>88</v>
      </c>
      <c r="B27" s="20" t="n">
        <f aca="false">Inputs!$B$21*(Inputs!$B$26-Inputs!$B$25)/365</f>
        <v>0.00616438356164384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89</v>
      </c>
    </row>
    <row r="2" customFormat="false" ht="15" hidden="false" customHeight="false" outlineLevel="0" collapsed="false">
      <c r="A2" s="2" t="s">
        <v>90</v>
      </c>
    </row>
    <row r="4" customFormat="false" ht="15" hidden="false" customHeight="false" outlineLevel="0" collapsed="false">
      <c r="A4" s="6" t="s">
        <v>91</v>
      </c>
      <c r="B4" s="26" t="n">
        <f aca="false">Inputs!$B$29-Inputs!$B$16</f>
        <v>41</v>
      </c>
    </row>
    <row r="5" customFormat="false" ht="15" hidden="false" customHeight="false" outlineLevel="0" collapsed="false">
      <c r="A5" s="17" t="s">
        <v>92</v>
      </c>
      <c r="B5" s="19" t="n">
        <f aca="false">$B$4*Cycle!$B$4*Inputs!$B$30</f>
        <v>66049315.0684932</v>
      </c>
    </row>
    <row r="6" customFormat="false" ht="15" hidden="false" customHeight="false" outlineLevel="0" collapsed="false">
      <c r="A6" s="6" t="s">
        <v>93</v>
      </c>
      <c r="B6" s="16" t="n">
        <f aca="false">Inputs!$B$12*Inputs!$B$30</f>
        <v>588000000</v>
      </c>
    </row>
    <row r="7" customFormat="false" ht="15" hidden="false" customHeight="false" outlineLevel="0" collapsed="false">
      <c r="A7" s="6" t="s">
        <v>94</v>
      </c>
      <c r="B7" s="16" t="n">
        <f aca="false">Inputs!$B$29*Cycle!$B$4*Inputs!$B$30</f>
        <v>144986301.369863</v>
      </c>
    </row>
    <row r="8" customFormat="false" ht="15" hidden="false" customHeight="false" outlineLevel="0" collapsed="false">
      <c r="A8" s="6" t="s">
        <v>95</v>
      </c>
      <c r="B8" s="26" t="n">
        <f aca="false">Inputs!$B$29-Inputs!$B$25</f>
        <v>80</v>
      </c>
    </row>
    <row r="9" customFormat="false" ht="15" hidden="false" customHeight="false" outlineLevel="0" collapsed="false">
      <c r="A9" s="6" t="s">
        <v>96</v>
      </c>
      <c r="B9" s="16" t="n">
        <f aca="false">$B$8*Cycle!$B$4*Inputs!$B$30</f>
        <v>128876712.328767</v>
      </c>
    </row>
    <row r="10" customFormat="false" ht="15" hidden="false" customHeight="false" outlineLevel="0" collapsed="false">
      <c r="A10" s="6" t="s">
        <v>97</v>
      </c>
      <c r="B10" s="16" t="n">
        <f aca="false">$B$6*Inputs!$B$31*$B$8/365</f>
        <v>5412821.91780822</v>
      </c>
    </row>
    <row r="11" customFormat="false" ht="15" hidden="false" customHeight="false" outlineLevel="0" collapsed="false">
      <c r="A11" s="6" t="s">
        <v>98</v>
      </c>
      <c r="B11" s="16" t="n">
        <f aca="false">$B$6*Inputs!$B$32*$B$8/365</f>
        <v>10954520.5479452</v>
      </c>
    </row>
    <row r="12" customFormat="false" ht="15" hidden="false" customHeight="false" outlineLevel="0" collapsed="false">
      <c r="A12" s="17" t="s">
        <v>99</v>
      </c>
      <c r="B12" s="19" t="n">
        <f aca="false">$B$11-$B$10</f>
        <v>5541698.63013699</v>
      </c>
    </row>
    <row r="13" customFormat="false" ht="15" hidden="false" customHeight="false" outlineLevel="0" collapsed="false">
      <c r="A13" s="6" t="s">
        <v>100</v>
      </c>
      <c r="B13" s="16" t="n">
        <f aca="false">$B$7*(Inputs!$B$32-Inputs!$B$31)*$B$8/365</f>
        <v>1366446.23756802</v>
      </c>
    </row>
    <row r="14" customFormat="false" ht="15" hidden="false" customHeight="false" outlineLevel="0" collapsed="false">
      <c r="A14" s="6" t="s">
        <v>101</v>
      </c>
      <c r="B14" s="26" t="n">
        <f aca="false">Inputs!$B$16-Inputs!$B$25</f>
        <v>39</v>
      </c>
    </row>
    <row r="15" customFormat="false" ht="15" hidden="false" customHeight="false" outlineLevel="0" collapsed="false">
      <c r="A15" s="6" t="s">
        <v>102</v>
      </c>
      <c r="B15" s="16" t="n">
        <f aca="false">$B$6*Inputs!$B$32*$B$14/365</f>
        <v>5340328.76712329</v>
      </c>
    </row>
    <row r="16" customFormat="false" ht="15" hidden="false" customHeight="false" outlineLevel="0" collapsed="false">
      <c r="A16" s="17" t="s">
        <v>103</v>
      </c>
      <c r="B16" s="19" t="n">
        <f aca="false">$B$10-$B$15</f>
        <v>72493.1506849313</v>
      </c>
    </row>
    <row r="17" customFormat="false" ht="15" hidden="false" customHeight="false" outlineLevel="0" collapsed="false">
      <c r="A17" s="6" t="s">
        <v>104</v>
      </c>
      <c r="B17" s="16" t="n">
        <f aca="false">$B$5*Inputs!$B$21</f>
        <v>2972219.17808219</v>
      </c>
    </row>
    <row r="18" customFormat="false" ht="15" hidden="false" customHeight="false" outlineLevel="0" collapsed="false">
      <c r="A18" s="6" t="s">
        <v>105</v>
      </c>
      <c r="B18" s="23" t="n">
        <f aca="false">(Inputs!$B$16-Inputs!$B$27*Inputs!$B$26)/(1-Inputs!$B$27)</f>
        <v>41.6666666666667</v>
      </c>
    </row>
    <row r="19" customFormat="false" ht="15" hidden="false" customHeight="false" outlineLevel="0" collapsed="false">
      <c r="A19" s="6" t="s">
        <v>106</v>
      </c>
      <c r="B19" s="16" t="n">
        <f aca="false">(Inputs!$B$29-$B$18)*Cycle!$B$4*Inputs!$B$30</f>
        <v>77863013.6986301</v>
      </c>
    </row>
    <row r="21" customFormat="false" ht="15" hidden="false" customHeight="false" outlineLevel="0" collapsed="false">
      <c r="A21" s="3" t="s">
        <v>107</v>
      </c>
      <c r="B21" s="4"/>
      <c r="C21" s="4"/>
      <c r="D21" s="4"/>
      <c r="E21" s="4"/>
      <c r="F21" s="4"/>
    </row>
    <row r="22" customFormat="false" ht="15" hidden="false" customHeight="false" outlineLevel="0" collapsed="false">
      <c r="A22" s="17" t="s">
        <v>108</v>
      </c>
      <c r="B22" s="27" t="n">
        <f aca="false">(Inputs!$B$18+$B$5)/Inputs!$B$13</f>
        <v>2.76219830397913</v>
      </c>
    </row>
    <row r="23" customFormat="false" ht="15" hidden="false" customHeight="false" outlineLevel="0" collapsed="false">
      <c r="A23" s="6" t="s">
        <v>74</v>
      </c>
      <c r="B23" s="23" t="n">
        <f aca="false">$B$5/Inputs!$B$13</f>
        <v>0.393150684931507</v>
      </c>
    </row>
    <row r="24" customFormat="false" ht="15" hidden="false" customHeight="false" outlineLevel="0" collapsed="false">
      <c r="A24" s="17" t="s">
        <v>109</v>
      </c>
      <c r="B24" s="27" t="n">
        <f aca="false">(Inputs!$B$18+$B$9)/Inputs!$B$13</f>
        <v>3.13617090671885</v>
      </c>
    </row>
    <row r="25" customFormat="false" ht="15" hidden="false" customHeight="false" outlineLevel="0" collapsed="false">
      <c r="A25" s="6" t="s">
        <v>110</v>
      </c>
      <c r="B25" s="16" t="n">
        <f aca="false">(Inputs!$B$18+$B$9)/Inputs!$B$19</f>
        <v>175625570.776256</v>
      </c>
    </row>
    <row r="26" customFormat="false" ht="15" hidden="false" customHeight="false" outlineLevel="0" collapsed="false">
      <c r="A26" s="6" t="s">
        <v>111</v>
      </c>
      <c r="B26" s="21" t="n">
        <f aca="false">(Inputs!$B$18+$B$7)/Inputs!$B$13</f>
        <v>3.23206131767776</v>
      </c>
    </row>
    <row r="27" customFormat="false" ht="15" hidden="false" customHeight="false" outlineLevel="0" collapsed="false">
      <c r="A27" s="3" t="s">
        <v>112</v>
      </c>
      <c r="B27" s="4"/>
      <c r="C27" s="4"/>
      <c r="D27" s="4"/>
      <c r="E27" s="4"/>
      <c r="F27" s="4"/>
    </row>
    <row r="28" customFormat="false" ht="15" hidden="false" customHeight="false" outlineLevel="0" collapsed="false">
      <c r="A28" s="6" t="s">
        <v>113</v>
      </c>
      <c r="B28" s="21" t="n">
        <f aca="false">(Inputs!$B$18+$B$5-$B$5)/Inputs!$B$13</f>
        <v>2.36904761904762</v>
      </c>
    </row>
    <row r="29" customFormat="false" ht="15" hidden="false" customHeight="false" outlineLevel="0" collapsed="false">
      <c r="A29" s="6" t="s">
        <v>114</v>
      </c>
      <c r="B29" s="21" t="n">
        <f aca="false">(Inputs!$B$18+$B$9-$B$5)/Inputs!$B$13</f>
        <v>2.74302022178735</v>
      </c>
    </row>
    <row r="30" customFormat="false" ht="15" hidden="false" customHeight="false" outlineLevel="0" collapsed="false">
      <c r="A30" s="6" t="s">
        <v>111</v>
      </c>
      <c r="B30" s="21" t="n">
        <f aca="false">(Inputs!$B$18+$B$7-$B$5)/Inputs!$B$13</f>
        <v>2.83891063274625</v>
      </c>
    </row>
    <row r="32" customFormat="false" ht="15" hidden="false" customHeight="false" outlineLevel="0" collapsed="false">
      <c r="A32" s="6" t="s">
        <v>115</v>
      </c>
      <c r="B32" s="16" t="n">
        <f aca="false">$B$6/365</f>
        <v>1610958.90410959</v>
      </c>
    </row>
    <row r="33" customFormat="false" ht="15" hidden="false" customHeight="false" outlineLevel="0" collapsed="false">
      <c r="A33" s="6" t="s">
        <v>116</v>
      </c>
      <c r="B33" s="23" t="n">
        <f aca="false">Inputs!$B$29-$B$18</f>
        <v>48.3333333333333</v>
      </c>
    </row>
    <row r="34" customFormat="false" ht="15" hidden="false" customHeight="false" outlineLevel="0" collapsed="false">
      <c r="A34" s="6" t="s">
        <v>117</v>
      </c>
      <c r="B34" s="22" t="n">
        <f aca="false">$B$5/Cycle!$B$4</f>
        <v>24.6</v>
      </c>
    </row>
    <row r="35" customFormat="false" ht="15" hidden="false" customHeight="false" outlineLevel="0" collapsed="false">
      <c r="A35" s="6" t="s">
        <v>118</v>
      </c>
      <c r="B35" s="22" t="n">
        <f aca="false">Inputs!$B$16+B34</f>
        <v>73.6</v>
      </c>
    </row>
    <row r="36" customFormat="false" ht="15" hidden="false" customHeight="false" outlineLevel="0" collapsed="false">
      <c r="A36" s="6" t="s">
        <v>81</v>
      </c>
      <c r="B36" s="22" t="n">
        <f aca="false">Cycle!$B$8-B34</f>
        <v>55.4</v>
      </c>
    </row>
    <row r="37" customFormat="false" ht="15" hidden="false" customHeight="false" outlineLevel="0" collapsed="false">
      <c r="A37" s="6" t="s">
        <v>119</v>
      </c>
      <c r="B37" s="16" t="n">
        <f aca="false">$B$7*Inputs!$B$31*$B$8/365</f>
        <v>1334668.4180897</v>
      </c>
    </row>
    <row r="38" customFormat="false" ht="15" hidden="false" customHeight="false" outlineLevel="0" collapsed="false">
      <c r="A38" s="6" t="s">
        <v>120</v>
      </c>
      <c r="B38" s="16" t="n">
        <f aca="false">$B$7*Inputs!$B$32*$B$8/365</f>
        <v>2701114.65565772</v>
      </c>
    </row>
    <row r="39" customFormat="false" ht="15" hidden="false" customHeight="false" outlineLevel="0" collapsed="false">
      <c r="A39" s="6" t="s">
        <v>121</v>
      </c>
      <c r="B39" s="23" t="n">
        <f aca="false">$B$18-Inputs!$B$25</f>
        <v>31.6666666666667</v>
      </c>
    </row>
    <row r="40" customFormat="false" ht="15" hidden="false" customHeight="false" outlineLevel="0" collapsed="false">
      <c r="A40" s="6" t="s">
        <v>122</v>
      </c>
      <c r="B40" s="16" t="n">
        <f aca="false">$B$6*Inputs!$B$32*B39/365</f>
        <v>4336164.38356165</v>
      </c>
    </row>
    <row r="41" customFormat="false" ht="15" hidden="false" customHeight="false" outlineLevel="0" collapsed="false">
      <c r="A41" s="6" t="s">
        <v>123</v>
      </c>
      <c r="B41" s="16" t="n">
        <f aca="false">$B$10-B40</f>
        <v>1076657.53424657</v>
      </c>
    </row>
    <row r="42" customFormat="false" ht="15" hidden="false" customHeight="false" outlineLevel="0" collapsed="false">
      <c r="A42" s="6" t="s">
        <v>124</v>
      </c>
      <c r="B42" s="16" t="n">
        <f aca="false">Inputs!$B$18+$B$5</f>
        <v>464049315.068493</v>
      </c>
    </row>
    <row r="43" customFormat="false" ht="15" hidden="false" customHeight="false" outlineLevel="0" collapsed="false">
      <c r="A43" s="6" t="s">
        <v>125</v>
      </c>
      <c r="B43" s="23" t="n">
        <f aca="false">Inputs!$B$19-$B$22</f>
        <v>0.237801696020874</v>
      </c>
    </row>
    <row r="44" customFormat="false" ht="15" hidden="false" customHeight="false" outlineLevel="0" collapsed="false">
      <c r="A44" s="6" t="s">
        <v>126</v>
      </c>
      <c r="B44" s="16" t="n">
        <f aca="false">B42/Inputs!$B$19</f>
        <v>154683105.022831</v>
      </c>
    </row>
    <row r="45" customFormat="false" ht="15" hidden="false" customHeight="false" outlineLevel="0" collapsed="false">
      <c r="A45" s="6" t="s">
        <v>127</v>
      </c>
      <c r="B45" s="16" t="n">
        <f aca="false">Inputs!$B$13-B44</f>
        <v>13316894.9771689</v>
      </c>
    </row>
    <row r="46" customFormat="false" ht="15" hidden="false" customHeight="false" outlineLevel="0" collapsed="false">
      <c r="A46" s="6" t="s">
        <v>128</v>
      </c>
      <c r="B46" s="20" t="n">
        <f aca="false">B45/Inputs!$B$13</f>
        <v>0.079267232006958</v>
      </c>
    </row>
    <row r="47" customFormat="false" ht="15" hidden="false" customHeight="false" outlineLevel="0" collapsed="false">
      <c r="A47" s="6" t="s">
        <v>129</v>
      </c>
      <c r="B47" s="20" t="n">
        <f aca="false">B46/Inputs!$B$42</f>
        <v>0.0317068928027832</v>
      </c>
    </row>
    <row r="48" customFormat="false" ht="15" hidden="false" customHeight="false" outlineLevel="0" collapsed="false">
      <c r="A48" s="6" t="s">
        <v>130</v>
      </c>
      <c r="B48" s="20" t="n">
        <f aca="false">B46/4</f>
        <v>0.0198168080017395</v>
      </c>
    </row>
    <row r="49" customFormat="false" ht="15" hidden="false" customHeight="false" outlineLevel="0" collapsed="false">
      <c r="A49" s="6" t="s">
        <v>131</v>
      </c>
      <c r="B49" s="16" t="n">
        <f aca="false">Inputs!$B$18+$B$9</f>
        <v>526876712.328767</v>
      </c>
    </row>
    <row r="50" customFormat="false" ht="15" hidden="false" customHeight="false" outlineLevel="0" collapsed="false">
      <c r="A50" s="6" t="s">
        <v>132</v>
      </c>
      <c r="B50" s="16" t="n">
        <f aca="false">Inputs!$B$41-$B$5</f>
        <v>-38645596.2272151</v>
      </c>
    </row>
    <row r="51" customFormat="false" ht="15" hidden="false" customHeight="false" outlineLevel="0" collapsed="false">
      <c r="A51" s="6" t="s">
        <v>133</v>
      </c>
      <c r="B51" s="16" t="n">
        <f aca="false">Inputs!$B$41-$B$19</f>
        <v>-50459294.8573521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134</v>
      </c>
    </row>
    <row r="3" customFormat="false" ht="15" hidden="false" customHeight="false" outlineLevel="0" collapsed="false">
      <c r="A3" s="6" t="s">
        <v>135</v>
      </c>
      <c r="B3" s="16" t="n">
        <f aca="false">Inputs!$B$35*Inputs!$B$36</f>
        <v>1925000</v>
      </c>
    </row>
    <row r="4" customFormat="false" ht="15" hidden="false" customHeight="false" outlineLevel="0" collapsed="false">
      <c r="A4" s="6" t="s">
        <v>136</v>
      </c>
      <c r="B4" s="16" t="n">
        <f aca="false">Inputs!$B$34*Inputs!$B$37</f>
        <v>2751000</v>
      </c>
    </row>
    <row r="5" customFormat="false" ht="15" hidden="false" customHeight="false" outlineLevel="0" collapsed="false">
      <c r="A5" s="6" t="s">
        <v>137</v>
      </c>
      <c r="B5" s="16" t="n">
        <f aca="false">$B$4-$B$3</f>
        <v>826000</v>
      </c>
    </row>
    <row r="6" customFormat="false" ht="15" hidden="false" customHeight="false" outlineLevel="0" collapsed="false">
      <c r="A6" s="6" t="s">
        <v>138</v>
      </c>
      <c r="B6" s="16" t="n">
        <f aca="false">(Inputs!$B$34-Inputs!$B$35)*Inputs!$B$37</f>
        <v>2016000</v>
      </c>
    </row>
    <row r="7" customFormat="false" ht="15" hidden="false" customHeight="false" outlineLevel="0" collapsed="false">
      <c r="A7" s="17" t="s">
        <v>139</v>
      </c>
      <c r="B7" s="19" t="n">
        <f aca="false">$B$6-$B$5</f>
        <v>1190000</v>
      </c>
    </row>
    <row r="8" customFormat="false" ht="15" hidden="false" customHeight="false" outlineLevel="0" collapsed="false">
      <c r="A8" s="6" t="s">
        <v>140</v>
      </c>
      <c r="B8" s="16" t="n">
        <f aca="false">Inputs!$B$35*(Inputs!$B$36-Inputs!$B$37)</f>
        <v>1190000</v>
      </c>
    </row>
    <row r="9" customFormat="false" ht="15" hidden="false" customHeight="false" outlineLevel="0" collapsed="false">
      <c r="A9" s="6" t="s">
        <v>141</v>
      </c>
      <c r="B9" s="24" t="n">
        <f aca="false">Inputs!$B$36-Inputs!$B$37</f>
        <v>0.034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4" customFormat="false" ht="15" hidden="false" customHeight="false" outlineLevel="0" collapsed="false">
      <c r="A4" s="28" t="s">
        <v>144</v>
      </c>
      <c r="B4" s="28" t="s">
        <v>145</v>
      </c>
      <c r="C4" s="28" t="s">
        <v>146</v>
      </c>
      <c r="D4" s="28" t="s">
        <v>147</v>
      </c>
      <c r="E4" s="28" t="s">
        <v>148</v>
      </c>
    </row>
    <row r="5" customFormat="false" ht="15" hidden="false" customHeight="false" outlineLevel="0" collapsed="false">
      <c r="A5" s="6" t="s">
        <v>149</v>
      </c>
      <c r="B5" s="8" t="n">
        <v>3835616.43835616</v>
      </c>
      <c r="C5" s="29" t="n">
        <f aca="false">Cycle!$B$3</f>
        <v>3835616.43835616</v>
      </c>
      <c r="D5" s="30" t="n">
        <f aca="false">C5-B5</f>
        <v>0</v>
      </c>
      <c r="E5" s="17" t="str">
        <f aca="false">IF(ABS(D5)&lt;0.005,"PASS","FAIL")</f>
        <v>PASS</v>
      </c>
    </row>
    <row r="6" customFormat="false" ht="15" hidden="false" customHeight="false" outlineLevel="0" collapsed="false">
      <c r="A6" s="6" t="s">
        <v>42</v>
      </c>
      <c r="B6" s="8" t="n">
        <v>222465753.424658</v>
      </c>
      <c r="C6" s="29" t="n">
        <f aca="false">Cycle!$B$5</f>
        <v>222465753.424658</v>
      </c>
      <c r="D6" s="30" t="n">
        <f aca="false">C6-B6</f>
        <v>0</v>
      </c>
      <c r="E6" s="17" t="str">
        <f aca="false">IF(ABS(D6)&lt;0.005,"PASS","FAIL")</f>
        <v>PASS</v>
      </c>
    </row>
    <row r="7" customFormat="false" ht="15" hidden="false" customHeight="false" outlineLevel="0" collapsed="false">
      <c r="A7" s="6" t="s">
        <v>43</v>
      </c>
      <c r="B7" s="8" t="n">
        <v>190630136.986301</v>
      </c>
      <c r="C7" s="29" t="n">
        <f aca="false">Cycle!$B$6</f>
        <v>190630136.986301</v>
      </c>
      <c r="D7" s="30" t="n">
        <f aca="false">C7-B7</f>
        <v>0</v>
      </c>
      <c r="E7" s="17" t="str">
        <f aca="false">IF(ABS(D7)&lt;0.005,"PASS","FAIL")</f>
        <v>PASS</v>
      </c>
    </row>
    <row r="8" customFormat="false" ht="15" hidden="false" customHeight="false" outlineLevel="0" collapsed="false">
      <c r="A8" s="6" t="s">
        <v>44</v>
      </c>
      <c r="B8" s="8" t="n">
        <v>131561643.835616</v>
      </c>
      <c r="C8" s="29" t="n">
        <f aca="false">Cycle!$B$7</f>
        <v>131561643.835616</v>
      </c>
      <c r="D8" s="30" t="n">
        <f aca="false">C8-B8</f>
        <v>0</v>
      </c>
      <c r="E8" s="17" t="str">
        <f aca="false">IF(ABS(D8)&lt;0.005,"PASS","FAIL")</f>
        <v>PASS</v>
      </c>
    </row>
    <row r="9" customFormat="false" ht="15" hidden="false" customHeight="false" outlineLevel="0" collapsed="false">
      <c r="A9" s="6" t="s">
        <v>46</v>
      </c>
      <c r="B9" s="8" t="n">
        <v>281534246.575342</v>
      </c>
      <c r="C9" s="29" t="n">
        <f aca="false">Cycle!$B$9</f>
        <v>281534246.575342</v>
      </c>
      <c r="D9" s="30" t="n">
        <f aca="false">C9-B9</f>
        <v>0</v>
      </c>
      <c r="E9" s="17" t="str">
        <f aca="false">IF(ABS(D9)&lt;0.005,"PASS","FAIL")</f>
        <v>PASS</v>
      </c>
    </row>
    <row r="10" customFormat="false" ht="15" hidden="false" customHeight="false" outlineLevel="0" collapsed="false">
      <c r="A10" s="6" t="s">
        <v>150</v>
      </c>
      <c r="B10" s="8" t="n">
        <v>19178082.1917808</v>
      </c>
      <c r="C10" s="29" t="n">
        <f aca="false">Cycle!$B$11</f>
        <v>19178082.1917808</v>
      </c>
      <c r="D10" s="30" t="n">
        <f aca="false">C10-B10</f>
        <v>0</v>
      </c>
      <c r="E10" s="17" t="str">
        <f aca="false">IF(ABS(D10)&lt;0.005,"PASS","FAIL")</f>
        <v>PASS</v>
      </c>
    </row>
    <row r="11" customFormat="false" ht="15" hidden="false" customHeight="false" outlineLevel="0" collapsed="false">
      <c r="A11" s="6" t="s">
        <v>151</v>
      </c>
      <c r="B11" s="31" t="n">
        <v>0.148979591836735</v>
      </c>
      <c r="C11" s="32" t="n">
        <f aca="false">Discount!$B$3</f>
        <v>0.148979591836735</v>
      </c>
      <c r="D11" s="33" t="n">
        <f aca="false">C11-B11</f>
        <v>0</v>
      </c>
      <c r="E11" s="17" t="str">
        <f aca="false">IF(ABS(D11)&lt;0.00005,"PASS","FAIL")</f>
        <v>PASS</v>
      </c>
    </row>
    <row r="12" customFormat="false" ht="15" hidden="false" customHeight="false" outlineLevel="0" collapsed="false">
      <c r="A12" s="6" t="s">
        <v>67</v>
      </c>
      <c r="B12" s="8" t="n">
        <v>7840000</v>
      </c>
      <c r="C12" s="29" t="n">
        <f aca="false">Discount!$B$5</f>
        <v>7840000</v>
      </c>
      <c r="D12" s="30" t="n">
        <f aca="false">C12-B12</f>
        <v>0</v>
      </c>
      <c r="E12" s="17" t="str">
        <f aca="false">IF(ABS(D12)&lt;0.005,"PASS","FAIL")</f>
        <v>PASS</v>
      </c>
    </row>
    <row r="13" customFormat="false" ht="15" hidden="false" customHeight="false" outlineLevel="0" collapsed="false">
      <c r="A13" s="6" t="s">
        <v>152</v>
      </c>
      <c r="B13" s="8" t="n">
        <v>2368109.5890411</v>
      </c>
      <c r="C13" s="29" t="n">
        <f aca="false">Discount!$B$7</f>
        <v>2368109.5890411</v>
      </c>
      <c r="D13" s="30" t="n">
        <f aca="false">C13-B13</f>
        <v>0</v>
      </c>
      <c r="E13" s="17" t="str">
        <f aca="false">IF(ABS(D13)&lt;0.005,"PASS","FAIL")</f>
        <v>PASS</v>
      </c>
    </row>
    <row r="14" customFormat="false" ht="15" hidden="false" customHeight="false" outlineLevel="0" collapsed="false">
      <c r="A14" s="6" t="s">
        <v>153</v>
      </c>
      <c r="B14" s="8" t="n">
        <v>5471890.41095891</v>
      </c>
      <c r="C14" s="29" t="n">
        <f aca="false">Discount!$B$8</f>
        <v>5471890.41095891</v>
      </c>
      <c r="D14" s="30" t="n">
        <f aca="false">C14-B14</f>
        <v>0</v>
      </c>
      <c r="E14" s="17" t="str">
        <f aca="false">IF(ABS(D14)&lt;0.005,"PASS","FAIL")</f>
        <v>PASS</v>
      </c>
    </row>
    <row r="15" customFormat="false" ht="15" hidden="false" customHeight="false" outlineLevel="0" collapsed="false">
      <c r="A15" s="6" t="s">
        <v>71</v>
      </c>
      <c r="B15" s="8" t="n">
        <v>52624657.5342466</v>
      </c>
      <c r="C15" s="29" t="n">
        <f aca="false">Discount!$B$9</f>
        <v>52624657.5342466</v>
      </c>
      <c r="D15" s="30" t="n">
        <f aca="false">C15-B15</f>
        <v>0</v>
      </c>
      <c r="E15" s="17" t="str">
        <f aca="false">IF(ABS(D15)&lt;0.005,"PASS","FAIL")</f>
        <v>PASS</v>
      </c>
    </row>
    <row r="16" customFormat="false" ht="15" hidden="false" customHeight="false" outlineLevel="0" collapsed="false">
      <c r="A16" s="6" t="s">
        <v>154</v>
      </c>
      <c r="B16" s="10" t="n">
        <v>2.31324200913242</v>
      </c>
      <c r="C16" s="34" t="n">
        <f aca="false">Discount!$B$11</f>
        <v>2.31324200913242</v>
      </c>
      <c r="D16" s="35" t="n">
        <f aca="false">C16-B16</f>
        <v>0</v>
      </c>
      <c r="E16" s="17" t="str">
        <f aca="false">IF(ABS(D16)&lt;0.00005,"PASS","FAIL")</f>
        <v>PASS</v>
      </c>
    </row>
    <row r="17" customFormat="false" ht="15" hidden="false" customHeight="false" outlineLevel="0" collapsed="false">
      <c r="A17" s="6" t="s">
        <v>155</v>
      </c>
      <c r="B17" s="8" t="n">
        <v>66049315.0684932</v>
      </c>
      <c r="C17" s="29" t="n">
        <f aca="false">SupplyChainFinance!$B$5</f>
        <v>66049315.0684932</v>
      </c>
      <c r="D17" s="30" t="n">
        <f aca="false">C17-B17</f>
        <v>0</v>
      </c>
      <c r="E17" s="17" t="str">
        <f aca="false">IF(ABS(D17)&lt;0.005,"PASS","FAIL")</f>
        <v>PASS</v>
      </c>
    </row>
    <row r="18" customFormat="false" ht="15" hidden="false" customHeight="false" outlineLevel="0" collapsed="false">
      <c r="A18" s="6" t="s">
        <v>156</v>
      </c>
      <c r="B18" s="8" t="n">
        <v>144986301.369863</v>
      </c>
      <c r="C18" s="29" t="n">
        <f aca="false">SupplyChainFinance!$B$7</f>
        <v>144986301.369863</v>
      </c>
      <c r="D18" s="30" t="n">
        <f aca="false">C18-B18</f>
        <v>0</v>
      </c>
      <c r="E18" s="17" t="str">
        <f aca="false">IF(ABS(D18)&lt;0.005,"PASS","FAIL")</f>
        <v>PASS</v>
      </c>
    </row>
    <row r="19" customFormat="false" ht="15" hidden="false" customHeight="false" outlineLevel="0" collapsed="false">
      <c r="A19" s="6" t="s">
        <v>157</v>
      </c>
      <c r="B19" s="8" t="n">
        <v>128876712.328767</v>
      </c>
      <c r="C19" s="29" t="n">
        <f aca="false">SupplyChainFinance!$B$9</f>
        <v>128876712.328767</v>
      </c>
      <c r="D19" s="30" t="n">
        <f aca="false">C19-B19</f>
        <v>0</v>
      </c>
      <c r="E19" s="17" t="str">
        <f aca="false">IF(ABS(D19)&lt;0.005,"PASS","FAIL")</f>
        <v>PASS</v>
      </c>
    </row>
    <row r="20" customFormat="false" ht="15" hidden="false" customHeight="false" outlineLevel="0" collapsed="false">
      <c r="A20" s="6" t="s">
        <v>158</v>
      </c>
      <c r="B20" s="8" t="n">
        <v>5412821.91780822</v>
      </c>
      <c r="C20" s="29" t="n">
        <f aca="false">SupplyChainFinance!$B$10</f>
        <v>5412821.91780822</v>
      </c>
      <c r="D20" s="30" t="n">
        <f aca="false">C20-B20</f>
        <v>0</v>
      </c>
      <c r="E20" s="17" t="str">
        <f aca="false">IF(ABS(D20)&lt;0.005,"PASS","FAIL")</f>
        <v>PASS</v>
      </c>
    </row>
    <row r="21" customFormat="false" ht="15" hidden="false" customHeight="false" outlineLevel="0" collapsed="false">
      <c r="A21" s="6" t="s">
        <v>159</v>
      </c>
      <c r="B21" s="8" t="n">
        <v>10954520.5479452</v>
      </c>
      <c r="C21" s="29" t="n">
        <f aca="false">SupplyChainFinance!$B$11</f>
        <v>10954520.5479452</v>
      </c>
      <c r="D21" s="30" t="n">
        <f aca="false">C21-B21</f>
        <v>0</v>
      </c>
      <c r="E21" s="17" t="str">
        <f aca="false">IF(ABS(D21)&lt;0.005,"PASS","FAIL")</f>
        <v>PASS</v>
      </c>
    </row>
    <row r="22" customFormat="false" ht="15" hidden="false" customHeight="false" outlineLevel="0" collapsed="false">
      <c r="A22" s="6" t="s">
        <v>99</v>
      </c>
      <c r="B22" s="8" t="n">
        <v>5541698.63013699</v>
      </c>
      <c r="C22" s="29" t="n">
        <f aca="false">SupplyChainFinance!$B$12</f>
        <v>5541698.63013699</v>
      </c>
      <c r="D22" s="30" t="n">
        <f aca="false">C22-B22</f>
        <v>0</v>
      </c>
      <c r="E22" s="17" t="str">
        <f aca="false">IF(ABS(D22)&lt;0.005,"PASS","FAIL")</f>
        <v>PASS</v>
      </c>
    </row>
    <row r="23" customFormat="false" ht="15" hidden="false" customHeight="false" outlineLevel="0" collapsed="false">
      <c r="A23" s="6" t="s">
        <v>160</v>
      </c>
      <c r="B23" s="8" t="n">
        <v>1366446.23756802</v>
      </c>
      <c r="C23" s="29" t="n">
        <f aca="false">SupplyChainFinance!$B$13</f>
        <v>1366446.23756802</v>
      </c>
      <c r="D23" s="30" t="n">
        <f aca="false">C23-B23</f>
        <v>0</v>
      </c>
      <c r="E23" s="17" t="str">
        <f aca="false">IF(ABS(D23)&lt;0.005,"PASS","FAIL")</f>
        <v>PASS</v>
      </c>
    </row>
    <row r="24" customFormat="false" ht="15" hidden="false" customHeight="false" outlineLevel="0" collapsed="false">
      <c r="A24" s="6" t="s">
        <v>161</v>
      </c>
      <c r="B24" s="8" t="n">
        <v>5340328.76712329</v>
      </c>
      <c r="C24" s="29" t="n">
        <f aca="false">SupplyChainFinance!$B$15</f>
        <v>5340328.76712329</v>
      </c>
      <c r="D24" s="30" t="n">
        <f aca="false">C24-B24</f>
        <v>0</v>
      </c>
      <c r="E24" s="17" t="str">
        <f aca="false">IF(ABS(D24)&lt;0.005,"PASS","FAIL")</f>
        <v>PASS</v>
      </c>
    </row>
    <row r="25" customFormat="false" ht="15" hidden="false" customHeight="false" outlineLevel="0" collapsed="false">
      <c r="A25" s="6" t="s">
        <v>162</v>
      </c>
      <c r="B25" s="8" t="n">
        <v>72493.1506849313</v>
      </c>
      <c r="C25" s="29" t="n">
        <f aca="false">SupplyChainFinance!$B$16</f>
        <v>72493.1506849313</v>
      </c>
      <c r="D25" s="30" t="n">
        <f aca="false">C25-B25</f>
        <v>0</v>
      </c>
      <c r="E25" s="17" t="str">
        <f aca="false">IF(ABS(D25)&lt;0.005,"PASS","FAIL")</f>
        <v>PASS</v>
      </c>
    </row>
    <row r="26" customFormat="false" ht="15" hidden="false" customHeight="false" outlineLevel="0" collapsed="false">
      <c r="A26" s="6" t="s">
        <v>163</v>
      </c>
      <c r="B26" s="8" t="n">
        <v>2972219.17808219</v>
      </c>
      <c r="C26" s="29" t="n">
        <f aca="false">SupplyChainFinance!$B$17</f>
        <v>2972219.17808219</v>
      </c>
      <c r="D26" s="30" t="n">
        <f aca="false">C26-B26</f>
        <v>0</v>
      </c>
      <c r="E26" s="17" t="str">
        <f aca="false">IF(ABS(D26)&lt;0.005,"PASS","FAIL")</f>
        <v>PASS</v>
      </c>
    </row>
    <row r="27" customFormat="false" ht="15" hidden="false" customHeight="false" outlineLevel="0" collapsed="false">
      <c r="A27" s="6" t="s">
        <v>164</v>
      </c>
      <c r="B27" s="36" t="n">
        <v>41.6666666666667</v>
      </c>
      <c r="C27" s="37" t="n">
        <f aca="false">SupplyChainFinance!$B$18</f>
        <v>41.6666666666667</v>
      </c>
      <c r="D27" s="38" t="n">
        <f aca="false">C27-B27</f>
        <v>0</v>
      </c>
      <c r="E27" s="17" t="str">
        <f aca="false">IF(ABS(D27)&lt;0.00005,"PASS","FAIL")</f>
        <v>PASS</v>
      </c>
    </row>
    <row r="28" customFormat="false" ht="15" hidden="false" customHeight="false" outlineLevel="0" collapsed="false">
      <c r="A28" s="6" t="s">
        <v>165</v>
      </c>
      <c r="B28" s="8" t="n">
        <v>77863013.6986301</v>
      </c>
      <c r="C28" s="29" t="n">
        <f aca="false">SupplyChainFinance!$B$19</f>
        <v>77863013.6986301</v>
      </c>
      <c r="D28" s="30" t="n">
        <f aca="false">C28-B28</f>
        <v>0</v>
      </c>
      <c r="E28" s="17" t="str">
        <f aca="false">IF(ABS(D28)&lt;0.005,"PASS","FAIL")</f>
        <v>PASS</v>
      </c>
    </row>
    <row r="29" customFormat="false" ht="15" hidden="false" customHeight="false" outlineLevel="0" collapsed="false">
      <c r="A29" s="6" t="s">
        <v>166</v>
      </c>
      <c r="B29" s="10" t="n">
        <v>2.76219830397913</v>
      </c>
      <c r="C29" s="34" t="n">
        <f aca="false">SupplyChainFinance!$B$22</f>
        <v>2.76219830397913</v>
      </c>
      <c r="D29" s="35" t="n">
        <f aca="false">C29-B29</f>
        <v>0</v>
      </c>
      <c r="E29" s="17" t="str">
        <f aca="false">IF(ABS(D29)&lt;0.00005,"PASS","FAIL")</f>
        <v>PASS</v>
      </c>
    </row>
    <row r="30" customFormat="false" ht="15" hidden="false" customHeight="false" outlineLevel="0" collapsed="false">
      <c r="A30" s="6" t="s">
        <v>167</v>
      </c>
      <c r="B30" s="10" t="n">
        <v>3.13617090671885</v>
      </c>
      <c r="C30" s="34" t="n">
        <f aca="false">SupplyChainFinance!$B$24</f>
        <v>3.13617090671885</v>
      </c>
      <c r="D30" s="35" t="n">
        <f aca="false">C30-B30</f>
        <v>0</v>
      </c>
      <c r="E30" s="17" t="str">
        <f aca="false">IF(ABS(D30)&lt;0.00005,"PASS","FAIL")</f>
        <v>PASS</v>
      </c>
    </row>
    <row r="31" customFormat="false" ht="15" hidden="false" customHeight="false" outlineLevel="0" collapsed="false">
      <c r="A31" s="6" t="s">
        <v>168</v>
      </c>
      <c r="B31" s="8" t="n">
        <v>175625570.776256</v>
      </c>
      <c r="C31" s="29" t="n">
        <f aca="false">SupplyChainFinance!$B$25</f>
        <v>175625570.776256</v>
      </c>
      <c r="D31" s="30" t="n">
        <f aca="false">C31-B31</f>
        <v>0</v>
      </c>
      <c r="E31" s="17" t="str">
        <f aca="false">IF(ABS(D31)&lt;0.005,"PASS","FAIL")</f>
        <v>PASS</v>
      </c>
    </row>
    <row r="32" customFormat="false" ht="15" hidden="false" customHeight="false" outlineLevel="0" collapsed="false">
      <c r="A32" s="6" t="s">
        <v>169</v>
      </c>
      <c r="B32" s="10" t="n">
        <v>3.23206131767776</v>
      </c>
      <c r="C32" s="34" t="n">
        <f aca="false">SupplyChainFinance!$B$26</f>
        <v>3.23206131767776</v>
      </c>
      <c r="D32" s="35" t="n">
        <f aca="false">C32-B32</f>
        <v>0</v>
      </c>
      <c r="E32" s="17" t="str">
        <f aca="false">IF(ABS(D32)&lt;0.00005,"PASS","FAIL")</f>
        <v>PASS</v>
      </c>
    </row>
    <row r="33" customFormat="false" ht="15" hidden="false" customHeight="false" outlineLevel="0" collapsed="false">
      <c r="A33" s="6" t="s">
        <v>170</v>
      </c>
      <c r="B33" s="10" t="n">
        <v>2.74302022178735</v>
      </c>
      <c r="C33" s="34" t="n">
        <f aca="false">SupplyChainFinance!$B$29</f>
        <v>2.74302022178735</v>
      </c>
      <c r="D33" s="35" t="n">
        <f aca="false">C33-B33</f>
        <v>0</v>
      </c>
      <c r="E33" s="17" t="str">
        <f aca="false">IF(ABS(D33)&lt;0.00005,"PASS","FAIL")</f>
        <v>PASS</v>
      </c>
    </row>
    <row r="34" customFormat="false" ht="15" hidden="false" customHeight="false" outlineLevel="0" collapsed="false">
      <c r="A34" s="6" t="s">
        <v>171</v>
      </c>
      <c r="B34" s="8" t="n">
        <v>1925000</v>
      </c>
      <c r="C34" s="29" t="n">
        <f aca="false">Pool!$B$3</f>
        <v>1925000</v>
      </c>
      <c r="D34" s="30" t="n">
        <f aca="false">C34-B34</f>
        <v>0</v>
      </c>
      <c r="E34" s="17" t="str">
        <f aca="false">IF(ABS(D34)&lt;0.005,"PASS","FAIL")</f>
        <v>PASS</v>
      </c>
    </row>
    <row r="35" customFormat="false" ht="15" hidden="false" customHeight="false" outlineLevel="0" collapsed="false">
      <c r="A35" s="6" t="s">
        <v>137</v>
      </c>
      <c r="B35" s="8" t="n">
        <v>826000</v>
      </c>
      <c r="C35" s="29" t="n">
        <f aca="false">Pool!$B$5</f>
        <v>826000</v>
      </c>
      <c r="D35" s="30" t="n">
        <f aca="false">C35-B35</f>
        <v>0</v>
      </c>
      <c r="E35" s="17" t="str">
        <f aca="false">IF(ABS(D35)&lt;0.005,"PASS","FAIL")</f>
        <v>PASS</v>
      </c>
    </row>
    <row r="36" customFormat="false" ht="15" hidden="false" customHeight="false" outlineLevel="0" collapsed="false">
      <c r="A36" s="6" t="s">
        <v>172</v>
      </c>
      <c r="B36" s="8" t="n">
        <v>2016000</v>
      </c>
      <c r="C36" s="29" t="n">
        <f aca="false">Pool!$B$6</f>
        <v>2016000</v>
      </c>
      <c r="D36" s="30" t="n">
        <f aca="false">C36-B36</f>
        <v>0</v>
      </c>
      <c r="E36" s="17" t="str">
        <f aca="false">IF(ABS(D36)&lt;0.005,"PASS","FAIL")</f>
        <v>PASS</v>
      </c>
    </row>
    <row r="37" customFormat="false" ht="15" hidden="false" customHeight="false" outlineLevel="0" collapsed="false">
      <c r="A37" s="6" t="s">
        <v>173</v>
      </c>
      <c r="B37" s="8" t="n">
        <v>1190000</v>
      </c>
      <c r="C37" s="29" t="n">
        <f aca="false">Pool!$B$7</f>
        <v>1190000</v>
      </c>
      <c r="D37" s="30" t="n">
        <f aca="false">C37-B37</f>
        <v>0</v>
      </c>
      <c r="E37" s="17" t="str">
        <f aca="false">IF(ABS(D37)&lt;0.005,"PASS","FAIL")</f>
        <v>PASS</v>
      </c>
    </row>
    <row r="38" customFormat="false" ht="15" hidden="false" customHeight="false" outlineLevel="0" collapsed="false">
      <c r="A38" s="6" t="s">
        <v>174</v>
      </c>
      <c r="B38" s="8" t="n">
        <v>2684931.51</v>
      </c>
      <c r="C38" s="29" t="n">
        <f aca="false">Cycle!$B$4</f>
        <v>2684931.50684932</v>
      </c>
      <c r="D38" s="39" t="n">
        <f aca="false">C38-B38</f>
        <v>-0.00315068475902081</v>
      </c>
      <c r="E38" s="17" t="str">
        <f aca="false">IF(ABS(D38)&lt;0.005000000005,"PASS","FAIL")</f>
        <v>PASS</v>
      </c>
    </row>
    <row r="39" customFormat="false" ht="15" hidden="false" customHeight="false" outlineLevel="0" collapsed="false">
      <c r="A39" s="6" t="s">
        <v>175</v>
      </c>
      <c r="B39" s="9" t="n">
        <v>80</v>
      </c>
      <c r="C39" s="40" t="n">
        <f aca="false">Cycle!$B$8</f>
        <v>80</v>
      </c>
      <c r="D39" s="39" t="n">
        <f aca="false">C39-B39</f>
        <v>0</v>
      </c>
      <c r="E39" s="17" t="str">
        <f aca="false">IF(ABS(D39)&lt;0.5000000005,"PASS","FAIL")</f>
        <v>PASS</v>
      </c>
    </row>
    <row r="40" customFormat="false" ht="15" hidden="false" customHeight="false" outlineLevel="0" collapsed="false">
      <c r="A40" s="6" t="s">
        <v>176</v>
      </c>
      <c r="B40" s="31" t="n">
        <v>0.201096</v>
      </c>
      <c r="C40" s="32" t="n">
        <f aca="false">Cycle!$B$10</f>
        <v>0.201095890410959</v>
      </c>
      <c r="D40" s="39" t="n">
        <f aca="false">C40-B40</f>
        <v>-1.09589041119573E-007</v>
      </c>
      <c r="E40" s="17" t="str">
        <f aca="false">IF(ABS(D40)&lt;0.0000005000000005,"PASS","FAIL")</f>
        <v>PASS</v>
      </c>
    </row>
    <row r="41" customFormat="false" ht="15" hidden="false" customHeight="false" outlineLevel="0" collapsed="false">
      <c r="A41" s="6" t="s">
        <v>177</v>
      </c>
      <c r="B41" s="8" t="n">
        <v>281534246.57</v>
      </c>
      <c r="C41" s="29" t="n">
        <f aca="false">Cycle!$B$15</f>
        <v>281534246.57</v>
      </c>
      <c r="D41" s="39" t="n">
        <f aca="false">C41-B41</f>
        <v>0</v>
      </c>
      <c r="E41" s="17" t="str">
        <f aca="false">IF(ABS(D41)&lt;0.005000000005,"PASS","FAIL")</f>
        <v>PASS</v>
      </c>
    </row>
    <row r="42" customFormat="false" ht="15" hidden="false" customHeight="false" outlineLevel="0" collapsed="false">
      <c r="A42" s="6" t="s">
        <v>178</v>
      </c>
      <c r="B42" s="8" t="n">
        <v>306849315.07</v>
      </c>
      <c r="C42" s="29" t="n">
        <f aca="false">Cycle!$B$16</f>
        <v>306849315.068493</v>
      </c>
      <c r="D42" s="39" t="n">
        <f aca="false">C42-B42</f>
        <v>-0.00150686502456665</v>
      </c>
      <c r="E42" s="17" t="str">
        <f aca="false">IF(ABS(D42)&lt;0.005000000005,"PASS","FAIL")</f>
        <v>PASS</v>
      </c>
    </row>
    <row r="43" customFormat="false" ht="15" hidden="false" customHeight="false" outlineLevel="0" collapsed="false">
      <c r="A43" s="6" t="s">
        <v>179</v>
      </c>
      <c r="B43" s="8" t="n">
        <v>25315068.49</v>
      </c>
      <c r="C43" s="29" t="n">
        <f aca="false">Cycle!$B$17</f>
        <v>25315068.4931507</v>
      </c>
      <c r="D43" s="39" t="n">
        <f aca="false">C43-B43</f>
        <v>0.00315071269869804</v>
      </c>
      <c r="E43" s="17" t="str">
        <f aca="false">IF(ABS(D43)&lt;0.005000000005,"PASS","FAIL")</f>
        <v>PASS</v>
      </c>
    </row>
    <row r="44" customFormat="false" ht="15" hidden="false" customHeight="false" outlineLevel="0" collapsed="false">
      <c r="A44" s="6" t="s">
        <v>180</v>
      </c>
      <c r="B44" s="8" t="n">
        <v>73.4</v>
      </c>
      <c r="C44" s="29" t="n">
        <f aca="false">Cycle!$B$18</f>
        <v>73.4</v>
      </c>
      <c r="D44" s="39" t="n">
        <f aca="false">C44-B44</f>
        <v>0</v>
      </c>
      <c r="E44" s="17" t="str">
        <f aca="false">IF(ABS(D44)&lt;0.005000000005,"PASS","FAIL")</f>
        <v>PASS</v>
      </c>
    </row>
    <row r="45" customFormat="false" ht="15" hidden="false" customHeight="false" outlineLevel="0" collapsed="false">
      <c r="A45" s="6" t="s">
        <v>181</v>
      </c>
      <c r="B45" s="41" t="n">
        <v>1.4286</v>
      </c>
      <c r="C45" s="42" t="n">
        <f aca="false">Cycle!$B$19</f>
        <v>1.42857142857143</v>
      </c>
      <c r="D45" s="39" t="n">
        <f aca="false">C45-B45</f>
        <v>-2.85714285714889E-005</v>
      </c>
      <c r="E45" s="17" t="str">
        <f aca="false">IF(ABS(D45)&lt;0.00005000000005,"PASS","FAIL")</f>
        <v>PASS</v>
      </c>
    </row>
    <row r="46" customFormat="false" ht="15" hidden="false" customHeight="false" outlineLevel="0" collapsed="false">
      <c r="A46" s="6" t="s">
        <v>182</v>
      </c>
      <c r="B46" s="8" t="n">
        <v>1150684.93</v>
      </c>
      <c r="C46" s="29" t="n">
        <f aca="false">Cycle!$B$20</f>
        <v>1150684.93150685</v>
      </c>
      <c r="D46" s="39" t="n">
        <f aca="false">C46-B46</f>
        <v>0.00150684942491353</v>
      </c>
      <c r="E46" s="17" t="str">
        <f aca="false">IF(ABS(D46)&lt;0.005000000005,"PASS","FAIL")</f>
        <v>PASS</v>
      </c>
    </row>
    <row r="47" customFormat="false" ht="15" hidden="false" customHeight="false" outlineLevel="0" collapsed="false">
      <c r="A47" s="6" t="s">
        <v>183</v>
      </c>
      <c r="B47" s="31" t="n">
        <v>0.428571</v>
      </c>
      <c r="C47" s="32" t="n">
        <f aca="false">Cycle!$B$21</f>
        <v>0.428571428571429</v>
      </c>
      <c r="D47" s="39" t="n">
        <f aca="false">C47-B47</f>
        <v>4.28571428623403E-007</v>
      </c>
      <c r="E47" s="17" t="str">
        <f aca="false">IF(ABS(D47)&lt;0.0000005000000005,"PASS","FAIL")</f>
        <v>PASS</v>
      </c>
    </row>
    <row r="48" customFormat="false" ht="15" hidden="false" customHeight="false" outlineLevel="0" collapsed="false">
      <c r="A48" s="6" t="s">
        <v>184</v>
      </c>
      <c r="B48" s="11" t="n">
        <v>0.12</v>
      </c>
      <c r="C48" s="43" t="n">
        <f aca="false">Cycle!$B$22</f>
        <v>0.12</v>
      </c>
      <c r="D48" s="39" t="n">
        <f aca="false">C48-B48</f>
        <v>0</v>
      </c>
      <c r="E48" s="17" t="str">
        <f aca="false">IF(ABS(D48)&lt;0.00005000000005,"PASS","FAIL")</f>
        <v>PASS</v>
      </c>
    </row>
    <row r="49" customFormat="false" ht="15" hidden="false" customHeight="false" outlineLevel="0" collapsed="false">
      <c r="A49" s="6" t="s">
        <v>185</v>
      </c>
      <c r="B49" s="8" t="n">
        <v>13424657.53</v>
      </c>
      <c r="C49" s="29" t="n">
        <f aca="false">Cycle!$B$23</f>
        <v>13424657.5342466</v>
      </c>
      <c r="D49" s="39" t="n">
        <f aca="false">C49-B49</f>
        <v>0.00424657575786114</v>
      </c>
      <c r="E49" s="17" t="str">
        <f aca="false">IF(ABS(D49)&lt;0.005000000005,"PASS","FAIL")</f>
        <v>PASS</v>
      </c>
    </row>
    <row r="50" customFormat="false" ht="15" hidden="false" customHeight="false" outlineLevel="0" collapsed="false">
      <c r="A50" s="6" t="s">
        <v>186</v>
      </c>
      <c r="B50" s="8" t="n">
        <v>5753424.66</v>
      </c>
      <c r="C50" s="29" t="n">
        <f aca="false">Cycle!$B$24</f>
        <v>5753424.65753425</v>
      </c>
      <c r="D50" s="39" t="n">
        <f aca="false">C50-B50</f>
        <v>-0.00246575474739075</v>
      </c>
      <c r="E50" s="17" t="str">
        <f aca="false">IF(ABS(D50)&lt;0.005000000005,"PASS","FAIL")</f>
        <v>PASS</v>
      </c>
    </row>
    <row r="51" customFormat="false" ht="15" hidden="false" customHeight="false" outlineLevel="0" collapsed="false">
      <c r="A51" s="6" t="s">
        <v>187</v>
      </c>
      <c r="B51" s="31" t="n">
        <v>0.051748</v>
      </c>
      <c r="C51" s="32" t="n">
        <f aca="false">Cycle!$B$12</f>
        <v>0.0517476206444028</v>
      </c>
      <c r="D51" s="39" t="n">
        <f aca="false">C51-B51</f>
        <v>-3.79355597233955E-007</v>
      </c>
      <c r="E51" s="17" t="str">
        <f aca="false">IF(ABS(D51)&lt;0.0000005000000005,"PASS","FAIL")</f>
        <v>PASS</v>
      </c>
    </row>
    <row r="52" customFormat="false" ht="15" hidden="false" customHeight="false" outlineLevel="0" collapsed="false">
      <c r="A52" s="6" t="s">
        <v>188</v>
      </c>
      <c r="B52" s="10" t="n">
        <v>2.2549</v>
      </c>
      <c r="C52" s="34" t="n">
        <f aca="false">Cycle!$B$13</f>
        <v>2.25489236790607</v>
      </c>
      <c r="D52" s="39" t="n">
        <f aca="false">C52-B52</f>
        <v>-7.63209393328523E-006</v>
      </c>
      <c r="E52" s="17" t="str">
        <f aca="false">IF(ABS(D52)&lt;0.00005000000005,"PASS","FAIL")</f>
        <v>PASS</v>
      </c>
    </row>
    <row r="53" customFormat="false" ht="15" hidden="false" customHeight="false" outlineLevel="0" collapsed="false">
      <c r="A53" s="6" t="s">
        <v>189</v>
      </c>
      <c r="B53" s="8" t="n">
        <v>378821917.81</v>
      </c>
      <c r="C53" s="29" t="n">
        <f aca="false">Cycle!$B$25</f>
        <v>378821917.808219</v>
      </c>
      <c r="D53" s="39" t="n">
        <f aca="false">C53-B53</f>
        <v>-0.00178080797195435</v>
      </c>
      <c r="E53" s="17" t="str">
        <f aca="false">IF(ABS(D53)&lt;0.005000000005,"PASS","FAIL")</f>
        <v>PASS</v>
      </c>
    </row>
    <row r="54" customFormat="false" ht="15" hidden="false" customHeight="false" outlineLevel="0" collapsed="false">
      <c r="A54" s="6" t="s">
        <v>190</v>
      </c>
      <c r="B54" s="41" t="n">
        <v>0.1142</v>
      </c>
      <c r="C54" s="42" t="n">
        <f aca="false">Cycle!$B$26</f>
        <v>0.114155251141552</v>
      </c>
      <c r="D54" s="39" t="n">
        <f aca="false">C54-B54</f>
        <v>-4.47488584477684E-005</v>
      </c>
      <c r="E54" s="17" t="str">
        <f aca="false">IF(ABS(D54)&lt;0.00005000000005,"PASS","FAIL")</f>
        <v>PASS</v>
      </c>
    </row>
    <row r="55" customFormat="false" ht="15" hidden="false" customHeight="false" outlineLevel="0" collapsed="false">
      <c r="A55" s="6" t="s">
        <v>191</v>
      </c>
      <c r="B55" s="8" t="n">
        <v>863013.7</v>
      </c>
      <c r="C55" s="29" t="n">
        <f aca="false">Cycle!$B$27</f>
        <v>863013.698630137</v>
      </c>
      <c r="D55" s="39" t="n">
        <f aca="false">C55-B55</f>
        <v>-0.00136986305005848</v>
      </c>
      <c r="E55" s="17" t="str">
        <f aca="false">IF(ABS(D55)&lt;0.005000000005,"PASS","FAIL")</f>
        <v>PASS</v>
      </c>
    </row>
    <row r="56" customFormat="false" ht="15" hidden="false" customHeight="false" outlineLevel="0" collapsed="false">
      <c r="A56" s="6" t="s">
        <v>192</v>
      </c>
      <c r="B56" s="31" t="n">
        <v>0.020408</v>
      </c>
      <c r="C56" s="32" t="n">
        <f aca="false">Discount!$B$14</f>
        <v>0.0204081632653061</v>
      </c>
      <c r="D56" s="39" t="n">
        <f aca="false">C56-B56</f>
        <v>1.63265306125232E-007</v>
      </c>
      <c r="E56" s="17" t="str">
        <f aca="false">IF(ABS(D56)&lt;0.0000005000000005,"PASS","FAIL")</f>
        <v>PASS</v>
      </c>
    </row>
    <row r="57" customFormat="false" ht="15" hidden="false" customHeight="false" outlineLevel="0" collapsed="false">
      <c r="A57" s="6" t="s">
        <v>193</v>
      </c>
      <c r="B57" s="31" t="n">
        <v>0.372449</v>
      </c>
      <c r="C57" s="32" t="n">
        <f aca="false">Discount!$B$15</f>
        <v>0.372448979591837</v>
      </c>
      <c r="D57" s="39" t="n">
        <f aca="false">C57-B57</f>
        <v>-2.04081632149133E-008</v>
      </c>
      <c r="E57" s="17" t="str">
        <f aca="false">IF(ABS(D57)&lt;0.0000005000000005,"PASS","FAIL")</f>
        <v>PASS</v>
      </c>
    </row>
    <row r="58" customFormat="false" ht="15" hidden="false" customHeight="false" outlineLevel="0" collapsed="false">
      <c r="A58" s="6" t="s">
        <v>194</v>
      </c>
      <c r="B58" s="31" t="n">
        <v>0.14898</v>
      </c>
      <c r="C58" s="32" t="n">
        <f aca="false">Discount!$B$16</f>
        <v>0.148979591836735</v>
      </c>
      <c r="D58" s="39" t="n">
        <f aca="false">C58-B58</f>
        <v>-4.08163265325223E-007</v>
      </c>
      <c r="E58" s="17" t="str">
        <f aca="false">IF(ABS(D58)&lt;0.0000005000000005,"PASS","FAIL")</f>
        <v>PASS</v>
      </c>
    </row>
    <row r="59" customFormat="false" ht="15" hidden="false" customHeight="false" outlineLevel="0" collapsed="false">
      <c r="A59" s="6" t="s">
        <v>195</v>
      </c>
      <c r="B59" s="8" t="n">
        <v>53698630.14</v>
      </c>
      <c r="C59" s="29" t="n">
        <f aca="false">Discount!$B$17</f>
        <v>53698630.1369863</v>
      </c>
      <c r="D59" s="39" t="n">
        <f aca="false">C59-B59</f>
        <v>-0.00301370024681091</v>
      </c>
      <c r="E59" s="17" t="str">
        <f aca="false">IF(ABS(D59)&lt;0.005000000005,"PASS","FAIL")</f>
        <v>PASS</v>
      </c>
    </row>
    <row r="60" customFormat="false" ht="15" hidden="false" customHeight="false" outlineLevel="0" collapsed="false">
      <c r="A60" s="6" t="s">
        <v>196</v>
      </c>
      <c r="B60" s="8" t="n">
        <v>1073972.6</v>
      </c>
      <c r="C60" s="29" t="n">
        <f aca="false">Discount!$B$18</f>
        <v>1073972.60273972</v>
      </c>
      <c r="D60" s="39" t="n">
        <f aca="false">C60-B60</f>
        <v>0.0027397214435041</v>
      </c>
      <c r="E60" s="17" t="str">
        <f aca="false">IF(ABS(D60)&lt;0.005000000005,"PASS","FAIL")</f>
        <v>PASS</v>
      </c>
    </row>
    <row r="61" customFormat="false" ht="15" hidden="false" customHeight="false" outlineLevel="0" collapsed="false">
      <c r="A61" s="6" t="s">
        <v>197</v>
      </c>
      <c r="B61" s="9" t="n">
        <v>29</v>
      </c>
      <c r="C61" s="40" t="n">
        <f aca="false">Discount!$B$19</f>
        <v>29</v>
      </c>
      <c r="D61" s="39" t="n">
        <f aca="false">C61-B61</f>
        <v>0</v>
      </c>
      <c r="E61" s="17" t="str">
        <f aca="false">IF(ABS(D61)&lt;0.5000000005,"PASS","FAIL")</f>
        <v>PASS</v>
      </c>
    </row>
    <row r="62" customFormat="false" ht="15" hidden="false" customHeight="false" outlineLevel="0" collapsed="false">
      <c r="A62" s="6" t="s">
        <v>198</v>
      </c>
      <c r="B62" s="9" t="n">
        <v>100</v>
      </c>
      <c r="C62" s="40" t="n">
        <f aca="false">Discount!$B$20</f>
        <v>100</v>
      </c>
      <c r="D62" s="39" t="n">
        <f aca="false">C62-B62</f>
        <v>0</v>
      </c>
      <c r="E62" s="17" t="str">
        <f aca="false">IF(ABS(D62)&lt;0.5000000005,"PASS","FAIL")</f>
        <v>PASS</v>
      </c>
    </row>
    <row r="63" customFormat="false" ht="15" hidden="false" customHeight="false" outlineLevel="0" collapsed="false">
      <c r="A63" s="6" t="s">
        <v>82</v>
      </c>
      <c r="B63" s="8" t="n">
        <v>450624657.53</v>
      </c>
      <c r="C63" s="29" t="n">
        <f aca="false">Discount!$B$21</f>
        <v>450624657.534247</v>
      </c>
      <c r="D63" s="39" t="n">
        <f aca="false">C63-B63</f>
        <v>0.00424659252166748</v>
      </c>
      <c r="E63" s="17" t="str">
        <f aca="false">IF(ABS(D63)&lt;0.005000000005,"PASS","FAIL")</f>
        <v>PASS</v>
      </c>
    </row>
    <row r="64" customFormat="false" ht="15" hidden="false" customHeight="false" outlineLevel="0" collapsed="false">
      <c r="A64" s="6" t="s">
        <v>199</v>
      </c>
      <c r="B64" s="10" t="n">
        <v>2.6823</v>
      </c>
      <c r="C64" s="34" t="n">
        <f aca="false">Discount!$B$22</f>
        <v>2.68228962818004</v>
      </c>
      <c r="D64" s="39" t="n">
        <f aca="false">C64-B64</f>
        <v>-1.0371819961108E-005</v>
      </c>
      <c r="E64" s="17" t="str">
        <f aca="false">IF(ABS(D64)&lt;0.00005000000005,"PASS","FAIL")</f>
        <v>PASS</v>
      </c>
    </row>
    <row r="65" customFormat="false" ht="15" hidden="false" customHeight="false" outlineLevel="0" collapsed="false">
      <c r="A65" s="6" t="s">
        <v>200</v>
      </c>
      <c r="B65" s="41" t="n">
        <v>0.3177</v>
      </c>
      <c r="C65" s="42" t="n">
        <f aca="false">Discount!$B$23</f>
        <v>0.317710371819961</v>
      </c>
      <c r="D65" s="39" t="n">
        <f aca="false">C65-B65</f>
        <v>1.0371819960997E-005</v>
      </c>
      <c r="E65" s="17" t="str">
        <f aca="false">IF(ABS(D65)&lt;0.00005000000005,"PASS","FAIL")</f>
        <v>PASS</v>
      </c>
    </row>
    <row r="66" customFormat="false" ht="15" hidden="false" customHeight="false" outlineLevel="0" collapsed="false">
      <c r="A66" s="6" t="s">
        <v>201</v>
      </c>
      <c r="B66" s="9" t="n">
        <v>175840000</v>
      </c>
      <c r="C66" s="40" t="n">
        <f aca="false">Discount!$B$24</f>
        <v>175840000</v>
      </c>
      <c r="D66" s="39" t="n">
        <f aca="false">C66-B66</f>
        <v>0</v>
      </c>
      <c r="E66" s="17" t="str">
        <f aca="false">IF(ABS(D66)&lt;0.5000000005,"PASS","FAIL")</f>
        <v>PASS</v>
      </c>
    </row>
    <row r="67" customFormat="false" ht="15" hidden="false" customHeight="false" outlineLevel="0" collapsed="false">
      <c r="A67" s="6" t="s">
        <v>202</v>
      </c>
      <c r="B67" s="10" t="n">
        <v>2.2101</v>
      </c>
      <c r="C67" s="34" t="n">
        <f aca="false">Discount!$B$25</f>
        <v>2.21010383038129</v>
      </c>
      <c r="D67" s="39" t="n">
        <f aca="false">C67-B67</f>
        <v>3.83038129303515E-006</v>
      </c>
      <c r="E67" s="17" t="str">
        <f aca="false">IF(ABS(D67)&lt;0.00005000000005,"PASS","FAIL")</f>
        <v>PASS</v>
      </c>
    </row>
    <row r="68" customFormat="false" ht="15" hidden="false" customHeight="false" outlineLevel="0" collapsed="false">
      <c r="A68" s="6" t="s">
        <v>203</v>
      </c>
      <c r="B68" s="41" t="n">
        <v>0.2101</v>
      </c>
      <c r="C68" s="42" t="n">
        <f aca="false">Discount!$B$26</f>
        <v>0.210103830381293</v>
      </c>
      <c r="D68" s="39" t="n">
        <f aca="false">C68-B68</f>
        <v>3.83038129320168E-006</v>
      </c>
      <c r="E68" s="17" t="str">
        <f aca="false">IF(ABS(D68)&lt;0.00005000000005,"PASS","FAIL")</f>
        <v>PASS</v>
      </c>
    </row>
    <row r="69" customFormat="false" ht="15" hidden="false" customHeight="false" outlineLevel="0" collapsed="false">
      <c r="A69" s="6" t="s">
        <v>204</v>
      </c>
      <c r="B69" s="31" t="n">
        <v>0.006164</v>
      </c>
      <c r="C69" s="32" t="n">
        <f aca="false">Discount!$B$27</f>
        <v>0.00616438356164384</v>
      </c>
      <c r="D69" s="39" t="n">
        <f aca="false">C69-B69</f>
        <v>3.83561643836107E-007</v>
      </c>
      <c r="E69" s="17" t="str">
        <f aca="false">IF(ABS(D69)&lt;0.0000005000000005,"PASS","FAIL")</f>
        <v>PASS</v>
      </c>
    </row>
    <row r="70" customFormat="false" ht="15" hidden="false" customHeight="false" outlineLevel="0" collapsed="false">
      <c r="A70" s="6" t="s">
        <v>205</v>
      </c>
      <c r="B70" s="8" t="n">
        <v>1610958.9</v>
      </c>
      <c r="C70" s="29" t="n">
        <f aca="false">SupplyChainFinance!$B$32</f>
        <v>1610958.90410959</v>
      </c>
      <c r="D70" s="39" t="n">
        <f aca="false">C70-B70</f>
        <v>0.00410958915017545</v>
      </c>
      <c r="E70" s="17" t="str">
        <f aca="false">IF(ABS(D70)&lt;0.005000000005,"PASS","FAIL")</f>
        <v>PASS</v>
      </c>
    </row>
    <row r="71" customFormat="false" ht="15" hidden="false" customHeight="false" outlineLevel="0" collapsed="false">
      <c r="A71" s="6" t="s">
        <v>206</v>
      </c>
      <c r="B71" s="41" t="n">
        <v>48.3333</v>
      </c>
      <c r="C71" s="42" t="n">
        <f aca="false">SupplyChainFinance!$B$33</f>
        <v>48.3333333333333</v>
      </c>
      <c r="D71" s="39" t="n">
        <f aca="false">C71-B71</f>
        <v>3.33333333273345E-005</v>
      </c>
      <c r="E71" s="17" t="str">
        <f aca="false">IF(ABS(D71)&lt;0.00005000000005,"PASS","FAIL")</f>
        <v>PASS</v>
      </c>
    </row>
    <row r="72" customFormat="false" ht="15" hidden="false" customHeight="false" outlineLevel="0" collapsed="false">
      <c r="A72" s="6" t="s">
        <v>207</v>
      </c>
      <c r="B72" s="8" t="n">
        <v>24.6</v>
      </c>
      <c r="C72" s="29" t="n">
        <f aca="false">SupplyChainFinance!$B$34</f>
        <v>24.6</v>
      </c>
      <c r="D72" s="39" t="n">
        <f aca="false">C72-B72</f>
        <v>0</v>
      </c>
      <c r="E72" s="17" t="str">
        <f aca="false">IF(ABS(D72)&lt;0.005000000005,"PASS","FAIL")</f>
        <v>PASS</v>
      </c>
    </row>
    <row r="73" customFormat="false" ht="15" hidden="false" customHeight="false" outlineLevel="0" collapsed="false">
      <c r="A73" s="6" t="s">
        <v>197</v>
      </c>
      <c r="B73" s="8" t="n">
        <v>73.6</v>
      </c>
      <c r="C73" s="29" t="n">
        <f aca="false">SupplyChainFinance!$B$35</f>
        <v>73.6</v>
      </c>
      <c r="D73" s="39" t="n">
        <f aca="false">C73-B73</f>
        <v>0</v>
      </c>
      <c r="E73" s="17" t="str">
        <f aca="false">IF(ABS(D73)&lt;0.005000000005,"PASS","FAIL")</f>
        <v>PASS</v>
      </c>
    </row>
    <row r="74" customFormat="false" ht="15" hidden="false" customHeight="false" outlineLevel="0" collapsed="false">
      <c r="A74" s="6" t="s">
        <v>198</v>
      </c>
      <c r="B74" s="8" t="n">
        <v>55.4</v>
      </c>
      <c r="C74" s="29" t="n">
        <f aca="false">SupplyChainFinance!$B$36</f>
        <v>55.4</v>
      </c>
      <c r="D74" s="39" t="n">
        <f aca="false">C74-B74</f>
        <v>0</v>
      </c>
      <c r="E74" s="17" t="str">
        <f aca="false">IF(ABS(D74)&lt;0.005000000005,"PASS","FAIL")</f>
        <v>PASS</v>
      </c>
    </row>
    <row r="75" customFormat="false" ht="15" hidden="false" customHeight="false" outlineLevel="0" collapsed="false">
      <c r="A75" s="6" t="s">
        <v>208</v>
      </c>
      <c r="B75" s="8" t="n">
        <v>1334668.42</v>
      </c>
      <c r="C75" s="29" t="n">
        <f aca="false">SupplyChainFinance!$B$37</f>
        <v>1334668.4180897</v>
      </c>
      <c r="D75" s="39" t="n">
        <f aca="false">C75-B75</f>
        <v>-0.00191030208952725</v>
      </c>
      <c r="E75" s="17" t="str">
        <f aca="false">IF(ABS(D75)&lt;0.005000000005,"PASS","FAIL")</f>
        <v>PASS</v>
      </c>
    </row>
    <row r="76" customFormat="false" ht="15" hidden="false" customHeight="false" outlineLevel="0" collapsed="false">
      <c r="A76" s="6" t="s">
        <v>209</v>
      </c>
      <c r="B76" s="8" t="n">
        <v>2701114.66</v>
      </c>
      <c r="C76" s="29" t="n">
        <f aca="false">SupplyChainFinance!$B$38</f>
        <v>2701114.65565772</v>
      </c>
      <c r="D76" s="39" t="n">
        <f aca="false">C76-B76</f>
        <v>-0.00434227846562862</v>
      </c>
      <c r="E76" s="17" t="str">
        <f aca="false">IF(ABS(D76)&lt;0.005000000005,"PASS","FAIL")</f>
        <v>PASS</v>
      </c>
    </row>
    <row r="77" customFormat="false" ht="15" hidden="false" customHeight="false" outlineLevel="0" collapsed="false">
      <c r="A77" s="6" t="s">
        <v>210</v>
      </c>
      <c r="B77" s="41" t="n">
        <v>31.6667</v>
      </c>
      <c r="C77" s="42" t="n">
        <f aca="false">SupplyChainFinance!$B$39</f>
        <v>31.6666666666667</v>
      </c>
      <c r="D77" s="39" t="n">
        <f aca="false">C77-B77</f>
        <v>-3.33333333273345E-005</v>
      </c>
      <c r="E77" s="17" t="str">
        <f aca="false">IF(ABS(D77)&lt;0.00005000000005,"PASS","FAIL")</f>
        <v>PASS</v>
      </c>
    </row>
    <row r="78" customFormat="false" ht="15" hidden="false" customHeight="false" outlineLevel="0" collapsed="false">
      <c r="A78" s="6" t="s">
        <v>211</v>
      </c>
      <c r="B78" s="8" t="n">
        <v>4336164.38</v>
      </c>
      <c r="C78" s="29" t="n">
        <f aca="false">SupplyChainFinance!$B$40</f>
        <v>4336164.38356165</v>
      </c>
      <c r="D78" s="39" t="n">
        <f aca="false">C78-B78</f>
        <v>0.0035616448149085</v>
      </c>
      <c r="E78" s="17" t="str">
        <f aca="false">IF(ABS(D78)&lt;0.005000000005,"PASS","FAIL")</f>
        <v>PASS</v>
      </c>
    </row>
    <row r="79" customFormat="false" ht="15" hidden="false" customHeight="false" outlineLevel="0" collapsed="false">
      <c r="A79" s="6" t="s">
        <v>212</v>
      </c>
      <c r="B79" s="8" t="n">
        <v>1076657.53</v>
      </c>
      <c r="C79" s="29" t="n">
        <f aca="false">SupplyChainFinance!$B$41</f>
        <v>1076657.53424657</v>
      </c>
      <c r="D79" s="39" t="n">
        <f aca="false">C79-B79</f>
        <v>0.00424657412804663</v>
      </c>
      <c r="E79" s="17" t="str">
        <f aca="false">IF(ABS(D79)&lt;0.005000000005,"PASS","FAIL")</f>
        <v>PASS</v>
      </c>
    </row>
    <row r="80" customFormat="false" ht="15" hidden="false" customHeight="false" outlineLevel="0" collapsed="false">
      <c r="A80" s="6" t="s">
        <v>213</v>
      </c>
      <c r="B80" s="8" t="n">
        <v>464049315.07</v>
      </c>
      <c r="C80" s="29" t="n">
        <f aca="false">SupplyChainFinance!$B$42</f>
        <v>464049315.068493</v>
      </c>
      <c r="D80" s="39" t="n">
        <f aca="false">C80-B80</f>
        <v>-0.00150686502456665</v>
      </c>
      <c r="E80" s="17" t="str">
        <f aca="false">IF(ABS(D80)&lt;0.005000000005,"PASS","FAIL")</f>
        <v>PASS</v>
      </c>
    </row>
    <row r="81" customFormat="false" ht="15" hidden="false" customHeight="false" outlineLevel="0" collapsed="false">
      <c r="A81" s="6" t="s">
        <v>214</v>
      </c>
      <c r="B81" s="41" t="n">
        <v>0.2378</v>
      </c>
      <c r="C81" s="42" t="n">
        <f aca="false">SupplyChainFinance!$B$43</f>
        <v>0.237801696020874</v>
      </c>
      <c r="D81" s="39" t="n">
        <f aca="false">C81-B81</f>
        <v>1.69602087440879E-006</v>
      </c>
      <c r="E81" s="17" t="str">
        <f aca="false">IF(ABS(D81)&lt;0.00005000000005,"PASS","FAIL")</f>
        <v>PASS</v>
      </c>
    </row>
    <row r="82" customFormat="false" ht="15" hidden="false" customHeight="false" outlineLevel="0" collapsed="false">
      <c r="A82" s="6" t="s">
        <v>215</v>
      </c>
      <c r="B82" s="41" t="n">
        <v>0.3932</v>
      </c>
      <c r="C82" s="42" t="n">
        <f aca="false">SupplyChainFinance!$B$23</f>
        <v>0.393150684931507</v>
      </c>
      <c r="D82" s="39" t="n">
        <f aca="false">C82-B82</f>
        <v>-4.93150684931498E-005</v>
      </c>
      <c r="E82" s="17" t="str">
        <f aca="false">IF(ABS(D82)&lt;0.00005000000005,"PASS","FAIL")</f>
        <v>PASS</v>
      </c>
    </row>
    <row r="83" customFormat="false" ht="15" hidden="false" customHeight="false" outlineLevel="0" collapsed="false">
      <c r="A83" s="6" t="s">
        <v>216</v>
      </c>
      <c r="B83" s="8" t="n">
        <v>154683105.02</v>
      </c>
      <c r="C83" s="29" t="n">
        <f aca="false">SupplyChainFinance!$B$44</f>
        <v>154683105.022831</v>
      </c>
      <c r="D83" s="39" t="n">
        <f aca="false">C83-B83</f>
        <v>0.00283104181289673</v>
      </c>
      <c r="E83" s="17" t="str">
        <f aca="false">IF(ABS(D83)&lt;0.005000000005,"PASS","FAIL")</f>
        <v>PASS</v>
      </c>
    </row>
    <row r="84" customFormat="false" ht="15" hidden="false" customHeight="false" outlineLevel="0" collapsed="false">
      <c r="A84" s="6" t="s">
        <v>217</v>
      </c>
      <c r="B84" s="8" t="n">
        <v>13316894.98</v>
      </c>
      <c r="C84" s="29" t="n">
        <f aca="false">SupplyChainFinance!$B$45</f>
        <v>13316894.9771689</v>
      </c>
      <c r="D84" s="39" t="n">
        <f aca="false">C84-B84</f>
        <v>-0.00283105298876762</v>
      </c>
      <c r="E84" s="17" t="str">
        <f aca="false">IF(ABS(D84)&lt;0.005000000005,"PASS","FAIL")</f>
        <v>PASS</v>
      </c>
    </row>
    <row r="85" customFormat="false" ht="15" hidden="false" customHeight="false" outlineLevel="0" collapsed="false">
      <c r="A85" s="6" t="s">
        <v>218</v>
      </c>
      <c r="B85" s="31" t="n">
        <v>0.079267</v>
      </c>
      <c r="C85" s="32" t="n">
        <f aca="false">SupplyChainFinance!$B$46</f>
        <v>0.079267232006958</v>
      </c>
      <c r="D85" s="39" t="n">
        <f aca="false">C85-B85</f>
        <v>2.32006958020281E-007</v>
      </c>
      <c r="E85" s="17" t="str">
        <f aca="false">IF(ABS(D85)&lt;0.0000005000000005,"PASS","FAIL")</f>
        <v>PASS</v>
      </c>
    </row>
    <row r="86" customFormat="false" ht="15" hidden="false" customHeight="false" outlineLevel="0" collapsed="false">
      <c r="A86" s="6" t="s">
        <v>219</v>
      </c>
      <c r="B86" s="31" t="n">
        <v>0.031707</v>
      </c>
      <c r="C86" s="32" t="n">
        <f aca="false">SupplyChainFinance!$B$47</f>
        <v>0.0317068928027832</v>
      </c>
      <c r="D86" s="39" t="n">
        <f aca="false">C86-B86</f>
        <v>-1.071972167907E-007</v>
      </c>
      <c r="E86" s="17" t="str">
        <f aca="false">IF(ABS(D86)&lt;0.0000005000000005,"PASS","FAIL")</f>
        <v>PASS</v>
      </c>
    </row>
    <row r="87" customFormat="false" ht="15" hidden="false" customHeight="false" outlineLevel="0" collapsed="false">
      <c r="A87" s="6" t="s">
        <v>220</v>
      </c>
      <c r="B87" s="31" t="n">
        <v>0.019817</v>
      </c>
      <c r="C87" s="32" t="n">
        <f aca="false">SupplyChainFinance!$B$48</f>
        <v>0.0198168080017395</v>
      </c>
      <c r="D87" s="39" t="n">
        <f aca="false">C87-B87</f>
        <v>-1.9199826049518E-007</v>
      </c>
      <c r="E87" s="17" t="str">
        <f aca="false">IF(ABS(D87)&lt;0.0000005000000005,"PASS","FAIL")</f>
        <v>PASS</v>
      </c>
    </row>
    <row r="88" customFormat="false" ht="15" hidden="false" customHeight="false" outlineLevel="0" collapsed="false">
      <c r="A88" s="6" t="s">
        <v>221</v>
      </c>
      <c r="B88" s="8" t="n">
        <v>526876712.33</v>
      </c>
      <c r="C88" s="29" t="n">
        <f aca="false">SupplyChainFinance!$B$49</f>
        <v>526876712.328767</v>
      </c>
      <c r="D88" s="39" t="n">
        <f aca="false">C88-B88</f>
        <v>-0.00123286247253418</v>
      </c>
      <c r="E88" s="17" t="str">
        <f aca="false">IF(ABS(D88)&lt;0.005000000005,"PASS","FAIL")</f>
        <v>PASS</v>
      </c>
    </row>
    <row r="89" customFormat="false" ht="15" hidden="false" customHeight="false" outlineLevel="0" collapsed="false">
      <c r="A89" s="6" t="s">
        <v>222</v>
      </c>
      <c r="B89" s="8" t="n">
        <v>-38645596.23</v>
      </c>
      <c r="C89" s="29" t="n">
        <f aca="false">SupplyChainFinance!$B$50</f>
        <v>-38645596.2272151</v>
      </c>
      <c r="D89" s="39" t="n">
        <f aca="false">C89-B89</f>
        <v>0.00278490781784058</v>
      </c>
      <c r="E89" s="17" t="str">
        <f aca="false">IF(ABS(D89)&lt;0.005000000005,"PASS","FAIL")</f>
        <v>PASS</v>
      </c>
    </row>
    <row r="90" customFormat="false" ht="15" hidden="false" customHeight="false" outlineLevel="0" collapsed="false">
      <c r="A90" s="6" t="s">
        <v>223</v>
      </c>
      <c r="B90" s="8" t="n">
        <v>-50459294.86</v>
      </c>
      <c r="C90" s="29" t="n">
        <f aca="false">SupplyChainFinance!$B$51</f>
        <v>-50459294.8573521</v>
      </c>
      <c r="D90" s="39" t="n">
        <f aca="false">C90-B90</f>
        <v>0.00264793634414673</v>
      </c>
      <c r="E90" s="17" t="str">
        <f aca="false">IF(ABS(D90)&lt;0.005000000005,"PASS","FAIL")</f>
        <v>PASS</v>
      </c>
    </row>
    <row r="91" customFormat="false" ht="15" hidden="false" customHeight="false" outlineLevel="0" collapsed="false">
      <c r="A91" s="6" t="s">
        <v>224</v>
      </c>
      <c r="B91" s="11" t="n">
        <v>0.034</v>
      </c>
      <c r="C91" s="43" t="n">
        <f aca="false">Pool!$B$9</f>
        <v>0.034</v>
      </c>
      <c r="D91" s="39" t="n">
        <f aca="false">C91-B91</f>
        <v>0</v>
      </c>
      <c r="E91" s="17" t="str">
        <f aca="false">IF(ABS(D91)&lt;0.00005000000005,"PASS","FAIL")</f>
        <v>PASS</v>
      </c>
    </row>
    <row r="93" customFormat="false" ht="15" hidden="false" customHeight="false" outlineLevel="0" collapsed="false">
      <c r="A93" s="17" t="s">
        <v>225</v>
      </c>
      <c r="E93" s="17" t="str">
        <f aca="false">IF(COUNTIF(E5:E91,"FAIL")=0,"PASS","FAIL")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2026-09-04T00:26:15Z</dcterms:created>
  <dc:creator>openpyxl</dc:creator>
  <dc:description/>
  <dc:language>en-US</dc:language>
  <cp:lastModifiedBy/>
  <dcterms:modified xsi:type="dcterms:W3CDTF">2026-09-24T01:44:21Z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