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Fund" sheetId="3" state="visible" r:id="rId5"/>
    <sheet name="Flows" sheetId="4" state="visible" r:id="rId6"/>
    <sheet name="Check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<sst xmlns="http://schemas.openxmlformats.org/spreadsheetml/2006/main" count="427" uniqueCount="319">
  <si>
    <t xml:space="preserve">Fees, Carry and Time</t>
  </si>
  <si>
    <t xml:space="preserve">Companion workbook 4 of Venture Capital, by Julian R. Sterling. julianrsterling.com/venture</t>
  </si>
  <si>
    <t xml:space="preserve">What this workbook does</t>
  </si>
  <si>
    <t xml:space="preserve">The annual flows, with the investment schedule as an input; the carried interest year by year; the limited partner's own column; the J-curve and its shape; the three rates; the same carried interest collected at three dates; the carried interest under five conventions on identical cash flows; and the manager's share of the gain at other outcomes.</t>
  </si>
  <si>
    <t xml:space="preserve">The experiment to run first</t>
  </si>
  <si>
    <t xml:space="preserve">On the Flows sheet, change the preferred return on row 92 from 8% to 6%. The hard-hurdle carried interest moves by millions; the one with a full catch-up does not move at all. That is Chapter 14's point: the clause that matters is the catch-up. Put it back to 8%.</t>
  </si>
  <si>
    <t xml:space="preserve">Conventions</t>
  </si>
  <si>
    <t xml:space="preserve">Fees are called and sit inside the calls. Carried interest is whole-of-fund on the commitment, deducted from the year's distributions. Rates are computed on annual periods, each flow at the end of its year. The preferred return is an approximation: the book's single-duration method, named on row 91.</t>
  </si>
  <si>
    <t xml:space="preserve">The checks</t>
  </si>
  <si>
    <t xml:space="preserve">The Checks sheet sets each figure the book prints beside the value computed here, to the precision printed. With the book's inputs every check passes.</t>
  </si>
  <si>
    <t xml:space="preserve">Revised 24 September 2026.</t>
  </si>
  <si>
    <t xml:space="preserve">The workbook is now in English, like the book. New: the carried interest by year, the limited partner's column, the three rates, the carried collected at three dates, the eight per cent hurdle with and without catch-up, the five conventions of Chapter 14, and the table of Chapter 13.</t>
  </si>
  <si>
    <t xml:space="preserve">Five printed figures are corrected. Year nine brings 66.5950 per cent of the proceeds (the book prints 66.5951). At the end of year six, 98.7392 per cent of the proceeds are still to come (the book prints 90.9664, which is the figure at the end of year seven). Years one to six draw 88.3442 per cent of the calls (Chapter 6 prints 88.3441). Taken in year ten, the carried costs 2.2092 points of rate, and the spread against year one is 4.6196 points (the book prints 2.2093 and 4.6195, from the rounded rates).</t>
  </si>
  <si>
    <t xml:space="preserve">Kelvinside Ventures Fund III: the twenty-eight lines</t>
  </si>
  <si>
    <t xml:space="preserve">Blue on pale yellow: inputs. Everything else is a formula.</t>
  </si>
  <si>
    <t xml:space="preserve">The terms of the fund</t>
  </si>
  <si>
    <t xml:space="preserve">Commitment</t>
  </si>
  <si>
    <t xml:space="preserve">Management fee, a year</t>
  </si>
  <si>
    <t xml:space="preserve">Years at the full rate on the commitment</t>
  </si>
  <si>
    <t xml:space="preserve">Carried interest</t>
  </si>
  <si>
    <t xml:space="preserve">Fund life, years</t>
  </si>
  <si>
    <t xml:space="preserve">Company</t>
  </si>
  <si>
    <t xml:space="preserve">Initial cheque</t>
  </si>
  <si>
    <t xml:space="preserve">Reserve</t>
  </si>
  <si>
    <t xml:space="preserve">Initial multiple</t>
  </si>
  <si>
    <t xml:space="preserve">Reserve multiple</t>
  </si>
  <si>
    <t xml:space="preserve">Exit year</t>
  </si>
  <si>
    <t xml:space="preserve">Invested</t>
  </si>
  <si>
    <t xml:space="preserve">Proceeds</t>
  </si>
  <si>
    <t xml:space="preserve">Multiple</t>
  </si>
  <si>
    <t xml:space="preserve">Aldwyn</t>
  </si>
  <si>
    <t xml:space="preserve">Brackenhall</t>
  </si>
  <si>
    <t xml:space="preserve">Corriemore</t>
  </si>
  <si>
    <t xml:space="preserve">Dunsyre</t>
  </si>
  <si>
    <t xml:space="preserve">Ellisland</t>
  </si>
  <si>
    <t xml:space="preserve">Fettercairn</t>
  </si>
  <si>
    <t xml:space="preserve">Glenlyon</t>
  </si>
  <si>
    <t xml:space="preserve">Hazelbank</t>
  </si>
  <si>
    <t xml:space="preserve">Inverleith</t>
  </si>
  <si>
    <t xml:space="preserve">Jedburgh</t>
  </si>
  <si>
    <t xml:space="preserve">Kirkliston</t>
  </si>
  <si>
    <t xml:space="preserve">Lauriston</t>
  </si>
  <si>
    <t xml:space="preserve">Morningside</t>
  </si>
  <si>
    <t xml:space="preserve">Newington</t>
  </si>
  <si>
    <t xml:space="preserve">Ochiltree</t>
  </si>
  <si>
    <t xml:space="preserve">Polwarth</t>
  </si>
  <si>
    <t xml:space="preserve">Quothquan</t>
  </si>
  <si>
    <t xml:space="preserve">Restalrig</t>
  </si>
  <si>
    <t xml:space="preserve">Slateford</t>
  </si>
  <si>
    <t xml:space="preserve">Torphichen</t>
  </si>
  <si>
    <t xml:space="preserve">Uddingston</t>
  </si>
  <si>
    <t xml:space="preserve">Viewforth</t>
  </si>
  <si>
    <t xml:space="preserve">Wardieburn</t>
  </si>
  <si>
    <t xml:space="preserve">Xerisburn</t>
  </si>
  <si>
    <t xml:space="preserve">Yarrowford</t>
  </si>
  <si>
    <t xml:space="preserve">Zetlandhaugh</t>
  </si>
  <si>
    <t xml:space="preserve">Abbeyhill</t>
  </si>
  <si>
    <t xml:space="preserve">Blackford</t>
  </si>
  <si>
    <t xml:space="preserve">Total</t>
  </si>
  <si>
    <t xml:space="preserve">Exit year: the year the whole position is realised, initial cheque and reserve together. A line with no reserve takes 0 in columns C and E.</t>
  </si>
  <si>
    <t xml:space="preserve">Change a cheque, a multiple or an exit year and all four workbooks move with it: each carries this same sheet.</t>
  </si>
  <si>
    <t xml:space="preserve">The fund, from the commitment to the bank account</t>
  </si>
  <si>
    <t xml:space="preserve">Fees are called: they sit inside the capital called and are not deducted from proceeds. Carried interest is deducted from distributions.</t>
  </si>
  <si>
    <t xml:space="preserve">The management fee, year by year</t>
  </si>
  <si>
    <t xml:space="preserve">Year</t>
  </si>
  <si>
    <t xml:space="preserve">Cost of positions not yet exited</t>
  </si>
  <si>
    <t xml:space="preserve">Fee</t>
  </si>
  <si>
    <t xml:space="preserve">Total fees</t>
  </si>
  <si>
    <t xml:space="preserve">As a share of the commitment</t>
  </si>
  <si>
    <t xml:space="preserve">Investable capital (commitment less fees)</t>
  </si>
  <si>
    <t xml:space="preserve">Threshold: what that capital must return to give back the commitment</t>
  </si>
  <si>
    <t xml:space="preserve">Convention: the basis after the full-rate years is the cost of every position not yet exited, reserves included, as the fund charged it (Chapter 2).</t>
  </si>
  <si>
    <t xml:space="preserve">The capital and the proceeds</t>
  </si>
  <si>
    <t xml:space="preserve">Initial cheques</t>
  </si>
  <si>
    <t xml:space="preserve">Reserves</t>
  </si>
  <si>
    <t xml:space="preserve">Total invested</t>
  </si>
  <si>
    <t xml:space="preserve">Reserves as a share of the capital invested</t>
  </si>
  <si>
    <t xml:space="preserve">Gross proceeds</t>
  </si>
  <si>
    <t xml:space="preserve">Capital called (invested plus fees)</t>
  </si>
  <si>
    <t xml:space="preserve">The four multiples of the same fund</t>
  </si>
  <si>
    <t xml:space="preserve">1. Multiple on the initial cheques</t>
  </si>
  <si>
    <t xml:space="preserve">2. Gross multiple on the capital invested</t>
  </si>
  <si>
    <t xml:space="preserve">3. Gross multiple on the commitment</t>
  </si>
  <si>
    <t xml:space="preserve">Carried interest (whole-of-fund, commitment threshold, no hurdle)</t>
  </si>
  <si>
    <t xml:space="preserve">Distributed to the limited partners</t>
  </si>
  <si>
    <t xml:space="preserve">4. Net TVPI to the limited partner (distributed over commitment)</t>
  </si>
  <si>
    <t xml:space="preserve">Spread, highest to lowest</t>
  </si>
  <si>
    <t xml:space="preserve">Ratio, highest to lowest</t>
  </si>
  <si>
    <t xml:space="preserve">What the manager takes, and the limited partner's invariant</t>
  </si>
  <si>
    <t xml:space="preserve">Fees plus carried interest</t>
  </si>
  <si>
    <t xml:space="preserve">As a share of gross proceeds</t>
  </si>
  <si>
    <t xml:space="preserve">THE LIMITED PARTNER'S NET GAIN (distributed less called)</t>
  </si>
  <si>
    <t xml:space="preserve">The same gain read on the capital invested (proceeds less fees less carried less invested)</t>
  </si>
  <si>
    <t xml:space="preserve">The two lines above must be equal: that is the invariant. Mixing the two readings counts the fee twice (row 86).</t>
  </si>
  <si>
    <t xml:space="preserve">The fee, read two ways (Chapter 2)</t>
  </si>
  <si>
    <t xml:space="preserve">Fees in the full-rate years</t>
  </si>
  <si>
    <t xml:space="preserve">  as a share of all fees</t>
  </si>
  <si>
    <t xml:space="preserve">Fees as a share of the investable capital: the gain the invested capital needs to bring the limited partner level</t>
  </si>
  <si>
    <t xml:space="preserve">The same fee rate on the commitment for the whole life, no step-down</t>
  </si>
  <si>
    <t xml:space="preserve">  investable capital without the step-down</t>
  </si>
  <si>
    <t xml:space="preserve">  threshold without the step-down</t>
  </si>
  <si>
    <t xml:space="preserve">  the threshold moves by</t>
  </si>
  <si>
    <t xml:space="preserve">What the step-down saves</t>
  </si>
  <si>
    <t xml:space="preserve">  as a share of the commitment</t>
  </si>
  <si>
    <t xml:space="preserve">Recycling (Chapter 3)</t>
  </si>
  <si>
    <t xml:space="preserve">Called above the commitment: the recycled capital</t>
  </si>
  <si>
    <t xml:space="preserve">Invested above the investable capital (the same number)</t>
  </si>
  <si>
    <t xml:space="preserve">The committee's shortcut: gross multiple on invested x investable share of the commitment</t>
  </si>
  <si>
    <t xml:space="preserve">Actual multiple on the commitment less the shortcut</t>
  </si>
  <si>
    <t xml:space="preserve">Direct route: recycled capital earning the gross multiple, over the commitment</t>
  </si>
  <si>
    <t xml:space="preserve">  in proceeds</t>
  </si>
  <si>
    <t xml:space="preserve">Break-even multiple on the capital actually at work</t>
  </si>
  <si>
    <t xml:space="preserve">  against the threshold on investable capital</t>
  </si>
  <si>
    <t xml:space="preserve">Share of the fee drag the recycling restores</t>
  </si>
  <si>
    <t xml:space="preserve">Carried paid on the recycled capital: the threshold is the commitment, not the calls</t>
  </si>
  <si>
    <t xml:space="preserve">Distributions over the capital actually called</t>
  </si>
  <si>
    <t xml:space="preserve">Fee a year on the recycled capital while it is held</t>
  </si>
  <si>
    <t xml:space="preserve">The manager's take, on four bases (Chapter 13)</t>
  </si>
  <si>
    <t xml:space="preserve">As a share of the capital called</t>
  </si>
  <si>
    <t xml:space="preserve">Gain on the capital invested (proceeds less invested)</t>
  </si>
  <si>
    <t xml:space="preserve">  take as a share of it</t>
  </si>
  <si>
    <t xml:space="preserve">Gain over the calls (proceeds less called)</t>
  </si>
  <si>
    <t xml:space="preserve">The two readings mixed: fee deducted twice (wrong, and common)</t>
  </si>
  <si>
    <t xml:space="preserve">Take as a share of the limited partner's net gain</t>
  </si>
  <si>
    <t xml:space="preserve">Carried as a share of the gain on invested</t>
  </si>
  <si>
    <t xml:space="preserve">Carried as a share of the gain over calls</t>
  </si>
  <si>
    <t xml:space="preserve">"Twenty per cent of the gain" on invested, as heard</t>
  </si>
  <si>
    <t xml:space="preserve">  actual take over that</t>
  </si>
  <si>
    <t xml:space="preserve">"Twenty per cent" of the gain over calls</t>
  </si>
  <si>
    <t xml:space="preserve">Fees a year, over the life</t>
  </si>
  <si>
    <t xml:space="preserve">Fees per position</t>
  </si>
  <si>
    <t xml:space="preserve">The flows of the fund, year by year</t>
  </si>
  <si>
    <t xml:space="preserve">The investment schedule is an input. Distributions follow the exit years; carried interest follows the distributions.</t>
  </si>
  <si>
    <t xml:space="preserve">Investments</t>
  </si>
  <si>
    <t xml:space="preserve">Fees</t>
  </si>
  <si>
    <t xml:space="preserve">Called</t>
  </si>
  <si>
    <t xml:space="preserve">Distributed, gross</t>
  </si>
  <si>
    <t xml:space="preserve">Net</t>
  </si>
  <si>
    <t xml:space="preserve">Carried in the year</t>
  </si>
  <si>
    <t xml:space="preserve">Distributed to the LP</t>
  </si>
  <si>
    <t xml:space="preserve">Net to the LP</t>
  </si>
  <si>
    <t xml:space="preserve">Cumulative distributions</t>
  </si>
  <si>
    <t xml:space="preserve">Net before fee</t>
  </si>
  <si>
    <t xml:space="preserve">The J-curve</t>
  </si>
  <si>
    <t xml:space="preserve">Cumulative net</t>
  </si>
  <si>
    <t xml:space="preserve">Cumulative net to the LP</t>
  </si>
  <si>
    <t xml:space="preserve">DPI, gross, cumulative</t>
  </si>
  <si>
    <t xml:space="preserve">The shape of the curve</t>
  </si>
  <si>
    <t xml:space="preserve">Trough of the curve</t>
  </si>
  <si>
    <t xml:space="preserve">  year</t>
  </si>
  <si>
    <t xml:space="preserve">  as a share of all calls</t>
  </si>
  <si>
    <t xml:space="preserve">First year the annual net flow is positive</t>
  </si>
  <si>
    <t xml:space="preserve">First year the cumulative position is positive</t>
  </si>
  <si>
    <t xml:space="preserve">  share of that year elapsed at break-even, flows spread evenly</t>
  </si>
  <si>
    <t xml:space="preserve">Largest year of distributions</t>
  </si>
  <si>
    <t xml:space="preserve">  share of all proceeds</t>
  </si>
  <si>
    <t xml:space="preserve">Two largest years, share of proceeds</t>
  </si>
  <si>
    <t xml:space="preserve">Largest year over the second</t>
  </si>
  <si>
    <t xml:space="preserve">Average distribution a year</t>
  </si>
  <si>
    <t xml:space="preserve">Calls up to the trough year, share of all calls</t>
  </si>
  <si>
    <t xml:space="preserve">Distributions up to the trough year, share of proceeds</t>
  </si>
  <si>
    <t xml:space="preserve">  share of proceeds still to come at the trough</t>
  </si>
  <si>
    <t xml:space="preserve">Distributions up to the first positive year, share of proceeds</t>
  </si>
  <si>
    <t xml:space="preserve">Calls in the last three years (all fee, on this fund)</t>
  </si>
  <si>
    <t xml:space="preserve">Calls in the full-rate years, share of the commitment</t>
  </si>
  <si>
    <t xml:space="preserve">  share of all calls</t>
  </si>
  <si>
    <t xml:space="preserve">Distributions by the end of the full-rate years, share of proceeds</t>
  </si>
  <si>
    <t xml:space="preserve">The rates</t>
  </si>
  <si>
    <t xml:space="preserve">Gross IRR: after fee, before carried</t>
  </si>
  <si>
    <t xml:space="preserve">Net IRR to the limited partner</t>
  </si>
  <si>
    <t xml:space="preserve">IRR before fee and carried</t>
  </si>
  <si>
    <t xml:space="preserve">Carried drag, points</t>
  </si>
  <si>
    <t xml:space="preserve">Fee drag, points</t>
  </si>
  <si>
    <t xml:space="preserve">Carried collected in the largest year of carried, share</t>
  </si>
  <si>
    <t xml:space="preserve">The same carried interest, collected at three dates</t>
  </si>
  <si>
    <t xml:space="preserve">Taken in year 1</t>
  </si>
  <si>
    <t xml:space="preserve">As it fell</t>
  </si>
  <si>
    <t xml:space="preserve">Taken in the final year</t>
  </si>
  <si>
    <t xml:space="preserve">Net IRR</t>
  </si>
  <si>
    <t xml:space="preserve">Drag against the gross IRR, points</t>
  </si>
  <si>
    <t xml:space="preserve">Cost to the multiple, whenever taken</t>
  </si>
  <si>
    <t xml:space="preserve">Spread between the earliest and the latest collection, points</t>
  </si>
  <si>
    <t xml:space="preserve">Actual drag against the drag of an early take</t>
  </si>
  <si>
    <t xml:space="preserve">Carried interest under five conventions (Chapter 14)</t>
  </si>
  <si>
    <t xml:space="preserve">Convention</t>
  </si>
  <si>
    <t xml:space="preserve">Carried</t>
  </si>
  <si>
    <t xml:space="preserve">Against the fund's own</t>
  </si>
  <si>
    <t xml:space="preserve">1. Whole-of-fund, threshold the commitment (the fund's convention)</t>
  </si>
  <si>
    <t xml:space="preserve">2. Whole-of-fund, threshold the capital contributed</t>
  </si>
  <si>
    <t xml:space="preserve">3. Deal by deal, no clawback: a fifth of every winning line's gain</t>
  </si>
  <si>
    <t xml:space="preserve">4. Preferred return, hard hurdle, no catch-up (approximation, row 91)</t>
  </si>
  <si>
    <t xml:space="preserve">5. Preferred return with a full catch-up (approximation, row 91)</t>
  </si>
  <si>
    <t xml:space="preserve">Lines on which a deal-by-deal carry is due</t>
  </si>
  <si>
    <t xml:space="preserve">Deal by deal less whole-of-fund: losses the whole-of-fund test nets</t>
  </si>
  <si>
    <t xml:space="preserve">  plus the cushion between the commitment and the capital invested</t>
  </si>
  <si>
    <t xml:space="preserve">The preferred return, by the single-duration approximation</t>
  </si>
  <si>
    <t xml:space="preserve">Preferred return, a year (the market convention; a step, not data)</t>
  </si>
  <si>
    <t xml:space="preserve">Gross multiple on contributions</t>
  </si>
  <si>
    <t xml:space="preserve">Holding period that reproduces it at the gross IRR, years</t>
  </si>
  <si>
    <t xml:space="preserve">Owed to the limited partner before the manager participates</t>
  </si>
  <si>
    <t xml:space="preserve">  of which the preferred return</t>
  </si>
  <si>
    <t xml:space="preserve">Residual above it</t>
  </si>
  <si>
    <t xml:space="preserve">Carried, hard hurdle, no catch-up</t>
  </si>
  <si>
    <t xml:space="preserve">Carried, full catch-up</t>
  </si>
  <si>
    <t xml:space="preserve">Cost of the hurdle to the manager, no catch-up</t>
  </si>
  <si>
    <t xml:space="preserve">Cost of the hurdle to the manager, full catch-up</t>
  </si>
  <si>
    <t xml:space="preserve">  as a share of the carried</t>
  </si>
  <si>
    <t xml:space="preserve">Spread across the five conventions</t>
  </si>
  <si>
    <t xml:space="preserve">  ratio, largest to smallest</t>
  </si>
  <si>
    <t xml:space="preserve">  spread over the fund's whole fee</t>
  </si>
  <si>
    <t xml:space="preserve">What the catch-up clause is worth over the hurdle rate itself</t>
  </si>
  <si>
    <t xml:space="preserve">Holding period, years (steps)</t>
  </si>
  <si>
    <t xml:space="preserve">Preferred return</t>
  </si>
  <si>
    <t xml:space="preserve">Carried, hard hurdle</t>
  </si>
  <si>
    <t xml:space="preserve">The manager's share of the gain at other outcomes (Chapter 13)</t>
  </si>
  <si>
    <t xml:space="preserve">Gross multiple on the commitment</t>
  </si>
  <si>
    <t xml:space="preserve">Manager, total</t>
  </si>
  <si>
    <t xml:space="preserve">Gain on invested</t>
  </si>
  <si>
    <t xml:space="preserve">Share of the gain</t>
  </si>
  <si>
    <t xml:space="preserve">Row 117 is the fund as it happened. The fee is fixed and the carried is proportional, so the manager's share of the gain falls as the gain rises.</t>
  </si>
  <si>
    <t xml:space="preserve">Checks</t>
  </si>
  <si>
    <t xml:space="preserve">Each line sets a figure printed in the book beside the value this workbook computes, to the precision printed. The notes say where the book is revised.</t>
  </si>
  <si>
    <t xml:space="preserve">Ch.</t>
  </si>
  <si>
    <t xml:space="preserve">Figure</t>
  </si>
  <si>
    <t xml:space="preserve">The book</t>
  </si>
  <si>
    <t xml:space="preserve">This workbook</t>
  </si>
  <si>
    <t xml:space="preserve">Difference</t>
  </si>
  <si>
    <t xml:space="preserve">Result</t>
  </si>
  <si>
    <t xml:space="preserve">Note</t>
  </si>
  <si>
    <t xml:space="preserve">15</t>
  </si>
  <si>
    <t xml:space="preserve">Called, year 1</t>
  </si>
  <si>
    <t xml:space="preserve">Called, year 4</t>
  </si>
  <si>
    <t xml:space="preserve">Called, year 6</t>
  </si>
  <si>
    <t xml:space="preserve">Called, year 7</t>
  </si>
  <si>
    <t xml:space="preserve">Total called</t>
  </si>
  <si>
    <t xml:space="preserve">Total distributed, gross</t>
  </si>
  <si>
    <t xml:space="preserve">Net, total</t>
  </si>
  <si>
    <t xml:space="preserve">Investment schedule adds up to the capital invested</t>
  </si>
  <si>
    <t xml:space="preserve">the schedule is an input, the positions are another</t>
  </si>
  <si>
    <t xml:space="preserve">Distributions by year reconcile to the exit years</t>
  </si>
  <si>
    <t xml:space="preserve">any inputs</t>
  </si>
  <si>
    <t xml:space="preserve">Carried by year adds up to the carried</t>
  </si>
  <si>
    <t xml:space="preserve">14</t>
  </si>
  <si>
    <t xml:space="preserve">Cumulative distributions, year 7</t>
  </si>
  <si>
    <t xml:space="preserve">Cumulative distributions, year 8</t>
  </si>
  <si>
    <t xml:space="preserve">Cumulative distributions, year 9</t>
  </si>
  <si>
    <t xml:space="preserve">Carried in year 9</t>
  </si>
  <si>
    <t xml:space="preserve">Carried in year 10</t>
  </si>
  <si>
    <t xml:space="preserve">Share of the carried created in one year</t>
  </si>
  <si>
    <t xml:space="preserve">Distributed to the LP in year 9</t>
  </si>
  <si>
    <t xml:space="preserve">Distributed to the LP in year 10</t>
  </si>
  <si>
    <t xml:space="preserve">Gross IRR</t>
  </si>
  <si>
    <t xml:space="preserve">Carried taken in year 1: net IRR</t>
  </si>
  <si>
    <t xml:space="preserve">Taken in year 10: net IRR</t>
  </si>
  <si>
    <t xml:space="preserve">Year-1 drag, points</t>
  </si>
  <si>
    <t xml:space="preserve">Year-10 drag, points</t>
  </si>
  <si>
    <t xml:space="preserve">revised: the book prints 2.2093, the difference of the rounded rates</t>
  </si>
  <si>
    <t xml:space="preserve">Spread between year 1 and year 10, points</t>
  </si>
  <si>
    <t xml:space="preserve">revised: the book prints 4.6195</t>
  </si>
  <si>
    <t xml:space="preserve">Actual drag against an early take</t>
  </si>
  <si>
    <t xml:space="preserve">16</t>
  </si>
  <si>
    <t xml:space="preserve">  share of the commitment</t>
  </si>
  <si>
    <t xml:space="preserve">First year of positive annual net flow</t>
  </si>
  <si>
    <t xml:space="preserve">First year of positive cumulative position</t>
  </si>
  <si>
    <t xml:space="preserve">Share of year 9 elapsed at break-even</t>
  </si>
  <si>
    <t xml:space="preserve">Distributions in year 9</t>
  </si>
  <si>
    <t xml:space="preserve">revised: the book prints 66.5951</t>
  </si>
  <si>
    <t xml:space="preserve">Years 8 and 9, share of proceeds</t>
  </si>
  <si>
    <t xml:space="preserve">Calls in years 1 to 6, share of all calls</t>
  </si>
  <si>
    <t xml:space="preserve">revised: Chapter 6 prints 88.3441</t>
  </si>
  <si>
    <t xml:space="preserve">Proceeds by the end of year 6, share</t>
  </si>
  <si>
    <t xml:space="preserve">Share of the proceeds still to come at the trough</t>
  </si>
  <si>
    <t xml:space="preserve">revised: Chapter 16 prints 90.9664, the figure at the end of year 7</t>
  </si>
  <si>
    <t xml:space="preserve">Proceeds by the end of year 7, share</t>
  </si>
  <si>
    <t xml:space="preserve">DPI, end of year 6</t>
  </si>
  <si>
    <t xml:space="preserve">DPI, end of year 7</t>
  </si>
  <si>
    <t xml:space="preserve">DPI, end of year 8</t>
  </si>
  <si>
    <t xml:space="preserve">Calls in years 8 to 10</t>
  </si>
  <si>
    <t xml:space="preserve">Cumulative to the LP, year 9</t>
  </si>
  <si>
    <t xml:space="preserve">6</t>
  </si>
  <si>
    <t xml:space="preserve">Calls in the first five years, share of the commitment</t>
  </si>
  <si>
    <t xml:space="preserve">Proceeds by the end of year 5, share</t>
  </si>
  <si>
    <t xml:space="preserve">Whole-of-fund on the commitment</t>
  </si>
  <si>
    <t xml:space="preserve">Whole-of-fund on contributions</t>
  </si>
  <si>
    <t xml:space="preserve">Deal by deal</t>
  </si>
  <si>
    <t xml:space="preserve">  lines with a carry due</t>
  </si>
  <si>
    <t xml:space="preserve">  more than whole-of-fund by</t>
  </si>
  <si>
    <t xml:space="preserve">  losses netted</t>
  </si>
  <si>
    <t xml:space="preserve">  cushion</t>
  </si>
  <si>
    <t xml:space="preserve">The decomposition closes</t>
  </si>
  <si>
    <t xml:space="preserve">on this fund: every winning line cleared its cost</t>
  </si>
  <si>
    <t xml:space="preserve">Single duration, years</t>
  </si>
  <si>
    <t xml:space="preserve">Owed before the manager, 8 per cent</t>
  </si>
  <si>
    <t xml:space="preserve">the book rounds to thousands</t>
  </si>
  <si>
    <t xml:space="preserve">  preferred return</t>
  </si>
  <si>
    <t xml:space="preserve">  residual</t>
  </si>
  <si>
    <t xml:space="preserve">Hard hurdle carried</t>
  </si>
  <si>
    <t xml:space="preserve">"approximately"</t>
  </si>
  <si>
    <t xml:space="preserve">Full catch-up carried</t>
  </si>
  <si>
    <t xml:space="preserve">Hard hurdle costs the manager</t>
  </si>
  <si>
    <t xml:space="preserve">Catch-up version costs it</t>
  </si>
  <si>
    <t xml:space="preserve">  share of the carried</t>
  </si>
  <si>
    <t xml:space="preserve">Four-year duration: preferred return</t>
  </si>
  <si>
    <t xml:space="preserve">  carried</t>
  </si>
  <si>
    <t xml:space="preserve">Six-year duration: preferred return</t>
  </si>
  <si>
    <t xml:space="preserve">  ratio</t>
  </si>
  <si>
    <t xml:space="preserve">the book divides by the rounded 25,349,000; unrounded 2.0590</t>
  </si>
  <si>
    <t xml:space="preserve">  more than the whole fee</t>
  </si>
  <si>
    <t xml:space="preserve">Catch-up worth more than thirty-five times the hurdle rate</t>
  </si>
  <si>
    <t xml:space="preserve">13</t>
  </si>
  <si>
    <t xml:space="preserve">Returns its commitment: share of the gain</t>
  </si>
  <si>
    <t xml:space="preserve">1.5 times: share of the gain</t>
  </si>
  <si>
    <t xml:space="preserve">2 times: share of the gain</t>
  </si>
  <si>
    <t xml:space="preserve">As it happened</t>
  </si>
  <si>
    <t xml:space="preserve">3 times: share of the gain</t>
  </si>
  <si>
    <t xml:space="preserve">Manager total at 3 times</t>
  </si>
  <si>
    <t xml:space="preserve">Checks that pass</t>
  </si>
  <si>
    <t xml:space="preserve">Checks that fail</t>
  </si>
  <si>
    <t xml:space="preserve">All checks</t>
  </si>
</sst>
</file>

<file path=xl/styles.xml><?xml version="1.0" encoding="utf-8"?>
<styleSheet xmlns="http://schemas.openxmlformats.org/spreadsheetml/2006/main">
  <numFmts count="12">
    <numFmt numFmtId="164" formatCode="General"/>
    <numFmt numFmtId="165" formatCode="#,##0;\-#,##0"/>
    <numFmt numFmtId="166" formatCode="0.00%"/>
    <numFmt numFmtId="167" formatCode="0"/>
    <numFmt numFmtId="168" formatCode="0.00"/>
    <numFmt numFmtId="169" formatCode="0.0000\x"/>
    <numFmt numFmtId="170" formatCode="0.0000%"/>
    <numFmt numFmtId="171" formatCode="0.0000"/>
    <numFmt numFmtId="172" formatCode="#,##0.00;\-#,##0.00"/>
    <numFmt numFmtId="173" formatCode="0.000"/>
    <numFmt numFmtId="174" formatCode="0.0"/>
    <numFmt numFmtId="175" formatCode="0.000000"/>
  </numFmts>
  <fonts count="11">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b val="true"/>
      <sz val="10"/>
      <color rgb="FFFFFFFF"/>
      <name val="Calibri"/>
      <family val="0"/>
      <charset val="1"/>
    </font>
    <font>
      <b val="true"/>
      <sz val="11"/>
      <color rgb="FF1A1A1A"/>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3">
    <border diagonalUp="false" diagonalDown="false">
      <left/>
      <right/>
      <top/>
      <bottom/>
      <diagonal/>
    </border>
    <border diagonalUp="false" diagonalDown="false">
      <left/>
      <right/>
      <top/>
      <bottom style="thin">
        <color rgb="FF1F4E5F"/>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2" xfId="0" applyFont="true" applyBorder="true" applyAlignment="false" applyProtection="false">
      <alignment horizontal="general" vertical="bottom" textRotation="0" wrapText="false" indent="0" shrinkToFit="false"/>
      <protection locked="true" hidden="false"/>
    </xf>
    <xf numFmtId="166" fontId="8" fillId="2" borderId="2" xfId="0" applyFont="true" applyBorder="true" applyAlignment="false" applyProtection="false">
      <alignment horizontal="general" vertical="bottom" textRotation="0" wrapText="false" indent="0" shrinkToFit="false"/>
      <protection locked="true" hidden="false"/>
    </xf>
    <xf numFmtId="167" fontId="8" fillId="2" borderId="2" xfId="0" applyFont="true" applyBorder="true" applyAlignment="false" applyProtection="false">
      <alignment horizontal="general" vertical="bottom" textRotation="0" wrapText="false" indent="0" shrinkToFit="false"/>
      <protection locked="true" hidden="false"/>
    </xf>
    <xf numFmtId="164" fontId="9" fillId="3" borderId="2" xfId="0" applyFont="true" applyBorder="true" applyAlignment="true" applyProtection="false">
      <alignment horizontal="general" vertical="center" textRotation="0" wrapText="true" indent="0" shrinkToFit="false"/>
      <protection locked="true" hidden="false"/>
    </xf>
    <xf numFmtId="164" fontId="8" fillId="2" borderId="2" xfId="0" applyFont="true" applyBorder="true" applyAlignment="false" applyProtection="false">
      <alignment horizontal="general" vertical="bottom" textRotation="0" wrapText="false" indent="0" shrinkToFit="false"/>
      <protection locked="true" hidden="false"/>
    </xf>
    <xf numFmtId="168" fontId="8" fillId="2" borderId="2" xfId="0" applyFont="true" applyBorder="tru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9" fontId="10"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7" fontId="7" fillId="4"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70" fontId="10" fillId="0" borderId="0" xfId="0" applyFont="true" applyBorder="false" applyAlignment="false" applyProtection="false">
      <alignment horizontal="general" vertical="bottom" textRotation="0" wrapText="false" indent="0" shrinkToFit="false"/>
      <protection locked="true" hidden="false"/>
    </xf>
    <xf numFmtId="171" fontId="10" fillId="0" borderId="0" xfId="0" applyFont="true" applyBorder="false" applyAlignment="false" applyProtection="false">
      <alignment horizontal="general" vertical="bottom" textRotation="0" wrapText="false" indent="0" shrinkToFit="false"/>
      <protection locked="true" hidden="false"/>
    </xf>
    <xf numFmtId="172" fontId="8" fillId="2" borderId="2" xfId="0" applyFont="true" applyBorder="tru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72" fontId="10" fillId="0"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69" fontId="8" fillId="2" borderId="2" xfId="0" applyFont="true" applyBorder="true" applyAlignment="false" applyProtection="false">
      <alignment horizontal="general"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true" applyProtection="false">
      <alignment horizontal="general" vertical="top" textRotation="0" wrapText="true" indent="0" shrinkToFit="false"/>
      <protection locked="true" hidden="false"/>
    </xf>
    <xf numFmtId="175" fontId="7" fillId="4" borderId="0" xfId="0" applyFont="true" applyBorder="false" applyAlignment="false" applyProtection="false">
      <alignment horizontal="general" vertical="bottom" textRotation="0" wrapText="false" indent="0" shrinkToFit="false"/>
      <protection locked="true" hidden="false"/>
    </xf>
    <xf numFmtId="164" fontId="10" fillId="4" borderId="0" xfId="0" applyFont="true" applyBorder="false" applyAlignment="false" applyProtection="false">
      <alignment horizontal="general" vertical="bottom" textRotation="0" wrapText="false" indent="0" shrinkToFit="false"/>
      <protection locked="true" hidden="false"/>
    </xf>
    <xf numFmtId="164" fontId="5" fillId="4" borderId="0" xfId="0" applyFont="true" applyBorder="false" applyAlignment="false" applyProtection="false">
      <alignment horizontal="general" vertical="bottom" textRotation="0" wrapText="false" indent="0" shrinkToFit="false"/>
      <protection locked="true" hidden="false"/>
    </xf>
    <xf numFmtId="172" fontId="7"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70" fontId="7" fillId="4" borderId="0" xfId="0" applyFont="true" applyBorder="false" applyAlignment="false" applyProtection="false">
      <alignment horizontal="general" vertical="bottom" textRotation="0" wrapText="false" indent="0" shrinkToFit="false"/>
      <protection locked="true" hidden="false"/>
    </xf>
    <xf numFmtId="171" fontId="7" fillId="4" borderId="0" xfId="0" applyFont="tru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AA3B2"/>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0"/>
  </cols>
  <sheetData>
    <row r="1" customFormat="false" ht="19.7" hidden="false" customHeight="false" outlineLevel="0" collapsed="false">
      <c r="A1" s="1" t="s">
        <v>0</v>
      </c>
    </row>
    <row r="2" customFormat="false" ht="15" hidden="false" customHeight="false" outlineLevel="0" collapsed="false">
      <c r="A2" s="2" t="s">
        <v>1</v>
      </c>
    </row>
    <row r="5" customFormat="false" ht="15" hidden="false" customHeight="false" outlineLevel="0" collapsed="false">
      <c r="A5" s="3" t="s">
        <v>2</v>
      </c>
    </row>
    <row r="7" customFormat="false" ht="60" hidden="false" customHeight="true" outlineLevel="0" collapsed="false">
      <c r="A7" s="4" t="s">
        <v>3</v>
      </c>
    </row>
    <row r="9" customFormat="false" ht="15" hidden="false" customHeight="false" outlineLevel="0" collapsed="false">
      <c r="A9" s="3" t="s">
        <v>4</v>
      </c>
    </row>
    <row r="11" customFormat="false" ht="45" hidden="false" customHeight="true" outlineLevel="0" collapsed="false">
      <c r="A11" s="4" t="s">
        <v>5</v>
      </c>
    </row>
    <row r="13" customFormat="false" ht="15" hidden="false" customHeight="false" outlineLevel="0" collapsed="false">
      <c r="A13" s="3" t="s">
        <v>6</v>
      </c>
    </row>
    <row r="15" customFormat="false" ht="60" hidden="false" customHeight="true" outlineLevel="0" collapsed="false">
      <c r="A15" s="4" t="s">
        <v>7</v>
      </c>
    </row>
    <row r="17" customFormat="false" ht="15" hidden="false" customHeight="false" outlineLevel="0" collapsed="false">
      <c r="A17" s="3" t="s">
        <v>8</v>
      </c>
    </row>
    <row r="19" customFormat="false" ht="30" hidden="false" customHeight="true" outlineLevel="0" collapsed="false">
      <c r="A19" s="4" t="s">
        <v>9</v>
      </c>
    </row>
    <row r="21" customFormat="false" ht="15" hidden="false" customHeight="false" outlineLevel="0" collapsed="false">
      <c r="A21" s="3" t="s">
        <v>10</v>
      </c>
    </row>
    <row r="23" customFormat="false" ht="45" hidden="false" customHeight="true" outlineLevel="0" collapsed="false">
      <c r="A23" s="4" t="s">
        <v>11</v>
      </c>
    </row>
    <row r="24" customFormat="false" ht="90" hidden="false" customHeight="true" outlineLevel="0" collapsed="false">
      <c r="A24" s="4" t="s">
        <v>12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 collapsed="false" customWidth="true" hidden="false" outlineLevel="0" max="3" min="2" style="0" width="16"/>
    <col collapsed="false" customWidth="true" hidden="false" outlineLevel="0" max="5" min="4" style="0" width="14"/>
    <col collapsed="false" customWidth="true" hidden="false" outlineLevel="0" max="6" min="6" style="0" width="10"/>
    <col collapsed="false" customWidth="true" hidden="false" outlineLevel="0" max="8" min="7" style="0" width="18"/>
    <col collapsed="false" customWidth="true" hidden="false" outlineLevel="0" max="9" min="9" style="0" width="12"/>
  </cols>
  <sheetData>
    <row r="1" customFormat="false" ht="19.7" hidden="false" customHeight="false" outlineLevel="0" collapsed="false">
      <c r="A1" s="1" t="s">
        <v>13</v>
      </c>
    </row>
    <row r="2" customFormat="false" ht="15" hidden="false" customHeight="false" outlineLevel="0" collapsed="false">
      <c r="A2" s="2" t="s">
        <v>14</v>
      </c>
    </row>
    <row r="5" customFormat="false" ht="15" hidden="false" customHeight="false" outlineLevel="0" collapsed="false">
      <c r="A5" s="3" t="s">
        <v>15</v>
      </c>
    </row>
    <row r="7" customFormat="false" ht="15" hidden="false" customHeight="false" outlineLevel="0" collapsed="false">
      <c r="A7" s="5" t="s">
        <v>16</v>
      </c>
      <c r="B7" s="6" t="n">
        <v>150000000</v>
      </c>
    </row>
    <row r="8" customFormat="false" ht="15" hidden="false" customHeight="false" outlineLevel="0" collapsed="false">
      <c r="A8" s="5" t="s">
        <v>17</v>
      </c>
      <c r="B8" s="7" t="n">
        <v>0.02</v>
      </c>
    </row>
    <row r="9" customFormat="false" ht="15" hidden="false" customHeight="false" outlineLevel="0" collapsed="false">
      <c r="A9" s="5" t="s">
        <v>18</v>
      </c>
      <c r="B9" s="8" t="n">
        <v>5</v>
      </c>
    </row>
    <row r="10" customFormat="false" ht="15" hidden="false" customHeight="false" outlineLevel="0" collapsed="false">
      <c r="A10" s="5" t="s">
        <v>19</v>
      </c>
      <c r="B10" s="7" t="n">
        <v>0.2</v>
      </c>
    </row>
    <row r="11" customFormat="false" ht="15" hidden="false" customHeight="false" outlineLevel="0" collapsed="false">
      <c r="A11" s="5" t="s">
        <v>20</v>
      </c>
      <c r="B11" s="8" t="n">
        <v>10</v>
      </c>
    </row>
    <row r="13" customFormat="false" ht="23.85" hidden="false" customHeight="false" outlineLevel="0" collapsed="false">
      <c r="A13" s="9" t="s">
        <v>21</v>
      </c>
      <c r="B13" s="9" t="s">
        <v>22</v>
      </c>
      <c r="C13" s="9" t="s">
        <v>23</v>
      </c>
      <c r="D13" s="9" t="s">
        <v>24</v>
      </c>
      <c r="E13" s="9" t="s">
        <v>25</v>
      </c>
      <c r="F13" s="9" t="s">
        <v>26</v>
      </c>
      <c r="G13" s="9" t="s">
        <v>27</v>
      </c>
      <c r="H13" s="9" t="s">
        <v>28</v>
      </c>
      <c r="I13" s="9" t="s">
        <v>29</v>
      </c>
    </row>
    <row r="14" customFormat="false" ht="15" hidden="false" customHeight="false" outlineLevel="0" collapsed="false">
      <c r="A14" s="10" t="s">
        <v>30</v>
      </c>
      <c r="B14" s="6" t="n">
        <v>3000000</v>
      </c>
      <c r="C14" s="6" t="n">
        <v>12000000</v>
      </c>
      <c r="D14" s="11" t="n">
        <v>42</v>
      </c>
      <c r="E14" s="11" t="n">
        <v>6</v>
      </c>
      <c r="F14" s="8" t="n">
        <v>9</v>
      </c>
      <c r="G14" s="12" t="n">
        <f aca="false">B14+C14</f>
        <v>15000000</v>
      </c>
      <c r="H14" s="12" t="n">
        <f aca="false">B14*D14+C14*E14</f>
        <v>198000000</v>
      </c>
      <c r="I14" s="13" t="n">
        <f aca="false">IF(G14=0,"",H14/G14)</f>
        <v>13.2</v>
      </c>
    </row>
    <row r="15" customFormat="false" ht="15" hidden="false" customHeight="false" outlineLevel="0" collapsed="false">
      <c r="A15" s="10" t="s">
        <v>31</v>
      </c>
      <c r="B15" s="6" t="n">
        <v>2500000</v>
      </c>
      <c r="C15" s="6" t="n">
        <v>9000000</v>
      </c>
      <c r="D15" s="11" t="n">
        <v>14</v>
      </c>
      <c r="E15" s="11" t="n">
        <v>2</v>
      </c>
      <c r="F15" s="8" t="n">
        <v>8</v>
      </c>
      <c r="G15" s="12" t="n">
        <f aca="false">B15+C15</f>
        <v>11500000</v>
      </c>
      <c r="H15" s="12" t="n">
        <f aca="false">B15*D15+C15*E15</f>
        <v>53000000</v>
      </c>
      <c r="I15" s="13" t="n">
        <f aca="false">IF(G15=0,"",H15/G15)</f>
        <v>4.60869565217391</v>
      </c>
    </row>
    <row r="16" customFormat="false" ht="15" hidden="false" customHeight="false" outlineLevel="0" collapsed="false">
      <c r="A16" s="10" t="s">
        <v>32</v>
      </c>
      <c r="B16" s="6" t="n">
        <v>3000000</v>
      </c>
      <c r="C16" s="6" t="n">
        <v>7500000</v>
      </c>
      <c r="D16" s="11" t="n">
        <v>6.2</v>
      </c>
      <c r="E16" s="11" t="n">
        <v>1.3</v>
      </c>
      <c r="F16" s="8" t="n">
        <v>9</v>
      </c>
      <c r="G16" s="12" t="n">
        <f aca="false">B16+C16</f>
        <v>10500000</v>
      </c>
      <c r="H16" s="12" t="n">
        <f aca="false">B16*D16+C16*E16</f>
        <v>28350000</v>
      </c>
      <c r="I16" s="13" t="n">
        <f aca="false">IF(G16=0,"",H16/G16)</f>
        <v>2.7</v>
      </c>
    </row>
    <row r="17" customFormat="false" ht="15" hidden="false" customHeight="false" outlineLevel="0" collapsed="false">
      <c r="A17" s="10" t="s">
        <v>33</v>
      </c>
      <c r="B17" s="6" t="n">
        <v>2500000</v>
      </c>
      <c r="C17" s="6" t="n">
        <v>6000000</v>
      </c>
      <c r="D17" s="11" t="n">
        <v>4.4</v>
      </c>
      <c r="E17" s="11" t="n">
        <v>1</v>
      </c>
      <c r="F17" s="8" t="n">
        <v>7</v>
      </c>
      <c r="G17" s="12" t="n">
        <f aca="false">B17+C17</f>
        <v>8500000</v>
      </c>
      <c r="H17" s="12" t="n">
        <f aca="false">B17*D17+C17*E17</f>
        <v>17000000</v>
      </c>
      <c r="I17" s="13" t="n">
        <f aca="false">IF(G17=0,"",H17/G17)</f>
        <v>2</v>
      </c>
    </row>
    <row r="18" customFormat="false" ht="15" hidden="false" customHeight="false" outlineLevel="0" collapsed="false">
      <c r="A18" s="10" t="s">
        <v>34</v>
      </c>
      <c r="B18" s="6" t="n">
        <v>2500000</v>
      </c>
      <c r="C18" s="6" t="n">
        <v>5500000</v>
      </c>
      <c r="D18" s="11" t="n">
        <v>3.6</v>
      </c>
      <c r="E18" s="11" t="n">
        <v>0.85</v>
      </c>
      <c r="F18" s="8" t="n">
        <v>8</v>
      </c>
      <c r="G18" s="12" t="n">
        <f aca="false">B18+C18</f>
        <v>8000000</v>
      </c>
      <c r="H18" s="12" t="n">
        <f aca="false">B18*D18+C18*E18</f>
        <v>13675000</v>
      </c>
      <c r="I18" s="13" t="n">
        <f aca="false">IF(G18=0,"",H18/G18)</f>
        <v>1.709375</v>
      </c>
    </row>
    <row r="19" customFormat="false" ht="15" hidden="false" customHeight="false" outlineLevel="0" collapsed="false">
      <c r="A19" s="10" t="s">
        <v>35</v>
      </c>
      <c r="B19" s="6" t="n">
        <v>2500000</v>
      </c>
      <c r="C19" s="6" t="n">
        <v>5000000</v>
      </c>
      <c r="D19" s="11" t="n">
        <v>2.8</v>
      </c>
      <c r="E19" s="11" t="n">
        <v>0.7</v>
      </c>
      <c r="F19" s="8" t="n">
        <v>10</v>
      </c>
      <c r="G19" s="12" t="n">
        <f aca="false">B19+C19</f>
        <v>7500000</v>
      </c>
      <c r="H19" s="12" t="n">
        <f aca="false">B19*D19+C19*E19</f>
        <v>10500000</v>
      </c>
      <c r="I19" s="13" t="n">
        <f aca="false">IF(G19=0,"",H19/G19)</f>
        <v>1.4</v>
      </c>
    </row>
    <row r="20" customFormat="false" ht="15" hidden="false" customHeight="false" outlineLevel="0" collapsed="false">
      <c r="A20" s="10" t="s">
        <v>36</v>
      </c>
      <c r="B20" s="6" t="n">
        <v>2500000</v>
      </c>
      <c r="C20" s="6" t="n">
        <v>4500000</v>
      </c>
      <c r="D20" s="11" t="n">
        <v>2.3</v>
      </c>
      <c r="E20" s="11" t="n">
        <v>0.6</v>
      </c>
      <c r="F20" s="8" t="n">
        <v>7</v>
      </c>
      <c r="G20" s="12" t="n">
        <f aca="false">B20+C20</f>
        <v>7000000</v>
      </c>
      <c r="H20" s="12" t="n">
        <f aca="false">B20*D20+C20*E20</f>
        <v>8450000</v>
      </c>
      <c r="I20" s="13" t="n">
        <f aca="false">IF(G20=0,"",H20/G20)</f>
        <v>1.20714285714286</v>
      </c>
    </row>
    <row r="21" customFormat="false" ht="15" hidden="false" customHeight="false" outlineLevel="0" collapsed="false">
      <c r="A21" s="10" t="s">
        <v>37</v>
      </c>
      <c r="B21" s="6" t="n">
        <v>2500000</v>
      </c>
      <c r="C21" s="6" t="n">
        <v>4000000</v>
      </c>
      <c r="D21" s="11" t="n">
        <v>1.7</v>
      </c>
      <c r="E21" s="11" t="n">
        <v>0.45</v>
      </c>
      <c r="F21" s="8" t="n">
        <v>9</v>
      </c>
      <c r="G21" s="12" t="n">
        <f aca="false">B21+C21</f>
        <v>6500000</v>
      </c>
      <c r="H21" s="12" t="n">
        <f aca="false">B21*D21+C21*E21</f>
        <v>6050000</v>
      </c>
      <c r="I21" s="13" t="n">
        <f aca="false">IF(G21=0,"",H21/G21)</f>
        <v>0.930769230769231</v>
      </c>
    </row>
    <row r="22" customFormat="false" ht="15" hidden="false" customHeight="false" outlineLevel="0" collapsed="false">
      <c r="A22" s="10" t="s">
        <v>38</v>
      </c>
      <c r="B22" s="6" t="n">
        <v>2500000</v>
      </c>
      <c r="C22" s="6" t="n">
        <v>3500000</v>
      </c>
      <c r="D22" s="11" t="n">
        <v>1.3</v>
      </c>
      <c r="E22" s="11" t="n">
        <v>0.35</v>
      </c>
      <c r="F22" s="8" t="n">
        <v>8</v>
      </c>
      <c r="G22" s="12" t="n">
        <f aca="false">B22+C22</f>
        <v>6000000</v>
      </c>
      <c r="H22" s="12" t="n">
        <f aca="false">B22*D22+C22*E22</f>
        <v>4475000</v>
      </c>
      <c r="I22" s="13" t="n">
        <f aca="false">IF(G22=0,"",H22/G22)</f>
        <v>0.745833333333333</v>
      </c>
    </row>
    <row r="23" customFormat="false" ht="15" hidden="false" customHeight="false" outlineLevel="0" collapsed="false">
      <c r="A23" s="10" t="s">
        <v>39</v>
      </c>
      <c r="B23" s="6" t="n">
        <v>2500000</v>
      </c>
      <c r="C23" s="6" t="n">
        <v>3000000</v>
      </c>
      <c r="D23" s="11" t="n">
        <v>1</v>
      </c>
      <c r="E23" s="11" t="n">
        <v>0.3</v>
      </c>
      <c r="F23" s="8" t="n">
        <v>10</v>
      </c>
      <c r="G23" s="12" t="n">
        <f aca="false">B23+C23</f>
        <v>5500000</v>
      </c>
      <c r="H23" s="12" t="n">
        <f aca="false">B23*D23+C23*E23</f>
        <v>3400000</v>
      </c>
      <c r="I23" s="13" t="n">
        <f aca="false">IF(G23=0,"",H23/G23)</f>
        <v>0.618181818181818</v>
      </c>
    </row>
    <row r="24" customFormat="false" ht="15" hidden="false" customHeight="false" outlineLevel="0" collapsed="false">
      <c r="A24" s="10" t="s">
        <v>40</v>
      </c>
      <c r="B24" s="6" t="n">
        <v>2500000</v>
      </c>
      <c r="C24" s="6" t="n">
        <v>2500000</v>
      </c>
      <c r="D24" s="11" t="n">
        <v>0.8</v>
      </c>
      <c r="E24" s="11" t="n">
        <v>0.22</v>
      </c>
      <c r="F24" s="8" t="n">
        <v>6</v>
      </c>
      <c r="G24" s="12" t="n">
        <f aca="false">B24+C24</f>
        <v>5000000</v>
      </c>
      <c r="H24" s="12" t="n">
        <f aca="false">B24*D24+C24*E24</f>
        <v>2550000</v>
      </c>
      <c r="I24" s="13" t="n">
        <f aca="false">IF(G24=0,"",H24/G24)</f>
        <v>0.51</v>
      </c>
    </row>
    <row r="25" customFormat="false" ht="15" hidden="false" customHeight="false" outlineLevel="0" collapsed="false">
      <c r="A25" s="10" t="s">
        <v>41</v>
      </c>
      <c r="B25" s="6" t="n">
        <v>2500000</v>
      </c>
      <c r="C25" s="6" t="n">
        <v>2000000</v>
      </c>
      <c r="D25" s="11" t="n">
        <v>0.55</v>
      </c>
      <c r="E25" s="11" t="n">
        <v>0.15</v>
      </c>
      <c r="F25" s="8" t="n">
        <v>7</v>
      </c>
      <c r="G25" s="12" t="n">
        <f aca="false">B25+C25</f>
        <v>4500000</v>
      </c>
      <c r="H25" s="12" t="n">
        <f aca="false">B25*D25+C25*E25</f>
        <v>1675000</v>
      </c>
      <c r="I25" s="13" t="n">
        <f aca="false">IF(G25=0,"",H25/G25)</f>
        <v>0.372222222222222</v>
      </c>
    </row>
    <row r="26" customFormat="false" ht="15" hidden="false" customHeight="false" outlineLevel="0" collapsed="false">
      <c r="A26" s="10" t="s">
        <v>42</v>
      </c>
      <c r="B26" s="6" t="n">
        <v>2500000</v>
      </c>
      <c r="C26" s="6" t="n">
        <v>1500000</v>
      </c>
      <c r="D26" s="11" t="n">
        <v>0.35</v>
      </c>
      <c r="E26" s="11" t="n">
        <v>0.1</v>
      </c>
      <c r="F26" s="8" t="n">
        <v>6</v>
      </c>
      <c r="G26" s="12" t="n">
        <f aca="false">B26+C26</f>
        <v>4000000</v>
      </c>
      <c r="H26" s="12" t="n">
        <f aca="false">B26*D26+C26*E26</f>
        <v>1025000</v>
      </c>
      <c r="I26" s="13" t="n">
        <f aca="false">IF(G26=0,"",H26/G26)</f>
        <v>0.25625</v>
      </c>
    </row>
    <row r="27" customFormat="false" ht="15" hidden="false" customHeight="false" outlineLevel="0" collapsed="false">
      <c r="A27" s="10" t="s">
        <v>43</v>
      </c>
      <c r="B27" s="6" t="n">
        <v>2500000</v>
      </c>
      <c r="C27" s="6" t="n">
        <v>1000000</v>
      </c>
      <c r="D27" s="11" t="n">
        <v>0.2</v>
      </c>
      <c r="E27" s="11" t="n">
        <v>0.06</v>
      </c>
      <c r="F27" s="8" t="n">
        <v>5</v>
      </c>
      <c r="G27" s="12" t="n">
        <f aca="false">B27+C27</f>
        <v>3500000</v>
      </c>
      <c r="H27" s="12" t="n">
        <f aca="false">B27*D27+C27*E27</f>
        <v>560000</v>
      </c>
      <c r="I27" s="13" t="n">
        <f aca="false">IF(G27=0,"",H27/G27)</f>
        <v>0.16</v>
      </c>
    </row>
    <row r="28" customFormat="false" ht="15" hidden="false" customHeight="false" outlineLevel="0" collapsed="false">
      <c r="A28" s="10" t="s">
        <v>44</v>
      </c>
      <c r="B28" s="6" t="n">
        <v>2500000</v>
      </c>
      <c r="C28" s="6" t="n">
        <v>500000</v>
      </c>
      <c r="D28" s="11" t="n">
        <v>0.1</v>
      </c>
      <c r="E28" s="11" t="n">
        <v>0.03</v>
      </c>
      <c r="F28" s="8" t="n">
        <v>6</v>
      </c>
      <c r="G28" s="12" t="n">
        <f aca="false">B28+C28</f>
        <v>3000000</v>
      </c>
      <c r="H28" s="12" t="n">
        <f aca="false">B28*D28+C28*E28</f>
        <v>265000</v>
      </c>
      <c r="I28" s="13" t="n">
        <f aca="false">IF(G28=0,"",H28/G28)</f>
        <v>0.0883333333333333</v>
      </c>
    </row>
    <row r="29" customFormat="false" ht="15" hidden="false" customHeight="false" outlineLevel="0" collapsed="false">
      <c r="A29" s="10" t="s">
        <v>45</v>
      </c>
      <c r="B29" s="6" t="n">
        <v>2500000</v>
      </c>
      <c r="C29" s="6" t="n">
        <v>500000</v>
      </c>
      <c r="D29" s="11" t="n">
        <v>0</v>
      </c>
      <c r="E29" s="11" t="n">
        <v>0</v>
      </c>
      <c r="F29" s="8" t="n">
        <v>5</v>
      </c>
      <c r="G29" s="12" t="n">
        <f aca="false">B29+C29</f>
        <v>3000000</v>
      </c>
      <c r="H29" s="12" t="n">
        <f aca="false">B29*D29+C29*E29</f>
        <v>0</v>
      </c>
      <c r="I29" s="13" t="n">
        <f aca="false">IF(G29=0,"",H29/G29)</f>
        <v>0</v>
      </c>
    </row>
    <row r="30" customFormat="false" ht="15" hidden="false" customHeight="false" outlineLevel="0" collapsed="false">
      <c r="A30" s="10" t="s">
        <v>46</v>
      </c>
      <c r="B30" s="6" t="n">
        <v>2000000</v>
      </c>
      <c r="C30" s="6" t="n">
        <v>0</v>
      </c>
      <c r="D30" s="11" t="n">
        <v>0</v>
      </c>
      <c r="E30" s="11" t="n">
        <v>0</v>
      </c>
      <c r="F30" s="8" t="n">
        <v>4</v>
      </c>
      <c r="G30" s="12" t="n">
        <f aca="false">B30+C30</f>
        <v>2000000</v>
      </c>
      <c r="H30" s="12" t="n">
        <f aca="false">B30*D30+C30*E30</f>
        <v>0</v>
      </c>
      <c r="I30" s="13" t="n">
        <f aca="false">IF(G30=0,"",H30/G30)</f>
        <v>0</v>
      </c>
    </row>
    <row r="31" customFormat="false" ht="15" hidden="false" customHeight="false" outlineLevel="0" collapsed="false">
      <c r="A31" s="10" t="s">
        <v>47</v>
      </c>
      <c r="B31" s="6" t="n">
        <v>2000000</v>
      </c>
      <c r="C31" s="6" t="n">
        <v>0</v>
      </c>
      <c r="D31" s="11" t="n">
        <v>0</v>
      </c>
      <c r="E31" s="11" t="n">
        <v>0</v>
      </c>
      <c r="F31" s="8" t="n">
        <v>5</v>
      </c>
      <c r="G31" s="12" t="n">
        <f aca="false">B31+C31</f>
        <v>2000000</v>
      </c>
      <c r="H31" s="12" t="n">
        <f aca="false">B31*D31+C31*E31</f>
        <v>0</v>
      </c>
      <c r="I31" s="13" t="n">
        <f aca="false">IF(G31=0,"",H31/G31)</f>
        <v>0</v>
      </c>
    </row>
    <row r="32" customFormat="false" ht="15" hidden="false" customHeight="false" outlineLevel="0" collapsed="false">
      <c r="A32" s="10" t="s">
        <v>48</v>
      </c>
      <c r="B32" s="6" t="n">
        <v>2000000</v>
      </c>
      <c r="C32" s="6" t="n">
        <v>0</v>
      </c>
      <c r="D32" s="11" t="n">
        <v>0</v>
      </c>
      <c r="E32" s="11" t="n">
        <v>0</v>
      </c>
      <c r="F32" s="8" t="n">
        <v>4</v>
      </c>
      <c r="G32" s="12" t="n">
        <f aca="false">B32+C32</f>
        <v>2000000</v>
      </c>
      <c r="H32" s="12" t="n">
        <f aca="false">B32*D32+C32*E32</f>
        <v>0</v>
      </c>
      <c r="I32" s="13" t="n">
        <f aca="false">IF(G32=0,"",H32/G32)</f>
        <v>0</v>
      </c>
    </row>
    <row r="33" customFormat="false" ht="15" hidden="false" customHeight="false" outlineLevel="0" collapsed="false">
      <c r="A33" s="10" t="s">
        <v>49</v>
      </c>
      <c r="B33" s="6" t="n">
        <v>2000000</v>
      </c>
      <c r="C33" s="6" t="n">
        <v>0</v>
      </c>
      <c r="D33" s="11" t="n">
        <v>0</v>
      </c>
      <c r="E33" s="11" t="n">
        <v>0</v>
      </c>
      <c r="F33" s="8" t="n">
        <v>6</v>
      </c>
      <c r="G33" s="12" t="n">
        <f aca="false">B33+C33</f>
        <v>2000000</v>
      </c>
      <c r="H33" s="12" t="n">
        <f aca="false">B33*D33+C33*E33</f>
        <v>0</v>
      </c>
      <c r="I33" s="13" t="n">
        <f aca="false">IF(G33=0,"",H33/G33)</f>
        <v>0</v>
      </c>
    </row>
    <row r="34" customFormat="false" ht="15" hidden="false" customHeight="false" outlineLevel="0" collapsed="false">
      <c r="A34" s="10" t="s">
        <v>50</v>
      </c>
      <c r="B34" s="6" t="n">
        <v>2000000</v>
      </c>
      <c r="C34" s="6" t="n">
        <v>0</v>
      </c>
      <c r="D34" s="11" t="n">
        <v>0</v>
      </c>
      <c r="E34" s="11" t="n">
        <v>0</v>
      </c>
      <c r="F34" s="8" t="n">
        <v>5</v>
      </c>
      <c r="G34" s="12" t="n">
        <f aca="false">B34+C34</f>
        <v>2000000</v>
      </c>
      <c r="H34" s="12" t="n">
        <f aca="false">B34*D34+C34*E34</f>
        <v>0</v>
      </c>
      <c r="I34" s="13" t="n">
        <f aca="false">IF(G34=0,"",H34/G34)</f>
        <v>0</v>
      </c>
    </row>
    <row r="35" customFormat="false" ht="15" hidden="false" customHeight="false" outlineLevel="0" collapsed="false">
      <c r="A35" s="10" t="s">
        <v>51</v>
      </c>
      <c r="B35" s="6" t="n">
        <v>2000000</v>
      </c>
      <c r="C35" s="6" t="n">
        <v>0</v>
      </c>
      <c r="D35" s="11" t="n">
        <v>0</v>
      </c>
      <c r="E35" s="11" t="n">
        <v>0</v>
      </c>
      <c r="F35" s="8" t="n">
        <v>4</v>
      </c>
      <c r="G35" s="12" t="n">
        <f aca="false">B35+C35</f>
        <v>2000000</v>
      </c>
      <c r="H35" s="12" t="n">
        <f aca="false">B35*D35+C35*E35</f>
        <v>0</v>
      </c>
      <c r="I35" s="13" t="n">
        <f aca="false">IF(G35=0,"",H35/G35)</f>
        <v>0</v>
      </c>
    </row>
    <row r="36" customFormat="false" ht="15" hidden="false" customHeight="false" outlineLevel="0" collapsed="false">
      <c r="A36" s="10" t="s">
        <v>52</v>
      </c>
      <c r="B36" s="6" t="n">
        <v>2000000</v>
      </c>
      <c r="C36" s="6" t="n">
        <v>0</v>
      </c>
      <c r="D36" s="11" t="n">
        <v>0</v>
      </c>
      <c r="E36" s="11" t="n">
        <v>0</v>
      </c>
      <c r="F36" s="8" t="n">
        <v>5</v>
      </c>
      <c r="G36" s="12" t="n">
        <f aca="false">B36+C36</f>
        <v>2000000</v>
      </c>
      <c r="H36" s="12" t="n">
        <f aca="false">B36*D36+C36*E36</f>
        <v>0</v>
      </c>
      <c r="I36" s="13" t="n">
        <f aca="false">IF(G36=0,"",H36/G36)</f>
        <v>0</v>
      </c>
    </row>
    <row r="37" customFormat="false" ht="15" hidden="false" customHeight="false" outlineLevel="0" collapsed="false">
      <c r="A37" s="10" t="s">
        <v>53</v>
      </c>
      <c r="B37" s="6" t="n">
        <v>1500000</v>
      </c>
      <c r="C37" s="6" t="n">
        <v>0</v>
      </c>
      <c r="D37" s="11" t="n">
        <v>0</v>
      </c>
      <c r="E37" s="11" t="n">
        <v>0</v>
      </c>
      <c r="F37" s="8" t="n">
        <v>3</v>
      </c>
      <c r="G37" s="12" t="n">
        <f aca="false">B37+C37</f>
        <v>1500000</v>
      </c>
      <c r="H37" s="12" t="n">
        <f aca="false">B37*D37+C37*E37</f>
        <v>0</v>
      </c>
      <c r="I37" s="13" t="n">
        <f aca="false">IF(G37=0,"",H37/G37)</f>
        <v>0</v>
      </c>
    </row>
    <row r="38" customFormat="false" ht="15" hidden="false" customHeight="false" outlineLevel="0" collapsed="false">
      <c r="A38" s="10" t="s">
        <v>54</v>
      </c>
      <c r="B38" s="6" t="n">
        <v>1500000</v>
      </c>
      <c r="C38" s="6" t="n">
        <v>0</v>
      </c>
      <c r="D38" s="11" t="n">
        <v>0</v>
      </c>
      <c r="E38" s="11" t="n">
        <v>0</v>
      </c>
      <c r="F38" s="8" t="n">
        <v>4</v>
      </c>
      <c r="G38" s="12" t="n">
        <f aca="false">B38+C38</f>
        <v>1500000</v>
      </c>
      <c r="H38" s="12" t="n">
        <f aca="false">B38*D38+C38*E38</f>
        <v>0</v>
      </c>
      <c r="I38" s="13" t="n">
        <f aca="false">IF(G38=0,"",H38/G38)</f>
        <v>0</v>
      </c>
    </row>
    <row r="39" customFormat="false" ht="15" hidden="false" customHeight="false" outlineLevel="0" collapsed="false">
      <c r="A39" s="10" t="s">
        <v>55</v>
      </c>
      <c r="B39" s="6" t="n">
        <v>1500000</v>
      </c>
      <c r="C39" s="6" t="n">
        <v>0</v>
      </c>
      <c r="D39" s="11" t="n">
        <v>0</v>
      </c>
      <c r="E39" s="11" t="n">
        <v>0</v>
      </c>
      <c r="F39" s="8" t="n">
        <v>4</v>
      </c>
      <c r="G39" s="12" t="n">
        <f aca="false">B39+C39</f>
        <v>1500000</v>
      </c>
      <c r="H39" s="12" t="n">
        <f aca="false">B39*D39+C39*E39</f>
        <v>0</v>
      </c>
      <c r="I39" s="13" t="n">
        <f aca="false">IF(G39=0,"",H39/G39)</f>
        <v>0</v>
      </c>
    </row>
    <row r="40" customFormat="false" ht="15" hidden="false" customHeight="false" outlineLevel="0" collapsed="false">
      <c r="A40" s="10" t="s">
        <v>56</v>
      </c>
      <c r="B40" s="6" t="n">
        <v>1500000</v>
      </c>
      <c r="C40" s="6" t="n">
        <v>0</v>
      </c>
      <c r="D40" s="11" t="n">
        <v>0</v>
      </c>
      <c r="E40" s="11" t="n">
        <v>0</v>
      </c>
      <c r="F40" s="8" t="n">
        <v>3</v>
      </c>
      <c r="G40" s="12" t="n">
        <f aca="false">B40+C40</f>
        <v>1500000</v>
      </c>
      <c r="H40" s="12" t="n">
        <f aca="false">B40*D40+C40*E40</f>
        <v>0</v>
      </c>
      <c r="I40" s="13" t="n">
        <f aca="false">IF(G40=0,"",H40/G40)</f>
        <v>0</v>
      </c>
    </row>
    <row r="41" customFormat="false" ht="15" hidden="false" customHeight="false" outlineLevel="0" collapsed="false">
      <c r="A41" s="10" t="s">
        <v>57</v>
      </c>
      <c r="B41" s="6" t="n">
        <v>1500000</v>
      </c>
      <c r="C41" s="6" t="n">
        <v>0</v>
      </c>
      <c r="D41" s="11" t="n">
        <v>0</v>
      </c>
      <c r="E41" s="11" t="n">
        <v>0</v>
      </c>
      <c r="F41" s="8" t="n">
        <v>3</v>
      </c>
      <c r="G41" s="12" t="n">
        <f aca="false">B41+C41</f>
        <v>1500000</v>
      </c>
      <c r="H41" s="12" t="n">
        <f aca="false">B41*D41+C41*E41</f>
        <v>0</v>
      </c>
      <c r="I41" s="13" t="n">
        <f aca="false">IF(G41=0,"",H41/G41)</f>
        <v>0</v>
      </c>
    </row>
    <row r="42" customFormat="false" ht="15" hidden="false" customHeight="false" outlineLevel="0" collapsed="false">
      <c r="A42" s="14" t="s">
        <v>58</v>
      </c>
      <c r="B42" s="15" t="n">
        <f aca="false">SUM(B14:B41)</f>
        <v>62500000</v>
      </c>
      <c r="C42" s="15" t="n">
        <f aca="false">SUM(C14:C41)</f>
        <v>68000000</v>
      </c>
      <c r="G42" s="15" t="n">
        <f aca="false">SUM(G14:G41)</f>
        <v>130500000</v>
      </c>
      <c r="H42" s="15" t="n">
        <f aca="false">SUM(H14:H41)</f>
        <v>348975000</v>
      </c>
      <c r="I42" s="16" t="n">
        <f aca="false">IF(G42=0,"",H42/G42)</f>
        <v>2.67413793103448</v>
      </c>
    </row>
    <row r="44" customFormat="false" ht="15" hidden="false" customHeight="false" outlineLevel="0" collapsed="false">
      <c r="A44" s="2" t="s">
        <v>59</v>
      </c>
    </row>
    <row r="45" customFormat="false" ht="15" hidden="false" customHeight="false" outlineLevel="0" collapsed="false">
      <c r="A45" s="2" t="s">
        <v>60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9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74"/>
    <col collapsed="false" customWidth="true" hidden="false" outlineLevel="0" max="3" min="2" style="0" width="20"/>
    <col collapsed="false" customWidth="true" hidden="false" outlineLevel="0" max="4" min="4" style="0" width="18"/>
  </cols>
  <sheetData>
    <row r="1" customFormat="false" ht="19.7" hidden="false" customHeight="false" outlineLevel="0" collapsed="false">
      <c r="A1" s="1" t="s">
        <v>61</v>
      </c>
    </row>
    <row r="2" customFormat="false" ht="15" hidden="false" customHeight="false" outlineLevel="0" collapsed="false">
      <c r="A2" s="2" t="s">
        <v>62</v>
      </c>
    </row>
    <row r="5" customFormat="false" ht="15" hidden="false" customHeight="false" outlineLevel="0" collapsed="false">
      <c r="A5" s="3" t="s">
        <v>63</v>
      </c>
    </row>
    <row r="7" customFormat="false" ht="23.85" hidden="false" customHeight="false" outlineLevel="0" collapsed="false">
      <c r="A7" s="9" t="s">
        <v>64</v>
      </c>
      <c r="B7" s="9" t="s">
        <v>65</v>
      </c>
      <c r="C7" s="9" t="s">
        <v>66</v>
      </c>
    </row>
    <row r="8" customFormat="false" ht="15" hidden="false" customHeight="false" outlineLevel="0" collapsed="false">
      <c r="A8" s="17" t="n">
        <v>1</v>
      </c>
      <c r="B8" s="12" t="n">
        <f aca="false">SUMIF(Inputs!$F$14:$F$41,"&gt;="&amp;A8,Inputs!$G$14:$G$41)</f>
        <v>130500000</v>
      </c>
      <c r="C8" s="12" t="n">
        <f aca="false">IF(A8&lt;=Inputs!$B$9,Inputs!$B$7*Inputs!$B$8,B8*Inputs!$B$8)</f>
        <v>3000000</v>
      </c>
    </row>
    <row r="9" customFormat="false" ht="15" hidden="false" customHeight="false" outlineLevel="0" collapsed="false">
      <c r="A9" s="18" t="n">
        <v>2</v>
      </c>
      <c r="B9" s="19" t="n">
        <f aca="false">SUMIF(Inputs!$F$14:$F$41,"&gt;="&amp;A9,Inputs!$G$14:$G$41)</f>
        <v>130500000</v>
      </c>
      <c r="C9" s="19" t="n">
        <f aca="false">IF(A9&lt;=Inputs!$B$9,Inputs!$B$7*Inputs!$B$8,B9*Inputs!$B$8)</f>
        <v>3000000</v>
      </c>
    </row>
    <row r="10" customFormat="false" ht="15" hidden="false" customHeight="false" outlineLevel="0" collapsed="false">
      <c r="A10" s="17" t="n">
        <v>3</v>
      </c>
      <c r="B10" s="12" t="n">
        <f aca="false">SUMIF(Inputs!$F$14:$F$41,"&gt;="&amp;A10,Inputs!$G$14:$G$41)</f>
        <v>130500000</v>
      </c>
      <c r="C10" s="12" t="n">
        <f aca="false">IF(A10&lt;=Inputs!$B$9,Inputs!$B$7*Inputs!$B$8,B10*Inputs!$B$8)</f>
        <v>3000000</v>
      </c>
    </row>
    <row r="11" customFormat="false" ht="15" hidden="false" customHeight="false" outlineLevel="0" collapsed="false">
      <c r="A11" s="18" t="n">
        <v>4</v>
      </c>
      <c r="B11" s="19" t="n">
        <f aca="false">SUMIF(Inputs!$F$14:$F$41,"&gt;="&amp;A11,Inputs!$G$14:$G$41)</f>
        <v>126000000</v>
      </c>
      <c r="C11" s="19" t="n">
        <f aca="false">IF(A11&lt;=Inputs!$B$9,Inputs!$B$7*Inputs!$B$8,B11*Inputs!$B$8)</f>
        <v>3000000</v>
      </c>
    </row>
    <row r="12" customFormat="false" ht="15" hidden="false" customHeight="false" outlineLevel="0" collapsed="false">
      <c r="A12" s="17" t="n">
        <v>5</v>
      </c>
      <c r="B12" s="12" t="n">
        <f aca="false">SUMIF(Inputs!$F$14:$F$41,"&gt;="&amp;A12,Inputs!$G$14:$G$41)</f>
        <v>117000000</v>
      </c>
      <c r="C12" s="12" t="n">
        <f aca="false">IF(A12&lt;=Inputs!$B$9,Inputs!$B$7*Inputs!$B$8,B12*Inputs!$B$8)</f>
        <v>3000000</v>
      </c>
    </row>
    <row r="13" customFormat="false" ht="15" hidden="false" customHeight="false" outlineLevel="0" collapsed="false">
      <c r="A13" s="18" t="n">
        <v>6</v>
      </c>
      <c r="B13" s="19" t="n">
        <f aca="false">SUMIF(Inputs!$F$14:$F$41,"&gt;="&amp;A13,Inputs!$G$14:$G$41)</f>
        <v>104500000</v>
      </c>
      <c r="C13" s="19" t="n">
        <f aca="false">IF(A13&lt;=Inputs!$B$9,Inputs!$B$7*Inputs!$B$8,B13*Inputs!$B$8)</f>
        <v>2090000</v>
      </c>
    </row>
    <row r="14" customFormat="false" ht="15" hidden="false" customHeight="false" outlineLevel="0" collapsed="false">
      <c r="A14" s="17" t="n">
        <v>7</v>
      </c>
      <c r="B14" s="12" t="n">
        <f aca="false">SUMIF(Inputs!$F$14:$F$41,"&gt;="&amp;A14,Inputs!$G$14:$G$41)</f>
        <v>90500000</v>
      </c>
      <c r="C14" s="12" t="n">
        <f aca="false">IF(A14&lt;=Inputs!$B$9,Inputs!$B$7*Inputs!$B$8,B14*Inputs!$B$8)</f>
        <v>1810000</v>
      </c>
    </row>
    <row r="15" customFormat="false" ht="15" hidden="false" customHeight="false" outlineLevel="0" collapsed="false">
      <c r="A15" s="18" t="n">
        <v>8</v>
      </c>
      <c r="B15" s="19" t="n">
        <f aca="false">SUMIF(Inputs!$F$14:$F$41,"&gt;="&amp;A15,Inputs!$G$14:$G$41)</f>
        <v>70500000</v>
      </c>
      <c r="C15" s="19" t="n">
        <f aca="false">IF(A15&lt;=Inputs!$B$9,Inputs!$B$7*Inputs!$B$8,B15*Inputs!$B$8)</f>
        <v>1410000</v>
      </c>
    </row>
    <row r="16" customFormat="false" ht="15" hidden="false" customHeight="false" outlineLevel="0" collapsed="false">
      <c r="A16" s="17" t="n">
        <v>9</v>
      </c>
      <c r="B16" s="12" t="n">
        <f aca="false">SUMIF(Inputs!$F$14:$F$41,"&gt;="&amp;A16,Inputs!$G$14:$G$41)</f>
        <v>45000000</v>
      </c>
      <c r="C16" s="12" t="n">
        <f aca="false">IF(A16&lt;=Inputs!$B$9,Inputs!$B$7*Inputs!$B$8,B16*Inputs!$B$8)</f>
        <v>900000</v>
      </c>
    </row>
    <row r="17" customFormat="false" ht="15" hidden="false" customHeight="false" outlineLevel="0" collapsed="false">
      <c r="A17" s="18" t="n">
        <v>10</v>
      </c>
      <c r="B17" s="19" t="n">
        <f aca="false">SUMIF(Inputs!$F$14:$F$41,"&gt;="&amp;A17,Inputs!$G$14:$G$41)</f>
        <v>13000000</v>
      </c>
      <c r="C17" s="19" t="n">
        <f aca="false">IF(A17&lt;=Inputs!$B$9,Inputs!$B$7*Inputs!$B$8,B17*Inputs!$B$8)</f>
        <v>260000</v>
      </c>
    </row>
    <row r="18" customFormat="false" ht="15" hidden="false" customHeight="false" outlineLevel="0" collapsed="false">
      <c r="A18" s="14" t="s">
        <v>67</v>
      </c>
      <c r="C18" s="15" t="n">
        <f aca="false">SUM(C8:C17)</f>
        <v>21470000</v>
      </c>
    </row>
    <row r="19" customFormat="false" ht="15" hidden="false" customHeight="false" outlineLevel="0" collapsed="false">
      <c r="A19" s="5" t="s">
        <v>68</v>
      </c>
      <c r="C19" s="20" t="n">
        <f aca="false">C18/Inputs!B7</f>
        <v>0.143133333333333</v>
      </c>
    </row>
    <row r="20" customFormat="false" ht="15" hidden="false" customHeight="false" outlineLevel="0" collapsed="false">
      <c r="A20" s="14" t="s">
        <v>69</v>
      </c>
      <c r="C20" s="15" t="n">
        <f aca="false">Inputs!B7-C18</f>
        <v>128530000</v>
      </c>
    </row>
    <row r="21" customFormat="false" ht="15" hidden="false" customHeight="false" outlineLevel="0" collapsed="false">
      <c r="A21" s="14" t="s">
        <v>70</v>
      </c>
      <c r="C21" s="16" t="n">
        <f aca="false">Inputs!B7/C20</f>
        <v>1.16704271376332</v>
      </c>
    </row>
    <row r="22" customFormat="false" ht="15" hidden="false" customHeight="false" outlineLevel="0" collapsed="false">
      <c r="A22" s="2" t="s">
        <v>71</v>
      </c>
    </row>
    <row r="23" customFormat="false" ht="15" hidden="false" customHeight="false" outlineLevel="0" collapsed="false">
      <c r="A23" s="3" t="s">
        <v>72</v>
      </c>
    </row>
    <row r="25" customFormat="false" ht="15" hidden="false" customHeight="false" outlineLevel="0" collapsed="false">
      <c r="A25" s="5" t="s">
        <v>73</v>
      </c>
      <c r="B25" s="12" t="n">
        <f aca="false">Inputs!B42</f>
        <v>62500000</v>
      </c>
    </row>
    <row r="26" customFormat="false" ht="15" hidden="false" customHeight="false" outlineLevel="0" collapsed="false">
      <c r="A26" s="5" t="s">
        <v>74</v>
      </c>
      <c r="B26" s="12" t="n">
        <f aca="false">Inputs!C42</f>
        <v>68000000</v>
      </c>
    </row>
    <row r="27" customFormat="false" ht="15" hidden="false" customHeight="false" outlineLevel="0" collapsed="false">
      <c r="A27" s="14" t="s">
        <v>75</v>
      </c>
      <c r="B27" s="15" t="n">
        <f aca="false">Inputs!G42</f>
        <v>130500000</v>
      </c>
    </row>
    <row r="28" customFormat="false" ht="15" hidden="false" customHeight="false" outlineLevel="0" collapsed="false">
      <c r="A28" s="5" t="s">
        <v>76</v>
      </c>
      <c r="B28" s="20" t="n">
        <f aca="false">B26/B27</f>
        <v>0.521072796934866</v>
      </c>
    </row>
    <row r="29" customFormat="false" ht="15" hidden="false" customHeight="false" outlineLevel="0" collapsed="false">
      <c r="A29" s="14" t="s">
        <v>77</v>
      </c>
      <c r="B29" s="15" t="n">
        <f aca="false">Inputs!H42</f>
        <v>348975000</v>
      </c>
    </row>
    <row r="30" customFormat="false" ht="15" hidden="false" customHeight="false" outlineLevel="0" collapsed="false">
      <c r="A30" s="14" t="s">
        <v>78</v>
      </c>
      <c r="B30" s="15" t="n">
        <f aca="false">B27+C18</f>
        <v>151970000</v>
      </c>
    </row>
    <row r="32" customFormat="false" ht="15" hidden="false" customHeight="false" outlineLevel="0" collapsed="false">
      <c r="A32" s="3" t="s">
        <v>79</v>
      </c>
    </row>
    <row r="34" customFormat="false" ht="15" hidden="false" customHeight="false" outlineLevel="0" collapsed="false">
      <c r="A34" s="14" t="s">
        <v>80</v>
      </c>
      <c r="B34" s="16" t="n">
        <f aca="false">SUMPRODUCT(Inputs!B14:B41,Inputs!D14:D41)/Inputs!B42</f>
        <v>3.6376</v>
      </c>
    </row>
    <row r="35" customFormat="false" ht="15" hidden="false" customHeight="false" outlineLevel="0" collapsed="false">
      <c r="A35" s="14" t="s">
        <v>81</v>
      </c>
      <c r="B35" s="16" t="n">
        <f aca="false">B29/B27</f>
        <v>2.67413793103448</v>
      </c>
    </row>
    <row r="36" customFormat="false" ht="15" hidden="false" customHeight="false" outlineLevel="0" collapsed="false">
      <c r="A36" s="14" t="s">
        <v>82</v>
      </c>
      <c r="B36" s="16" t="n">
        <f aca="false">B29/Inputs!B7</f>
        <v>2.3265</v>
      </c>
    </row>
    <row r="37" customFormat="false" ht="15" hidden="false" customHeight="false" outlineLevel="0" collapsed="false">
      <c r="A37" s="5" t="s">
        <v>83</v>
      </c>
      <c r="B37" s="12" t="n">
        <f aca="false">MAX(0,B29-Inputs!B7)*Inputs!B10</f>
        <v>39795000</v>
      </c>
    </row>
    <row r="38" customFormat="false" ht="15" hidden="false" customHeight="false" outlineLevel="0" collapsed="false">
      <c r="A38" s="5" t="s">
        <v>84</v>
      </c>
      <c r="B38" s="12" t="n">
        <f aca="false">B29-B37</f>
        <v>309180000</v>
      </c>
    </row>
    <row r="39" customFormat="false" ht="15" hidden="false" customHeight="false" outlineLevel="0" collapsed="false">
      <c r="A39" s="14" t="s">
        <v>85</v>
      </c>
      <c r="B39" s="16" t="n">
        <f aca="false">B38/Inputs!B7</f>
        <v>2.0612</v>
      </c>
    </row>
    <row r="40" customFormat="false" ht="15" hidden="false" customHeight="false" outlineLevel="0" collapsed="false">
      <c r="A40" s="5" t="s">
        <v>86</v>
      </c>
      <c r="B40" s="21" t="n">
        <f aca="false">B34-B39</f>
        <v>1.5764</v>
      </c>
    </row>
    <row r="41" customFormat="false" ht="15" hidden="false" customHeight="false" outlineLevel="0" collapsed="false">
      <c r="A41" s="5" t="s">
        <v>87</v>
      </c>
      <c r="B41" s="21" t="n">
        <f aca="false">B34/B39</f>
        <v>1.76479720551135</v>
      </c>
    </row>
    <row r="43" customFormat="false" ht="15" hidden="false" customHeight="false" outlineLevel="0" collapsed="false">
      <c r="A43" s="3" t="s">
        <v>88</v>
      </c>
    </row>
    <row r="45" customFormat="false" ht="15" hidden="false" customHeight="false" outlineLevel="0" collapsed="false">
      <c r="A45" s="5" t="s">
        <v>89</v>
      </c>
      <c r="B45" s="12" t="n">
        <f aca="false">C18+B37</f>
        <v>61265000</v>
      </c>
    </row>
    <row r="46" customFormat="false" ht="15" hidden="false" customHeight="false" outlineLevel="0" collapsed="false">
      <c r="A46" s="5" t="s">
        <v>90</v>
      </c>
      <c r="B46" s="20" t="n">
        <f aca="false">B45/B29</f>
        <v>0.175556988322946</v>
      </c>
    </row>
    <row r="47" customFormat="false" ht="15" hidden="false" customHeight="false" outlineLevel="0" collapsed="false">
      <c r="A47" s="14" t="s">
        <v>91</v>
      </c>
      <c r="B47" s="15" t="n">
        <f aca="false">B38-B30</f>
        <v>157210000</v>
      </c>
    </row>
    <row r="48" customFormat="false" ht="15" hidden="false" customHeight="false" outlineLevel="0" collapsed="false">
      <c r="A48" s="14" t="s">
        <v>92</v>
      </c>
      <c r="B48" s="15" t="n">
        <f aca="false">B29-C18-B37-B27</f>
        <v>157210000</v>
      </c>
    </row>
    <row r="49" customFormat="false" ht="15" hidden="false" customHeight="false" outlineLevel="0" collapsed="false">
      <c r="A49" s="2" t="s">
        <v>93</v>
      </c>
    </row>
    <row r="51" customFormat="false" ht="15" hidden="false" customHeight="false" outlineLevel="0" collapsed="false">
      <c r="A51" s="3" t="s">
        <v>94</v>
      </c>
    </row>
    <row r="53" customFormat="false" ht="15" hidden="false" customHeight="false" outlineLevel="0" collapsed="false">
      <c r="A53" s="5" t="s">
        <v>95</v>
      </c>
      <c r="B53" s="12" t="n">
        <f aca="false">SUMIF(A8:A17,"&lt;="&amp;Inputs!B9,C8:C17)</f>
        <v>15000000</v>
      </c>
    </row>
    <row r="54" customFormat="false" ht="15" hidden="false" customHeight="false" outlineLevel="0" collapsed="false">
      <c r="A54" s="5" t="s">
        <v>96</v>
      </c>
      <c r="B54" s="20" t="n">
        <f aca="false">B53/C18</f>
        <v>0.698649278062413</v>
      </c>
    </row>
    <row r="55" customFormat="false" ht="15" hidden="false" customHeight="false" outlineLevel="0" collapsed="false">
      <c r="A55" s="14" t="s">
        <v>97</v>
      </c>
      <c r="B55" s="22" t="n">
        <f aca="false">C18/C20</f>
        <v>0.167042713763324</v>
      </c>
    </row>
    <row r="56" customFormat="false" ht="15" hidden="false" customHeight="false" outlineLevel="0" collapsed="false">
      <c r="A56" s="5" t="s">
        <v>98</v>
      </c>
      <c r="B56" s="12" t="n">
        <f aca="false">Inputs!B7*Inputs!B8*Inputs!B11</f>
        <v>30000000</v>
      </c>
    </row>
    <row r="57" customFormat="false" ht="15" hidden="false" customHeight="false" outlineLevel="0" collapsed="false">
      <c r="A57" s="5" t="s">
        <v>99</v>
      </c>
      <c r="B57" s="12" t="n">
        <f aca="false">Inputs!B7-B56</f>
        <v>120000000</v>
      </c>
    </row>
    <row r="58" customFormat="false" ht="15" hidden="false" customHeight="false" outlineLevel="0" collapsed="false">
      <c r="A58" s="5" t="s">
        <v>100</v>
      </c>
      <c r="B58" s="13" t="n">
        <f aca="false">Inputs!B7/B57</f>
        <v>1.25</v>
      </c>
    </row>
    <row r="59" customFormat="false" ht="15" hidden="false" customHeight="false" outlineLevel="0" collapsed="false">
      <c r="A59" s="14" t="s">
        <v>101</v>
      </c>
      <c r="B59" s="23" t="n">
        <f aca="false">B58-C21</f>
        <v>0.0829572862366763</v>
      </c>
    </row>
    <row r="60" customFormat="false" ht="15" hidden="false" customHeight="false" outlineLevel="0" collapsed="false">
      <c r="A60" s="14" t="s">
        <v>102</v>
      </c>
      <c r="B60" s="15" t="n">
        <f aca="false">B56-C18</f>
        <v>8530000</v>
      </c>
    </row>
    <row r="61" customFormat="false" ht="15" hidden="false" customHeight="false" outlineLevel="0" collapsed="false">
      <c r="A61" s="5" t="s">
        <v>103</v>
      </c>
      <c r="B61" s="20" t="n">
        <f aca="false">B60/Inputs!B7</f>
        <v>0.0568666666666667</v>
      </c>
    </row>
    <row r="64" customFormat="false" ht="15" hidden="false" customHeight="false" outlineLevel="0" collapsed="false">
      <c r="A64" s="3" t="s">
        <v>104</v>
      </c>
    </row>
    <row r="66" customFormat="false" ht="15" hidden="false" customHeight="false" outlineLevel="0" collapsed="false">
      <c r="A66" s="14" t="s">
        <v>105</v>
      </c>
      <c r="B66" s="15" t="n">
        <f aca="false">B30-Inputs!B7</f>
        <v>1970000</v>
      </c>
    </row>
    <row r="67" customFormat="false" ht="15" hidden="false" customHeight="false" outlineLevel="0" collapsed="false">
      <c r="A67" s="5" t="s">
        <v>106</v>
      </c>
      <c r="B67" s="12" t="n">
        <f aca="false">B27-C20</f>
        <v>1970000</v>
      </c>
    </row>
    <row r="68" customFormat="false" ht="15" hidden="false" customHeight="false" outlineLevel="0" collapsed="false">
      <c r="A68" s="5" t="s">
        <v>107</v>
      </c>
      <c r="B68" s="13" t="n">
        <f aca="false">B35*C20/Inputs!B7</f>
        <v>2.29137965517241</v>
      </c>
    </row>
    <row r="69" customFormat="false" ht="15" hidden="false" customHeight="false" outlineLevel="0" collapsed="false">
      <c r="A69" s="14" t="s">
        <v>108</v>
      </c>
      <c r="B69" s="23" t="n">
        <f aca="false">B36-B68</f>
        <v>0.0351203448275856</v>
      </c>
    </row>
    <row r="70" customFormat="false" ht="15" hidden="false" customHeight="false" outlineLevel="0" collapsed="false">
      <c r="A70" s="5" t="s">
        <v>109</v>
      </c>
      <c r="B70" s="21" t="n">
        <f aca="false">B66*B35/Inputs!B7</f>
        <v>0.0351203448275862</v>
      </c>
    </row>
    <row r="71" customFormat="false" ht="15" hidden="false" customHeight="false" outlineLevel="0" collapsed="false">
      <c r="A71" s="5" t="s">
        <v>110</v>
      </c>
      <c r="B71" s="12" t="n">
        <f aca="false">B66*B35</f>
        <v>5268051.72413793</v>
      </c>
    </row>
    <row r="72" customFormat="false" ht="15" hidden="false" customHeight="false" outlineLevel="0" collapsed="false">
      <c r="A72" s="5" t="s">
        <v>111</v>
      </c>
      <c r="B72" s="13" t="n">
        <f aca="false">Inputs!B7/B27</f>
        <v>1.14942528735632</v>
      </c>
    </row>
    <row r="73" customFormat="false" ht="15" hidden="false" customHeight="false" outlineLevel="0" collapsed="false">
      <c r="A73" s="5" t="s">
        <v>112</v>
      </c>
      <c r="B73" s="21" t="n">
        <f aca="false">C21-B72</f>
        <v>0.0176174264070019</v>
      </c>
    </row>
    <row r="74" customFormat="false" ht="15" hidden="false" customHeight="false" outlineLevel="0" collapsed="false">
      <c r="A74" s="5" t="s">
        <v>113</v>
      </c>
      <c r="B74" s="20" t="n">
        <f aca="false">B66/C18</f>
        <v>0.0917559385188635</v>
      </c>
    </row>
    <row r="75" customFormat="false" ht="15" hidden="false" customHeight="false" outlineLevel="0" collapsed="false">
      <c r="A75" s="14" t="s">
        <v>114</v>
      </c>
      <c r="B75" s="15" t="n">
        <f aca="false">B37-Inputs!B10*MAX(0,B29-B30)</f>
        <v>394000</v>
      </c>
    </row>
    <row r="76" customFormat="false" ht="15" hidden="false" customHeight="false" outlineLevel="0" collapsed="false">
      <c r="A76" s="5" t="s">
        <v>115</v>
      </c>
      <c r="B76" s="13" t="n">
        <f aca="false">B38/B30</f>
        <v>2.03448048957031</v>
      </c>
    </row>
    <row r="77" customFormat="false" ht="15" hidden="false" customHeight="false" outlineLevel="0" collapsed="false">
      <c r="A77" s="5" t="s">
        <v>116</v>
      </c>
      <c r="B77" s="12" t="n">
        <f aca="false">B66*Inputs!B8</f>
        <v>39400</v>
      </c>
    </row>
    <row r="79" customFormat="false" ht="15" hidden="false" customHeight="false" outlineLevel="0" collapsed="false">
      <c r="A79" s="3" t="s">
        <v>117</v>
      </c>
    </row>
    <row r="81" customFormat="false" ht="15" hidden="false" customHeight="false" outlineLevel="0" collapsed="false">
      <c r="A81" s="5" t="s">
        <v>118</v>
      </c>
      <c r="B81" s="20" t="n">
        <f aca="false">B45/B30</f>
        <v>0.403138777390274</v>
      </c>
    </row>
    <row r="82" customFormat="false" ht="15" hidden="false" customHeight="false" outlineLevel="0" collapsed="false">
      <c r="A82" s="5" t="s">
        <v>119</v>
      </c>
      <c r="B82" s="12" t="n">
        <f aca="false">B29-B27</f>
        <v>218475000</v>
      </c>
    </row>
    <row r="83" customFormat="false" ht="15" hidden="false" customHeight="false" outlineLevel="0" collapsed="false">
      <c r="A83" s="14" t="s">
        <v>120</v>
      </c>
      <c r="B83" s="22" t="n">
        <f aca="false">B45/B82</f>
        <v>0.28042110081245</v>
      </c>
    </row>
    <row r="84" customFormat="false" ht="15" hidden="false" customHeight="false" outlineLevel="0" collapsed="false">
      <c r="A84" s="5" t="s">
        <v>121</v>
      </c>
      <c r="B84" s="12" t="n">
        <f aca="false">B29-B30</f>
        <v>197005000</v>
      </c>
    </row>
    <row r="85" customFormat="false" ht="15" hidden="false" customHeight="false" outlineLevel="0" collapsed="false">
      <c r="A85" s="5" t="s">
        <v>120</v>
      </c>
      <c r="B85" s="20" t="n">
        <f aca="false">B45/B84</f>
        <v>0.310981954772722</v>
      </c>
    </row>
    <row r="86" customFormat="false" ht="15" hidden="false" customHeight="false" outlineLevel="0" collapsed="false">
      <c r="A86" s="5" t="s">
        <v>122</v>
      </c>
      <c r="B86" s="12" t="n">
        <f aca="false">B29-B37-C18-B30</f>
        <v>135740000</v>
      </c>
    </row>
    <row r="87" customFormat="false" ht="15" hidden="false" customHeight="false" outlineLevel="0" collapsed="false">
      <c r="A87" s="5" t="s">
        <v>123</v>
      </c>
      <c r="B87" s="20" t="n">
        <f aca="false">B45/B47</f>
        <v>0.38970167292157</v>
      </c>
    </row>
    <row r="88" customFormat="false" ht="15" hidden="false" customHeight="false" outlineLevel="0" collapsed="false">
      <c r="A88" s="5" t="s">
        <v>124</v>
      </c>
      <c r="B88" s="20" t="n">
        <f aca="false">B37/B82</f>
        <v>0.182148987298318</v>
      </c>
    </row>
    <row r="89" customFormat="false" ht="15" hidden="false" customHeight="false" outlineLevel="0" collapsed="false">
      <c r="A89" s="5" t="s">
        <v>125</v>
      </c>
      <c r="B89" s="20" t="n">
        <f aca="false">B37/B84</f>
        <v>0.201999949239867</v>
      </c>
    </row>
    <row r="90" customFormat="false" ht="15" hidden="false" customHeight="false" outlineLevel="0" collapsed="false">
      <c r="A90" s="5" t="s">
        <v>126</v>
      </c>
      <c r="B90" s="12" t="n">
        <f aca="false">Inputs!B10*B82</f>
        <v>43695000</v>
      </c>
    </row>
    <row r="91" customFormat="false" ht="15" hidden="false" customHeight="false" outlineLevel="0" collapsed="false">
      <c r="A91" s="5" t="s">
        <v>127</v>
      </c>
      <c r="B91" s="21" t="n">
        <f aca="false">B45/B90</f>
        <v>1.40210550406225</v>
      </c>
    </row>
    <row r="92" customFormat="false" ht="15" hidden="false" customHeight="false" outlineLevel="0" collapsed="false">
      <c r="A92" s="5" t="s">
        <v>128</v>
      </c>
      <c r="B92" s="12" t="n">
        <f aca="false">Inputs!B10*B84</f>
        <v>39401000</v>
      </c>
    </row>
    <row r="93" customFormat="false" ht="15" hidden="false" customHeight="false" outlineLevel="0" collapsed="false">
      <c r="A93" s="5" t="s">
        <v>127</v>
      </c>
      <c r="B93" s="21" t="n">
        <f aca="false">B45/B92</f>
        <v>1.55490977386361</v>
      </c>
    </row>
    <row r="94" customFormat="false" ht="15" hidden="false" customHeight="false" outlineLevel="0" collapsed="false">
      <c r="A94" s="5" t="s">
        <v>129</v>
      </c>
      <c r="B94" s="12" t="n">
        <f aca="false">C18/Inputs!B11</f>
        <v>2147000</v>
      </c>
    </row>
    <row r="95" customFormat="false" ht="15" hidden="false" customHeight="false" outlineLevel="0" collapsed="false">
      <c r="A95" s="5" t="s">
        <v>130</v>
      </c>
      <c r="B95" s="12" t="n">
        <f aca="false">C18/COUNTIF(Inputs!G14:G41,"&gt;0")</f>
        <v>766785.714285714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1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6"/>
    <col collapsed="false" customWidth="true" hidden="false" outlineLevel="0" max="2" min="2" style="0" width="17"/>
    <col collapsed="false" customWidth="true" hidden="false" outlineLevel="0" max="3" min="3" style="0" width="15"/>
    <col collapsed="false" customWidth="true" hidden="false" outlineLevel="0" max="6" min="4" style="0" width="17"/>
    <col collapsed="false" customWidth="true" hidden="false" outlineLevel="0" max="7" min="7" style="0" width="15"/>
    <col collapsed="false" customWidth="true" hidden="false" outlineLevel="0" max="11" min="8" style="0" width="17"/>
  </cols>
  <sheetData>
    <row r="1" customFormat="false" ht="19.7" hidden="false" customHeight="false" outlineLevel="0" collapsed="false">
      <c r="A1" s="1" t="s">
        <v>131</v>
      </c>
    </row>
    <row r="2" customFormat="false" ht="15" hidden="false" customHeight="false" outlineLevel="0" collapsed="false">
      <c r="A2" s="2" t="s">
        <v>132</v>
      </c>
    </row>
    <row r="5" customFormat="false" ht="23.85" hidden="false" customHeight="false" outlineLevel="0" collapsed="false">
      <c r="A5" s="9" t="s">
        <v>64</v>
      </c>
      <c r="B5" s="9" t="s">
        <v>133</v>
      </c>
      <c r="C5" s="9" t="s">
        <v>134</v>
      </c>
      <c r="D5" s="9" t="s">
        <v>135</v>
      </c>
      <c r="E5" s="9" t="s">
        <v>136</v>
      </c>
      <c r="F5" s="9" t="s">
        <v>137</v>
      </c>
      <c r="G5" s="9" t="s">
        <v>138</v>
      </c>
      <c r="H5" s="9" t="s">
        <v>139</v>
      </c>
      <c r="I5" s="9" t="s">
        <v>140</v>
      </c>
      <c r="J5" s="9" t="s">
        <v>141</v>
      </c>
      <c r="K5" s="9" t="s">
        <v>142</v>
      </c>
    </row>
    <row r="6" customFormat="false" ht="15" hidden="false" customHeight="false" outlineLevel="0" collapsed="false">
      <c r="A6" s="17" t="n">
        <v>1</v>
      </c>
      <c r="B6" s="24" t="n">
        <v>16000000</v>
      </c>
      <c r="C6" s="12" t="n">
        <f aca="false">Fund!C8</f>
        <v>3000000</v>
      </c>
      <c r="D6" s="25" t="n">
        <f aca="false">B6+C6</f>
        <v>19000000</v>
      </c>
      <c r="E6" s="12" t="n">
        <f aca="false">SUMIF(Inputs!$F$14:$F$41,A6,Inputs!$H$14:$H$41)</f>
        <v>0</v>
      </c>
      <c r="F6" s="25" t="n">
        <f aca="false">E6-D6</f>
        <v>-19000000</v>
      </c>
      <c r="G6" s="12" t="n">
        <f aca="false">Inputs!$B$10*MAX(0,SUM($E$6:E6)-Inputs!$B$7)-SUM($G$5:G5)</f>
        <v>0</v>
      </c>
      <c r="H6" s="12" t="n">
        <f aca="false">E6-G6</f>
        <v>0</v>
      </c>
      <c r="I6" s="25" t="n">
        <f aca="false">H6-D6</f>
        <v>-19000000</v>
      </c>
      <c r="J6" s="12" t="n">
        <f aca="false">SUM($E$6:E6)</f>
        <v>0</v>
      </c>
      <c r="K6" s="25" t="n">
        <f aca="false">E6-B6</f>
        <v>-16000000</v>
      </c>
    </row>
    <row r="7" customFormat="false" ht="15" hidden="false" customHeight="false" outlineLevel="0" collapsed="false">
      <c r="A7" s="17" t="n">
        <v>2</v>
      </c>
      <c r="B7" s="24" t="n">
        <v>15500000</v>
      </c>
      <c r="C7" s="12" t="n">
        <f aca="false">Fund!C9</f>
        <v>3000000</v>
      </c>
      <c r="D7" s="25" t="n">
        <f aca="false">B7+C7</f>
        <v>18500000</v>
      </c>
      <c r="E7" s="12" t="n">
        <f aca="false">SUMIF(Inputs!$F$14:$F$41,A7,Inputs!$H$14:$H$41)</f>
        <v>0</v>
      </c>
      <c r="F7" s="25" t="n">
        <f aca="false">E7-D7</f>
        <v>-18500000</v>
      </c>
      <c r="G7" s="12" t="n">
        <f aca="false">Inputs!$B$10*MAX(0,SUM($E$6:E7)-Inputs!$B$7)-SUM($G$5:G6)</f>
        <v>0</v>
      </c>
      <c r="H7" s="12" t="n">
        <f aca="false">E7-G7</f>
        <v>0</v>
      </c>
      <c r="I7" s="25" t="n">
        <f aca="false">H7-D7</f>
        <v>-18500000</v>
      </c>
      <c r="J7" s="12" t="n">
        <f aca="false">SUM($E$6:E7)</f>
        <v>0</v>
      </c>
      <c r="K7" s="25" t="n">
        <f aca="false">E7-B7</f>
        <v>-15500000</v>
      </c>
    </row>
    <row r="8" customFormat="false" ht="15" hidden="false" customHeight="false" outlineLevel="0" collapsed="false">
      <c r="A8" s="17" t="n">
        <v>3</v>
      </c>
      <c r="B8" s="24" t="n">
        <v>23500000</v>
      </c>
      <c r="C8" s="12" t="n">
        <f aca="false">Fund!C10</f>
        <v>3000000</v>
      </c>
      <c r="D8" s="25" t="n">
        <f aca="false">B8+C8</f>
        <v>26500000</v>
      </c>
      <c r="E8" s="12" t="n">
        <f aca="false">SUMIF(Inputs!$F$14:$F$41,A8,Inputs!$H$14:$H$41)</f>
        <v>0</v>
      </c>
      <c r="F8" s="25" t="n">
        <f aca="false">E8-D8</f>
        <v>-26500000</v>
      </c>
      <c r="G8" s="12" t="n">
        <f aca="false">Inputs!$B$10*MAX(0,SUM($E$6:E8)-Inputs!$B$7)-SUM($G$5:G7)</f>
        <v>0</v>
      </c>
      <c r="H8" s="12" t="n">
        <f aca="false">E8-G8</f>
        <v>0</v>
      </c>
      <c r="I8" s="25" t="n">
        <f aca="false">H8-D8</f>
        <v>-26500000</v>
      </c>
      <c r="J8" s="12" t="n">
        <f aca="false">SUM($E$6:E8)</f>
        <v>0</v>
      </c>
      <c r="K8" s="25" t="n">
        <f aca="false">E8-B8</f>
        <v>-23500000</v>
      </c>
    </row>
    <row r="9" customFormat="false" ht="15" hidden="false" customHeight="false" outlineLevel="0" collapsed="false">
      <c r="A9" s="17" t="n">
        <v>4</v>
      </c>
      <c r="B9" s="24" t="n">
        <v>28500000</v>
      </c>
      <c r="C9" s="12" t="n">
        <f aca="false">Fund!C11</f>
        <v>3000000</v>
      </c>
      <c r="D9" s="25" t="n">
        <f aca="false">B9+C9</f>
        <v>31500000</v>
      </c>
      <c r="E9" s="12" t="n">
        <f aca="false">SUMIF(Inputs!$F$14:$F$41,A9,Inputs!$H$14:$H$41)</f>
        <v>0</v>
      </c>
      <c r="F9" s="25" t="n">
        <f aca="false">E9-D9</f>
        <v>-31500000</v>
      </c>
      <c r="G9" s="12" t="n">
        <f aca="false">Inputs!$B$10*MAX(0,SUM($E$6:E9)-Inputs!$B$7)-SUM($G$5:G8)</f>
        <v>0</v>
      </c>
      <c r="H9" s="12" t="n">
        <f aca="false">E9-G9</f>
        <v>0</v>
      </c>
      <c r="I9" s="25" t="n">
        <f aca="false">H9-D9</f>
        <v>-31500000</v>
      </c>
      <c r="J9" s="12" t="n">
        <f aca="false">SUM($E$6:E9)</f>
        <v>0</v>
      </c>
      <c r="K9" s="25" t="n">
        <f aca="false">E9-B9</f>
        <v>-28500000</v>
      </c>
    </row>
    <row r="10" customFormat="false" ht="15" hidden="false" customHeight="false" outlineLevel="0" collapsed="false">
      <c r="A10" s="17" t="n">
        <v>5</v>
      </c>
      <c r="B10" s="24" t="n">
        <v>18500000</v>
      </c>
      <c r="C10" s="12" t="n">
        <f aca="false">Fund!C12</f>
        <v>3000000</v>
      </c>
      <c r="D10" s="25" t="n">
        <f aca="false">B10+C10</f>
        <v>21500000</v>
      </c>
      <c r="E10" s="12" t="n">
        <f aca="false">SUMIF(Inputs!$F$14:$F$41,A10,Inputs!$H$14:$H$41)</f>
        <v>560000</v>
      </c>
      <c r="F10" s="25" t="n">
        <f aca="false">E10-D10</f>
        <v>-20940000</v>
      </c>
      <c r="G10" s="12" t="n">
        <f aca="false">Inputs!$B$10*MAX(0,SUM($E$6:E10)-Inputs!$B$7)-SUM($G$5:G9)</f>
        <v>0</v>
      </c>
      <c r="H10" s="12" t="n">
        <f aca="false">E10-G10</f>
        <v>560000</v>
      </c>
      <c r="I10" s="25" t="n">
        <f aca="false">H10-D10</f>
        <v>-20940000</v>
      </c>
      <c r="J10" s="12" t="n">
        <f aca="false">SUM($E$6:E10)</f>
        <v>560000</v>
      </c>
      <c r="K10" s="25" t="n">
        <f aca="false">E10-B10</f>
        <v>-17940000</v>
      </c>
    </row>
    <row r="11" customFormat="false" ht="15" hidden="false" customHeight="false" outlineLevel="0" collapsed="false">
      <c r="A11" s="17" t="n">
        <v>6</v>
      </c>
      <c r="B11" s="24" t="n">
        <v>15166666.67</v>
      </c>
      <c r="C11" s="12" t="n">
        <f aca="false">Fund!C13</f>
        <v>2090000</v>
      </c>
      <c r="D11" s="25" t="n">
        <f aca="false">B11+C11</f>
        <v>17256666.67</v>
      </c>
      <c r="E11" s="12" t="n">
        <f aca="false">SUMIF(Inputs!$F$14:$F$41,A11,Inputs!$H$14:$H$41)</f>
        <v>3840000</v>
      </c>
      <c r="F11" s="25" t="n">
        <f aca="false">E11-D11</f>
        <v>-13416666.67</v>
      </c>
      <c r="G11" s="12" t="n">
        <f aca="false">Inputs!$B$10*MAX(0,SUM($E$6:E11)-Inputs!$B$7)-SUM($G$5:G10)</f>
        <v>0</v>
      </c>
      <c r="H11" s="12" t="n">
        <f aca="false">E11-G11</f>
        <v>3840000</v>
      </c>
      <c r="I11" s="25" t="n">
        <f aca="false">H11-D11</f>
        <v>-13416666.67</v>
      </c>
      <c r="J11" s="12" t="n">
        <f aca="false">SUM($E$6:E11)</f>
        <v>4400000</v>
      </c>
      <c r="K11" s="25" t="n">
        <f aca="false">E11-B11</f>
        <v>-11326666.67</v>
      </c>
    </row>
    <row r="12" customFormat="false" ht="15" hidden="false" customHeight="false" outlineLevel="0" collapsed="false">
      <c r="A12" s="17" t="n">
        <v>7</v>
      </c>
      <c r="B12" s="24" t="n">
        <v>13333333.33</v>
      </c>
      <c r="C12" s="12" t="n">
        <f aca="false">Fund!C14</f>
        <v>1810000</v>
      </c>
      <c r="D12" s="25" t="n">
        <f aca="false">B12+C12</f>
        <v>15143333.33</v>
      </c>
      <c r="E12" s="12" t="n">
        <f aca="false">SUMIF(Inputs!$F$14:$F$41,A12,Inputs!$H$14:$H$41)</f>
        <v>27125000</v>
      </c>
      <c r="F12" s="25" t="n">
        <f aca="false">E12-D12</f>
        <v>11981666.67</v>
      </c>
      <c r="G12" s="12" t="n">
        <f aca="false">Inputs!$B$10*MAX(0,SUM($E$6:E12)-Inputs!$B$7)-SUM($G$5:G11)</f>
        <v>0</v>
      </c>
      <c r="H12" s="12" t="n">
        <f aca="false">E12-G12</f>
        <v>27125000</v>
      </c>
      <c r="I12" s="25" t="n">
        <f aca="false">H12-D12</f>
        <v>11981666.67</v>
      </c>
      <c r="J12" s="12" t="n">
        <f aca="false">SUM($E$6:E12)</f>
        <v>31525000</v>
      </c>
      <c r="K12" s="25" t="n">
        <f aca="false">E12-B12</f>
        <v>13791666.67</v>
      </c>
    </row>
    <row r="13" customFormat="false" ht="15" hidden="false" customHeight="false" outlineLevel="0" collapsed="false">
      <c r="A13" s="17" t="n">
        <v>8</v>
      </c>
      <c r="B13" s="24" t="n">
        <v>0</v>
      </c>
      <c r="C13" s="12" t="n">
        <f aca="false">Fund!C15</f>
        <v>1410000</v>
      </c>
      <c r="D13" s="25" t="n">
        <f aca="false">B13+C13</f>
        <v>1410000</v>
      </c>
      <c r="E13" s="12" t="n">
        <f aca="false">SUMIF(Inputs!$F$14:$F$41,A13,Inputs!$H$14:$H$41)</f>
        <v>71150000</v>
      </c>
      <c r="F13" s="25" t="n">
        <f aca="false">E13-D13</f>
        <v>69740000</v>
      </c>
      <c r="G13" s="12" t="n">
        <f aca="false">Inputs!$B$10*MAX(0,SUM($E$6:E13)-Inputs!$B$7)-SUM($G$5:G12)</f>
        <v>0</v>
      </c>
      <c r="H13" s="12" t="n">
        <f aca="false">E13-G13</f>
        <v>71150000</v>
      </c>
      <c r="I13" s="25" t="n">
        <f aca="false">H13-D13</f>
        <v>69740000</v>
      </c>
      <c r="J13" s="12" t="n">
        <f aca="false">SUM($E$6:E13)</f>
        <v>102675000</v>
      </c>
      <c r="K13" s="25" t="n">
        <f aca="false">E13-B13</f>
        <v>71150000</v>
      </c>
    </row>
    <row r="14" customFormat="false" ht="15" hidden="false" customHeight="false" outlineLevel="0" collapsed="false">
      <c r="A14" s="17" t="n">
        <v>9</v>
      </c>
      <c r="B14" s="24" t="n">
        <v>0</v>
      </c>
      <c r="C14" s="12" t="n">
        <f aca="false">Fund!C16</f>
        <v>900000</v>
      </c>
      <c r="D14" s="25" t="n">
        <f aca="false">B14+C14</f>
        <v>900000</v>
      </c>
      <c r="E14" s="12" t="n">
        <f aca="false">SUMIF(Inputs!$F$14:$F$41,A14,Inputs!$H$14:$H$41)</f>
        <v>232400000</v>
      </c>
      <c r="F14" s="25" t="n">
        <f aca="false">E14-D14</f>
        <v>231500000</v>
      </c>
      <c r="G14" s="12" t="n">
        <f aca="false">Inputs!$B$10*MAX(0,SUM($E$6:E14)-Inputs!$B$7)-SUM($G$5:G13)</f>
        <v>37015000</v>
      </c>
      <c r="H14" s="12" t="n">
        <f aca="false">E14-G14</f>
        <v>195385000</v>
      </c>
      <c r="I14" s="25" t="n">
        <f aca="false">H14-D14</f>
        <v>194485000</v>
      </c>
      <c r="J14" s="12" t="n">
        <f aca="false">SUM($E$6:E14)</f>
        <v>335075000</v>
      </c>
      <c r="K14" s="25" t="n">
        <f aca="false">E14-B14</f>
        <v>232400000</v>
      </c>
    </row>
    <row r="15" customFormat="false" ht="15" hidden="false" customHeight="false" outlineLevel="0" collapsed="false">
      <c r="A15" s="17" t="n">
        <v>10</v>
      </c>
      <c r="B15" s="24" t="n">
        <v>0</v>
      </c>
      <c r="C15" s="12" t="n">
        <f aca="false">Fund!C17</f>
        <v>260000</v>
      </c>
      <c r="D15" s="25" t="n">
        <f aca="false">B15+C15</f>
        <v>260000</v>
      </c>
      <c r="E15" s="12" t="n">
        <f aca="false">SUMIF(Inputs!$F$14:$F$41,A15,Inputs!$H$14:$H$41)</f>
        <v>13900000</v>
      </c>
      <c r="F15" s="25" t="n">
        <f aca="false">E15-D15</f>
        <v>13640000</v>
      </c>
      <c r="G15" s="12" t="n">
        <f aca="false">Inputs!$B$10*MAX(0,SUM($E$6:E15)-Inputs!$B$7)-SUM($G$5:G14)</f>
        <v>2780000</v>
      </c>
      <c r="H15" s="12" t="n">
        <f aca="false">E15-G15</f>
        <v>11120000</v>
      </c>
      <c r="I15" s="25" t="n">
        <f aca="false">H15-D15</f>
        <v>10860000</v>
      </c>
      <c r="J15" s="12" t="n">
        <f aca="false">SUM($E$6:E15)</f>
        <v>348975000</v>
      </c>
      <c r="K15" s="25" t="n">
        <f aca="false">E15-B15</f>
        <v>13900000</v>
      </c>
    </row>
    <row r="16" customFormat="false" ht="15" hidden="false" customHeight="false" outlineLevel="0" collapsed="false">
      <c r="A16" s="14" t="s">
        <v>58</v>
      </c>
      <c r="B16" s="26" t="n">
        <f aca="false">SUM(B6:B15)</f>
        <v>130500000</v>
      </c>
      <c r="C16" s="26" t="n">
        <f aca="false">SUM(C6:C15)</f>
        <v>21470000</v>
      </c>
      <c r="D16" s="26" t="n">
        <f aca="false">SUM(D6:D15)</f>
        <v>151970000</v>
      </c>
      <c r="E16" s="26" t="n">
        <f aca="false">SUM(E6:E15)</f>
        <v>348975000</v>
      </c>
      <c r="F16" s="26" t="n">
        <f aca="false">SUM(F6:F15)</f>
        <v>197005000</v>
      </c>
      <c r="G16" s="26" t="n">
        <f aca="false">SUM(G6:G15)</f>
        <v>39795000</v>
      </c>
      <c r="H16" s="26" t="n">
        <f aca="false">SUM(H6:H15)</f>
        <v>309180000</v>
      </c>
      <c r="I16" s="26" t="n">
        <f aca="false">SUM(I6:I15)</f>
        <v>157210000</v>
      </c>
      <c r="K16" s="26" t="n">
        <f aca="false">SUM(K6:K15)</f>
        <v>218475000</v>
      </c>
    </row>
    <row r="18" customFormat="false" ht="15" hidden="false" customHeight="false" outlineLevel="0" collapsed="false">
      <c r="A18" s="3" t="s">
        <v>143</v>
      </c>
    </row>
    <row r="20" customFormat="false" ht="23.85" hidden="false" customHeight="false" outlineLevel="0" collapsed="false">
      <c r="A20" s="9" t="s">
        <v>64</v>
      </c>
      <c r="B20" s="9" t="s">
        <v>144</v>
      </c>
      <c r="C20" s="9" t="s">
        <v>145</v>
      </c>
      <c r="D20" s="9" t="s">
        <v>146</v>
      </c>
    </row>
    <row r="21" customFormat="false" ht="15" hidden="false" customHeight="false" outlineLevel="0" collapsed="false">
      <c r="A21" s="17" t="n">
        <v>1</v>
      </c>
      <c r="B21" s="25" t="n">
        <f aca="false">SUM($F$6:F6)</f>
        <v>-19000000</v>
      </c>
      <c r="C21" s="25" t="n">
        <f aca="false">SUM($I$6:I6)</f>
        <v>-19000000</v>
      </c>
      <c r="D21" s="13" t="n">
        <f aca="false">J6/SUM($D$6:D6)</f>
        <v>0</v>
      </c>
    </row>
    <row r="22" customFormat="false" ht="15" hidden="false" customHeight="false" outlineLevel="0" collapsed="false">
      <c r="A22" s="17" t="n">
        <v>2</v>
      </c>
      <c r="B22" s="25" t="n">
        <f aca="false">SUM($F$6:F7)</f>
        <v>-37500000</v>
      </c>
      <c r="C22" s="25" t="n">
        <f aca="false">SUM($I$6:I7)</f>
        <v>-37500000</v>
      </c>
      <c r="D22" s="13" t="n">
        <f aca="false">J7/SUM($D$6:D7)</f>
        <v>0</v>
      </c>
    </row>
    <row r="23" customFormat="false" ht="15" hidden="false" customHeight="false" outlineLevel="0" collapsed="false">
      <c r="A23" s="17" t="n">
        <v>3</v>
      </c>
      <c r="B23" s="25" t="n">
        <f aca="false">SUM($F$6:F8)</f>
        <v>-64000000</v>
      </c>
      <c r="C23" s="25" t="n">
        <f aca="false">SUM($I$6:I8)</f>
        <v>-64000000</v>
      </c>
      <c r="D23" s="13" t="n">
        <f aca="false">J8/SUM($D$6:D8)</f>
        <v>0</v>
      </c>
    </row>
    <row r="24" customFormat="false" ht="15" hidden="false" customHeight="false" outlineLevel="0" collapsed="false">
      <c r="A24" s="17" t="n">
        <v>4</v>
      </c>
      <c r="B24" s="25" t="n">
        <f aca="false">SUM($F$6:F9)</f>
        <v>-95500000</v>
      </c>
      <c r="C24" s="25" t="n">
        <f aca="false">SUM($I$6:I9)</f>
        <v>-95500000</v>
      </c>
      <c r="D24" s="13" t="n">
        <f aca="false">J9/SUM($D$6:D9)</f>
        <v>0</v>
      </c>
    </row>
    <row r="25" customFormat="false" ht="15" hidden="false" customHeight="false" outlineLevel="0" collapsed="false">
      <c r="A25" s="17" t="n">
        <v>5</v>
      </c>
      <c r="B25" s="25" t="n">
        <f aca="false">SUM($F$6:F10)</f>
        <v>-116440000</v>
      </c>
      <c r="C25" s="25" t="n">
        <f aca="false">SUM($I$6:I10)</f>
        <v>-116440000</v>
      </c>
      <c r="D25" s="13" t="n">
        <f aca="false">J10/SUM($D$6:D10)</f>
        <v>0.00478632478632479</v>
      </c>
    </row>
    <row r="26" customFormat="false" ht="15" hidden="false" customHeight="false" outlineLevel="0" collapsed="false">
      <c r="A26" s="17" t="n">
        <v>6</v>
      </c>
      <c r="B26" s="25" t="n">
        <f aca="false">SUM($F$6:F11)</f>
        <v>-129856666.67</v>
      </c>
      <c r="C26" s="25" t="n">
        <f aca="false">SUM($I$6:I11)</f>
        <v>-129856666.67</v>
      </c>
      <c r="D26" s="13" t="n">
        <f aca="false">J11/SUM($D$6:D11)</f>
        <v>0.0327730466511217</v>
      </c>
    </row>
    <row r="27" customFormat="false" ht="15" hidden="false" customHeight="false" outlineLevel="0" collapsed="false">
      <c r="A27" s="17" t="n">
        <v>7</v>
      </c>
      <c r="B27" s="25" t="n">
        <f aca="false">SUM($F$6:F12)</f>
        <v>-117875000</v>
      </c>
      <c r="C27" s="25" t="n">
        <f aca="false">SUM($I$6:I12)</f>
        <v>-117875000</v>
      </c>
      <c r="D27" s="13" t="n">
        <f aca="false">J12/SUM($D$6:D12)</f>
        <v>0.211010709504685</v>
      </c>
    </row>
    <row r="28" customFormat="false" ht="15" hidden="false" customHeight="false" outlineLevel="0" collapsed="false">
      <c r="A28" s="17" t="n">
        <v>8</v>
      </c>
      <c r="B28" s="25" t="n">
        <f aca="false">SUM($F$6:F13)</f>
        <v>-48135000</v>
      </c>
      <c r="C28" s="25" t="n">
        <f aca="false">SUM($I$6:I13)</f>
        <v>-48135000</v>
      </c>
      <c r="D28" s="13" t="n">
        <f aca="false">J13/SUM($D$6:D13)</f>
        <v>0.6808235528148</v>
      </c>
    </row>
    <row r="29" customFormat="false" ht="15" hidden="false" customHeight="false" outlineLevel="0" collapsed="false">
      <c r="A29" s="17" t="n">
        <v>9</v>
      </c>
      <c r="B29" s="25" t="n">
        <f aca="false">SUM($F$6:F14)</f>
        <v>183365000</v>
      </c>
      <c r="C29" s="25" t="n">
        <f aca="false">SUM($I$6:I14)</f>
        <v>146350000</v>
      </c>
      <c r="D29" s="13" t="n">
        <f aca="false">J14/SUM($D$6:D14)</f>
        <v>2.20865467009426</v>
      </c>
    </row>
    <row r="30" customFormat="false" ht="15" hidden="false" customHeight="false" outlineLevel="0" collapsed="false">
      <c r="A30" s="17" t="n">
        <v>10</v>
      </c>
      <c r="B30" s="25" t="n">
        <f aca="false">SUM($F$6:F15)</f>
        <v>197005000</v>
      </c>
      <c r="C30" s="25" t="n">
        <f aca="false">SUM($I$6:I15)</f>
        <v>157210000</v>
      </c>
      <c r="D30" s="13" t="n">
        <f aca="false">J15/SUM($D$6:D15)</f>
        <v>2.29634138316773</v>
      </c>
    </row>
    <row r="32" customFormat="false" ht="15" hidden="false" customHeight="false" outlineLevel="0" collapsed="false">
      <c r="A32" s="3" t="s">
        <v>147</v>
      </c>
    </row>
    <row r="33" customFormat="false" ht="15" hidden="false" customHeight="false" outlineLevel="0" collapsed="false">
      <c r="A33" s="14" t="s">
        <v>148</v>
      </c>
      <c r="B33" s="26" t="n">
        <f aca="false">MIN(B21:B30)</f>
        <v>-129856666.67</v>
      </c>
    </row>
    <row r="34" customFormat="false" ht="15" hidden="false" customHeight="false" outlineLevel="0" collapsed="false">
      <c r="A34" s="5" t="s">
        <v>149</v>
      </c>
      <c r="B34" s="17" t="n">
        <f aca="false">MATCH(B33,B21:B30,0)</f>
        <v>6</v>
      </c>
    </row>
    <row r="35" customFormat="false" ht="15" hidden="false" customHeight="false" outlineLevel="0" collapsed="false">
      <c r="A35" s="14" t="s">
        <v>103</v>
      </c>
      <c r="B35" s="22" t="n">
        <f aca="false">-B33/Inputs!B7</f>
        <v>0.865711111133333</v>
      </c>
    </row>
    <row r="36" customFormat="false" ht="15" hidden="false" customHeight="false" outlineLevel="0" collapsed="false">
      <c r="A36" s="5" t="s">
        <v>150</v>
      </c>
      <c r="B36" s="20" t="n">
        <f aca="false">-B33/D16</f>
        <v>0.854488824570639</v>
      </c>
    </row>
    <row r="37" customFormat="false" ht="15" hidden="false" customHeight="false" outlineLevel="0" collapsed="false">
      <c r="A37" s="5" t="s">
        <v>151</v>
      </c>
      <c r="B37" s="17" t="n">
        <f aca="false">MATCH(1,INDEX((F6:F15&gt;0)*1,0),0)</f>
        <v>7</v>
      </c>
    </row>
    <row r="38" customFormat="false" ht="15" hidden="false" customHeight="false" outlineLevel="0" collapsed="false">
      <c r="A38" s="5" t="s">
        <v>152</v>
      </c>
      <c r="B38" s="17" t="n">
        <f aca="false">MATCH(1,INDEX((B21:B30&gt;0)*1,0),0)</f>
        <v>9</v>
      </c>
    </row>
    <row r="39" customFormat="false" ht="15" hidden="false" customHeight="false" outlineLevel="0" collapsed="false">
      <c r="A39" s="5" t="s">
        <v>153</v>
      </c>
      <c r="B39" s="20" t="n">
        <f aca="false">-INDEX(B21:B30,B38-1)/INDEX(F6:F15,B38)</f>
        <v>0.20792656587473</v>
      </c>
    </row>
    <row r="40" customFormat="false" ht="15" hidden="false" customHeight="false" outlineLevel="0" collapsed="false">
      <c r="A40" s="14" t="s">
        <v>154</v>
      </c>
      <c r="B40" s="15" t="n">
        <f aca="false">MAX(E6:E15)</f>
        <v>232400000</v>
      </c>
    </row>
    <row r="41" customFormat="false" ht="15" hidden="false" customHeight="false" outlineLevel="0" collapsed="false">
      <c r="A41" s="5" t="s">
        <v>149</v>
      </c>
      <c r="B41" s="17" t="n">
        <f aca="false">MATCH(B40,E6:E15,0)</f>
        <v>9</v>
      </c>
    </row>
    <row r="42" customFormat="false" ht="15" hidden="false" customHeight="false" outlineLevel="0" collapsed="false">
      <c r="A42" s="14" t="s">
        <v>155</v>
      </c>
      <c r="B42" s="22" t="n">
        <f aca="false">B40/E16</f>
        <v>0.66595028297156</v>
      </c>
    </row>
    <row r="43" customFormat="false" ht="15" hidden="false" customHeight="false" outlineLevel="0" collapsed="false">
      <c r="A43" s="5" t="s">
        <v>156</v>
      </c>
      <c r="B43" s="20" t="n">
        <f aca="false">(LARGE(E6:E15,1)+LARGE(E6:E15,2))/E16</f>
        <v>0.86983308259904</v>
      </c>
    </row>
    <row r="44" customFormat="false" ht="15" hidden="false" customHeight="false" outlineLevel="0" collapsed="false">
      <c r="A44" s="5" t="s">
        <v>157</v>
      </c>
      <c r="B44" s="21" t="n">
        <f aca="false">LARGE(E6:E15,1)/LARGE(E6:E15,2)</f>
        <v>3.26633872101195</v>
      </c>
    </row>
    <row r="45" customFormat="false" ht="15" hidden="false" customHeight="false" outlineLevel="0" collapsed="false">
      <c r="A45" s="5" t="s">
        <v>158</v>
      </c>
      <c r="B45" s="12" t="n">
        <f aca="false">E16/Inputs!B11</f>
        <v>34897500</v>
      </c>
    </row>
    <row r="46" customFormat="false" ht="15" hidden="false" customHeight="false" outlineLevel="0" collapsed="false">
      <c r="A46" s="5" t="s">
        <v>159</v>
      </c>
      <c r="B46" s="20" t="n">
        <f aca="false">SUM(D6:INDEX(D6:D15,B34))/D16</f>
        <v>0.883441907415937</v>
      </c>
    </row>
    <row r="47" customFormat="false" ht="15" hidden="false" customHeight="false" outlineLevel="0" collapsed="false">
      <c r="A47" s="5" t="s">
        <v>160</v>
      </c>
      <c r="B47" s="20" t="n">
        <f aca="false">SUM(E6:INDEX(E6:E15,B34))/E16</f>
        <v>0.012608353033885</v>
      </c>
    </row>
    <row r="48" customFormat="false" ht="15" hidden="false" customHeight="false" outlineLevel="0" collapsed="false">
      <c r="A48" s="14" t="s">
        <v>161</v>
      </c>
      <c r="B48" s="22" t="n">
        <f aca="false">1-B47</f>
        <v>0.987391646966115</v>
      </c>
    </row>
    <row r="49" customFormat="false" ht="15" hidden="false" customHeight="false" outlineLevel="0" collapsed="false">
      <c r="A49" s="5" t="s">
        <v>162</v>
      </c>
      <c r="B49" s="20" t="n">
        <f aca="false">SUM(E6:INDEX(E6:E15,B37))/E16</f>
        <v>0.0903359839530052</v>
      </c>
    </row>
    <row r="50" customFormat="false" ht="15" hidden="false" customHeight="false" outlineLevel="0" collapsed="false">
      <c r="A50" s="5" t="s">
        <v>163</v>
      </c>
      <c r="B50" s="12" t="n">
        <f aca="false">SUM(D13:D15)</f>
        <v>2570000</v>
      </c>
    </row>
    <row r="51" customFormat="false" ht="15" hidden="false" customHeight="false" outlineLevel="0" collapsed="false">
      <c r="A51" s="5" t="s">
        <v>164</v>
      </c>
      <c r="B51" s="20" t="n">
        <f aca="false">SUMIF(A6:A15,"&lt;="&amp;Inputs!B9,D6:D15)/Inputs!B7</f>
        <v>0.78</v>
      </c>
    </row>
    <row r="52" customFormat="false" ht="15" hidden="false" customHeight="false" outlineLevel="0" collapsed="false">
      <c r="A52" s="5" t="s">
        <v>165</v>
      </c>
      <c r="B52" s="20" t="n">
        <f aca="false">SUMIF(A6:A15,"&lt;="&amp;Inputs!B9,D6:D15)/D16</f>
        <v>0.76988879384089</v>
      </c>
    </row>
    <row r="53" customFormat="false" ht="15" hidden="false" customHeight="false" outlineLevel="0" collapsed="false">
      <c r="A53" s="5" t="s">
        <v>166</v>
      </c>
      <c r="B53" s="20" t="n">
        <f aca="false">SUMIF(A6:A15,"&lt;="&amp;Inputs!B9,E6:E15)/E16</f>
        <v>0.0016046994770399</v>
      </c>
    </row>
    <row r="55" customFormat="false" ht="15" hidden="false" customHeight="false" outlineLevel="0" collapsed="false">
      <c r="A55" s="3" t="s">
        <v>167</v>
      </c>
    </row>
    <row r="56" customFormat="false" ht="15" hidden="false" customHeight="false" outlineLevel="0" collapsed="false">
      <c r="A56" s="14" t="s">
        <v>168</v>
      </c>
      <c r="B56" s="22" t="n">
        <f aca="false">IRR(F6:F15)</f>
        <v>0.18335653757421</v>
      </c>
    </row>
    <row r="57" customFormat="false" ht="15" hidden="false" customHeight="false" outlineLevel="0" collapsed="false">
      <c r="A57" s="14" t="s">
        <v>169</v>
      </c>
      <c r="B57" s="22" t="n">
        <f aca="false">IRR(I6:I15)</f>
        <v>0.157734383050326</v>
      </c>
    </row>
    <row r="58" customFormat="false" ht="15" hidden="false" customHeight="false" outlineLevel="0" collapsed="false">
      <c r="A58" s="5" t="s">
        <v>170</v>
      </c>
      <c r="B58" s="20" t="n">
        <f aca="false">IRR(K6:K15)</f>
        <v>0.217217025188195</v>
      </c>
    </row>
    <row r="59" customFormat="false" ht="15" hidden="false" customHeight="false" outlineLevel="0" collapsed="false">
      <c r="A59" s="5" t="s">
        <v>171</v>
      </c>
      <c r="B59" s="20" t="n">
        <f aca="false">B56-B57</f>
        <v>0.0256221545238834</v>
      </c>
    </row>
    <row r="60" customFormat="false" ht="15" hidden="false" customHeight="false" outlineLevel="0" collapsed="false">
      <c r="A60" s="5" t="s">
        <v>172</v>
      </c>
      <c r="B60" s="20" t="n">
        <f aca="false">B58-B56</f>
        <v>0.0338604876139857</v>
      </c>
    </row>
    <row r="61" customFormat="false" ht="15" hidden="false" customHeight="false" outlineLevel="0" collapsed="false">
      <c r="A61" s="5" t="s">
        <v>173</v>
      </c>
      <c r="B61" s="20" t="n">
        <f aca="false">MAX(G6:G15)/G16</f>
        <v>0.930141977635381</v>
      </c>
    </row>
    <row r="63" customFormat="false" ht="15" hidden="false" customHeight="false" outlineLevel="0" collapsed="false">
      <c r="A63" s="3" t="s">
        <v>174</v>
      </c>
    </row>
    <row r="64" customFormat="false" ht="23.85" hidden="false" customHeight="false" outlineLevel="0" collapsed="false">
      <c r="A64" s="9" t="s">
        <v>64</v>
      </c>
      <c r="B64" s="9" t="s">
        <v>175</v>
      </c>
      <c r="C64" s="9" t="s">
        <v>176</v>
      </c>
      <c r="D64" s="9" t="s">
        <v>177</v>
      </c>
    </row>
    <row r="65" customFormat="false" ht="15" hidden="false" customHeight="false" outlineLevel="0" collapsed="false">
      <c r="A65" s="17" t="n">
        <v>1</v>
      </c>
      <c r="B65" s="25" t="n">
        <f aca="false">F6-IF(A65=1,$G$16,0)</f>
        <v>-58795000</v>
      </c>
      <c r="C65" s="25" t="n">
        <f aca="false">I6</f>
        <v>-19000000</v>
      </c>
      <c r="D65" s="25" t="n">
        <f aca="false">F6-IF(A65=Inputs!$B$11,$G$16,0)</f>
        <v>-19000000</v>
      </c>
    </row>
    <row r="66" customFormat="false" ht="15" hidden="false" customHeight="false" outlineLevel="0" collapsed="false">
      <c r="A66" s="17" t="n">
        <v>2</v>
      </c>
      <c r="B66" s="25" t="n">
        <f aca="false">F7-IF(A66=1,$G$16,0)</f>
        <v>-18500000</v>
      </c>
      <c r="C66" s="25" t="n">
        <f aca="false">I7</f>
        <v>-18500000</v>
      </c>
      <c r="D66" s="25" t="n">
        <f aca="false">F7-IF(A66=Inputs!$B$11,$G$16,0)</f>
        <v>-18500000</v>
      </c>
    </row>
    <row r="67" customFormat="false" ht="15" hidden="false" customHeight="false" outlineLevel="0" collapsed="false">
      <c r="A67" s="17" t="n">
        <v>3</v>
      </c>
      <c r="B67" s="25" t="n">
        <f aca="false">F8-IF(A67=1,$G$16,0)</f>
        <v>-26500000</v>
      </c>
      <c r="C67" s="25" t="n">
        <f aca="false">I8</f>
        <v>-26500000</v>
      </c>
      <c r="D67" s="25" t="n">
        <f aca="false">F8-IF(A67=Inputs!$B$11,$G$16,0)</f>
        <v>-26500000</v>
      </c>
    </row>
    <row r="68" customFormat="false" ht="15" hidden="false" customHeight="false" outlineLevel="0" collapsed="false">
      <c r="A68" s="17" t="n">
        <v>4</v>
      </c>
      <c r="B68" s="25" t="n">
        <f aca="false">F9-IF(A68=1,$G$16,0)</f>
        <v>-31500000</v>
      </c>
      <c r="C68" s="25" t="n">
        <f aca="false">I9</f>
        <v>-31500000</v>
      </c>
      <c r="D68" s="25" t="n">
        <f aca="false">F9-IF(A68=Inputs!$B$11,$G$16,0)</f>
        <v>-31500000</v>
      </c>
    </row>
    <row r="69" customFormat="false" ht="15" hidden="false" customHeight="false" outlineLevel="0" collapsed="false">
      <c r="A69" s="17" t="n">
        <v>5</v>
      </c>
      <c r="B69" s="25" t="n">
        <f aca="false">F10-IF(A69=1,$G$16,0)</f>
        <v>-20940000</v>
      </c>
      <c r="C69" s="25" t="n">
        <f aca="false">I10</f>
        <v>-20940000</v>
      </c>
      <c r="D69" s="25" t="n">
        <f aca="false">F10-IF(A69=Inputs!$B$11,$G$16,0)</f>
        <v>-20940000</v>
      </c>
    </row>
    <row r="70" customFormat="false" ht="15" hidden="false" customHeight="false" outlineLevel="0" collapsed="false">
      <c r="A70" s="17" t="n">
        <v>6</v>
      </c>
      <c r="B70" s="25" t="n">
        <f aca="false">F11-IF(A70=1,$G$16,0)</f>
        <v>-13416666.67</v>
      </c>
      <c r="C70" s="25" t="n">
        <f aca="false">I11</f>
        <v>-13416666.67</v>
      </c>
      <c r="D70" s="25" t="n">
        <f aca="false">F11-IF(A70=Inputs!$B$11,$G$16,0)</f>
        <v>-13416666.67</v>
      </c>
    </row>
    <row r="71" customFormat="false" ht="15" hidden="false" customHeight="false" outlineLevel="0" collapsed="false">
      <c r="A71" s="17" t="n">
        <v>7</v>
      </c>
      <c r="B71" s="25" t="n">
        <f aca="false">F12-IF(A71=1,$G$16,0)</f>
        <v>11981666.67</v>
      </c>
      <c r="C71" s="25" t="n">
        <f aca="false">I12</f>
        <v>11981666.67</v>
      </c>
      <c r="D71" s="25" t="n">
        <f aca="false">F12-IF(A71=Inputs!$B$11,$G$16,0)</f>
        <v>11981666.67</v>
      </c>
    </row>
    <row r="72" customFormat="false" ht="15" hidden="false" customHeight="false" outlineLevel="0" collapsed="false">
      <c r="A72" s="17" t="n">
        <v>8</v>
      </c>
      <c r="B72" s="25" t="n">
        <f aca="false">F13-IF(A72=1,$G$16,0)</f>
        <v>69740000</v>
      </c>
      <c r="C72" s="25" t="n">
        <f aca="false">I13</f>
        <v>69740000</v>
      </c>
      <c r="D72" s="25" t="n">
        <f aca="false">F13-IF(A72=Inputs!$B$11,$G$16,0)</f>
        <v>69740000</v>
      </c>
    </row>
    <row r="73" customFormat="false" ht="15" hidden="false" customHeight="false" outlineLevel="0" collapsed="false">
      <c r="A73" s="17" t="n">
        <v>9</v>
      </c>
      <c r="B73" s="25" t="n">
        <f aca="false">F14-IF(A73=1,$G$16,0)</f>
        <v>231500000</v>
      </c>
      <c r="C73" s="25" t="n">
        <f aca="false">I14</f>
        <v>194485000</v>
      </c>
      <c r="D73" s="25" t="n">
        <f aca="false">F14-IF(A73=Inputs!$B$11,$G$16,0)</f>
        <v>231500000</v>
      </c>
    </row>
    <row r="74" customFormat="false" ht="15" hidden="false" customHeight="false" outlineLevel="0" collapsed="false">
      <c r="A74" s="17" t="n">
        <v>10</v>
      </c>
      <c r="B74" s="25" t="n">
        <f aca="false">F15-IF(A74=1,$G$16,0)</f>
        <v>13640000</v>
      </c>
      <c r="C74" s="25" t="n">
        <f aca="false">I15</f>
        <v>10860000</v>
      </c>
      <c r="D74" s="25" t="n">
        <f aca="false">F15-IF(A74=Inputs!$B$11,$G$16,0)</f>
        <v>-26155000</v>
      </c>
    </row>
    <row r="75" customFormat="false" ht="15" hidden="false" customHeight="false" outlineLevel="0" collapsed="false">
      <c r="A75" s="14" t="s">
        <v>178</v>
      </c>
      <c r="B75" s="22" t="n">
        <f aca="false">IRR(B65:B74)</f>
        <v>0.115068663630602</v>
      </c>
      <c r="C75" s="22" t="n">
        <f aca="false">IRR(C65:C74)</f>
        <v>0.157734383050326</v>
      </c>
      <c r="D75" s="22" t="n">
        <f aca="false">IRR(D65:D74)</f>
        <v>0.161264401599441</v>
      </c>
    </row>
    <row r="76" customFormat="false" ht="15" hidden="false" customHeight="false" outlineLevel="0" collapsed="false">
      <c r="A76" s="5" t="s">
        <v>179</v>
      </c>
      <c r="B76" s="20" t="n">
        <f aca="false">$B$56-B75</f>
        <v>0.0682878739436076</v>
      </c>
      <c r="C76" s="20" t="n">
        <f aca="false">$B$56-C75</f>
        <v>0.0256221545238834</v>
      </c>
      <c r="D76" s="20" t="n">
        <f aca="false">$B$56-D75</f>
        <v>0.0220921359747689</v>
      </c>
    </row>
    <row r="77" customFormat="false" ht="15" hidden="false" customHeight="false" outlineLevel="0" collapsed="false">
      <c r="A77" s="5" t="s">
        <v>180</v>
      </c>
      <c r="B77" s="20" t="n">
        <f aca="false">$G$16/$E$16</f>
        <v>0.114033956587148</v>
      </c>
      <c r="C77" s="20" t="n">
        <f aca="false">$G$16/$E$16</f>
        <v>0.114033956587148</v>
      </c>
      <c r="D77" s="20" t="n">
        <f aca="false">$G$16/$E$16</f>
        <v>0.114033956587148</v>
      </c>
    </row>
    <row r="78" customFormat="false" ht="15" hidden="false" customHeight="false" outlineLevel="0" collapsed="false">
      <c r="A78" s="5" t="s">
        <v>181</v>
      </c>
      <c r="B78" s="20" t="n">
        <f aca="false">D75-B75</f>
        <v>0.0461957379688387</v>
      </c>
    </row>
    <row r="79" customFormat="false" ht="15" hidden="false" customHeight="false" outlineLevel="0" collapsed="false">
      <c r="A79" s="5" t="s">
        <v>182</v>
      </c>
      <c r="B79" s="27" t="n">
        <f aca="false">B76/C76</f>
        <v>2.66518859215972</v>
      </c>
    </row>
    <row r="81" customFormat="false" ht="15" hidden="false" customHeight="false" outlineLevel="0" collapsed="false">
      <c r="A81" s="3" t="s">
        <v>183</v>
      </c>
    </row>
    <row r="82" customFormat="false" ht="23.85" hidden="false" customHeight="false" outlineLevel="0" collapsed="false">
      <c r="A82" s="9" t="s">
        <v>184</v>
      </c>
      <c r="B82" s="9" t="s">
        <v>185</v>
      </c>
      <c r="C82" s="9" t="s">
        <v>186</v>
      </c>
    </row>
    <row r="83" customFormat="false" ht="15" hidden="false" customHeight="false" outlineLevel="0" collapsed="false">
      <c r="A83" s="5" t="s">
        <v>187</v>
      </c>
      <c r="B83" s="15" t="n">
        <f aca="false">Fund!B37</f>
        <v>39795000</v>
      </c>
      <c r="C83" s="12" t="n">
        <f aca="false">B83-$B$83</f>
        <v>0</v>
      </c>
    </row>
    <row r="84" customFormat="false" ht="15" hidden="false" customHeight="false" outlineLevel="0" collapsed="false">
      <c r="A84" s="5" t="s">
        <v>188</v>
      </c>
      <c r="B84" s="15" t="n">
        <f aca="false">Inputs!B10*MAX(0,E16-D16)</f>
        <v>39401000</v>
      </c>
      <c r="C84" s="12" t="n">
        <f aca="false">B84-$B$83</f>
        <v>-394000</v>
      </c>
    </row>
    <row r="85" customFormat="false" ht="15" hidden="false" customHeight="false" outlineLevel="0" collapsed="false">
      <c r="A85" s="5" t="s">
        <v>189</v>
      </c>
      <c r="B85" s="15" t="n">
        <f aca="false">Inputs!B10*SUMPRODUCT((Inputs!H14:H41&gt;Inputs!G14:G41)*(Inputs!H14:H41-Inputs!G14:G41))</f>
        <v>52195000</v>
      </c>
      <c r="C85" s="12" t="n">
        <f aca="false">B85-$B$83</f>
        <v>12400000</v>
      </c>
    </row>
    <row r="86" customFormat="false" ht="15" hidden="false" customHeight="false" outlineLevel="0" collapsed="false">
      <c r="A86" s="5" t="s">
        <v>190</v>
      </c>
      <c r="B86" s="15" t="n">
        <f aca="false">B98</f>
        <v>25349223.2784726</v>
      </c>
      <c r="C86" s="12" t="n">
        <f aca="false">B86-$B$83</f>
        <v>-14445776.7215274</v>
      </c>
    </row>
    <row r="87" customFormat="false" ht="15" hidden="false" customHeight="false" outlineLevel="0" collapsed="false">
      <c r="A87" s="5" t="s">
        <v>191</v>
      </c>
      <c r="B87" s="15" t="n">
        <f aca="false">B99</f>
        <v>39401000</v>
      </c>
      <c r="C87" s="12" t="n">
        <f aca="false">B87-$B$83</f>
        <v>-394000</v>
      </c>
    </row>
    <row r="88" customFormat="false" ht="15" hidden="false" customHeight="false" outlineLevel="0" collapsed="false">
      <c r="A88" s="5" t="s">
        <v>192</v>
      </c>
      <c r="B88" s="17" t="n">
        <f aca="false">SUMPRODUCT((Inputs!H14:H41&gt;Inputs!G14:G41)*1)</f>
        <v>7</v>
      </c>
    </row>
    <row r="89" customFormat="false" ht="15" hidden="false" customHeight="false" outlineLevel="0" collapsed="false">
      <c r="A89" s="5" t="s">
        <v>193</v>
      </c>
      <c r="B89" s="12" t="n">
        <f aca="false">Inputs!B10*SUMPRODUCT((Inputs!H14:H41&lt;Inputs!G14:G41)*(Inputs!G14:G41-Inputs!H14:H41))</f>
        <v>8500000</v>
      </c>
    </row>
    <row r="90" customFormat="false" ht="15" hidden="false" customHeight="false" outlineLevel="0" collapsed="false">
      <c r="A90" s="5" t="s">
        <v>194</v>
      </c>
      <c r="B90" s="12" t="n">
        <f aca="false">Inputs!B10*(Inputs!B7-Inputs!G42)</f>
        <v>3900000</v>
      </c>
    </row>
    <row r="91" customFormat="false" ht="15" hidden="false" customHeight="false" outlineLevel="0" collapsed="false">
      <c r="A91" s="3" t="s">
        <v>195</v>
      </c>
    </row>
    <row r="92" customFormat="false" ht="15" hidden="false" customHeight="false" outlineLevel="0" collapsed="false">
      <c r="A92" s="5" t="s">
        <v>196</v>
      </c>
      <c r="B92" s="7" t="n">
        <v>0.08</v>
      </c>
    </row>
    <row r="93" customFormat="false" ht="15" hidden="false" customHeight="false" outlineLevel="0" collapsed="false">
      <c r="A93" s="5" t="s">
        <v>197</v>
      </c>
      <c r="B93" s="13" t="n">
        <f aca="false">E16/D16</f>
        <v>2.29634138316773</v>
      </c>
    </row>
    <row r="94" customFormat="false" ht="15" hidden="false" customHeight="false" outlineLevel="0" collapsed="false">
      <c r="A94" s="5" t="s">
        <v>198</v>
      </c>
      <c r="B94" s="21" t="n">
        <f aca="false">LN(B93)/LN(1+B56)</f>
        <v>4.93788440794677</v>
      </c>
    </row>
    <row r="95" customFormat="false" ht="15" hidden="false" customHeight="false" outlineLevel="0" collapsed="false">
      <c r="A95" s="5" t="s">
        <v>199</v>
      </c>
      <c r="B95" s="12" t="n">
        <f aca="false">D16*(1+B92)^B94</f>
        <v>222228883.607637</v>
      </c>
    </row>
    <row r="96" customFormat="false" ht="15" hidden="false" customHeight="false" outlineLevel="0" collapsed="false">
      <c r="A96" s="5" t="s">
        <v>200</v>
      </c>
      <c r="B96" s="12" t="n">
        <f aca="false">B95-D16</f>
        <v>70258883.6076371</v>
      </c>
    </row>
    <row r="97" customFormat="false" ht="15" hidden="false" customHeight="false" outlineLevel="0" collapsed="false">
      <c r="A97" s="5" t="s">
        <v>201</v>
      </c>
      <c r="B97" s="12" t="n">
        <f aca="false">E16-B95</f>
        <v>126746116.392363</v>
      </c>
    </row>
    <row r="98" customFormat="false" ht="15" hidden="false" customHeight="false" outlineLevel="0" collapsed="false">
      <c r="A98" s="14" t="s">
        <v>202</v>
      </c>
      <c r="B98" s="15" t="n">
        <f aca="false">Inputs!B10*MAX(0,B97)</f>
        <v>25349223.2784726</v>
      </c>
    </row>
    <row r="99" customFormat="false" ht="15" hidden="false" customHeight="false" outlineLevel="0" collapsed="false">
      <c r="A99" s="14" t="s">
        <v>203</v>
      </c>
      <c r="B99" s="15" t="n">
        <f aca="false">IF(B97&lt;=0,0,IF(B97&lt;B96*Inputs!B10/(1-Inputs!B10),B97,Inputs!B10*(E16-D16)))</f>
        <v>39401000</v>
      </c>
    </row>
    <row r="100" customFormat="false" ht="15" hidden="false" customHeight="false" outlineLevel="0" collapsed="false">
      <c r="A100" s="5" t="s">
        <v>204</v>
      </c>
      <c r="B100" s="12" t="n">
        <f aca="false">B83-B98</f>
        <v>14445776.7215274</v>
      </c>
    </row>
    <row r="101" customFormat="false" ht="15" hidden="false" customHeight="false" outlineLevel="0" collapsed="false">
      <c r="A101" s="5" t="s">
        <v>205</v>
      </c>
      <c r="B101" s="12" t="n">
        <f aca="false">B83-B99</f>
        <v>394000</v>
      </c>
    </row>
    <row r="102" customFormat="false" ht="15" hidden="false" customHeight="false" outlineLevel="0" collapsed="false">
      <c r="A102" s="5" t="s">
        <v>206</v>
      </c>
      <c r="B102" s="20" t="n">
        <f aca="false">B101/B83</f>
        <v>0.00990074129915819</v>
      </c>
    </row>
    <row r="103" customFormat="false" ht="15" hidden="false" customHeight="false" outlineLevel="0" collapsed="false">
      <c r="A103" s="5" t="s">
        <v>207</v>
      </c>
      <c r="B103" s="12" t="n">
        <f aca="false">MAX(B83:B87)-MIN(B83:B87)</f>
        <v>26845776.7215274</v>
      </c>
    </row>
    <row r="104" customFormat="false" ht="15" hidden="false" customHeight="false" outlineLevel="0" collapsed="false">
      <c r="A104" s="5" t="s">
        <v>208</v>
      </c>
      <c r="B104" s="21" t="n">
        <f aca="false">MAX(B83:B87)/MIN(B83:B87)</f>
        <v>2.05903744768092</v>
      </c>
    </row>
    <row r="105" customFormat="false" ht="15" hidden="false" customHeight="false" outlineLevel="0" collapsed="false">
      <c r="A105" s="5" t="s">
        <v>209</v>
      </c>
      <c r="B105" s="21" t="n">
        <f aca="false">B103/Fund!C18</f>
        <v>1.25038550170132</v>
      </c>
    </row>
    <row r="106" customFormat="false" ht="15" hidden="false" customHeight="false" outlineLevel="0" collapsed="false">
      <c r="A106" s="5" t="s">
        <v>210</v>
      </c>
      <c r="B106" s="28" t="n">
        <f aca="false">B100/B101</f>
        <v>36.6644079226585</v>
      </c>
    </row>
    <row r="108" customFormat="false" ht="23.85" hidden="false" customHeight="false" outlineLevel="0" collapsed="false">
      <c r="A108" s="9" t="s">
        <v>211</v>
      </c>
      <c r="B108" s="9" t="s">
        <v>212</v>
      </c>
      <c r="C108" s="9" t="s">
        <v>213</v>
      </c>
    </row>
    <row r="109" customFormat="false" ht="15" hidden="false" customHeight="false" outlineLevel="0" collapsed="false">
      <c r="A109" s="8" t="n">
        <v>4</v>
      </c>
      <c r="B109" s="12" t="n">
        <f aca="false">D$16*((1+$B$92)^A109-1)</f>
        <v>54783507.2512</v>
      </c>
      <c r="C109" s="12" t="n">
        <f aca="false">Inputs!$B$10*MAX(0,E$16-D$16-B109)</f>
        <v>28444298.54976</v>
      </c>
    </row>
    <row r="110" customFormat="false" ht="15" hidden="false" customHeight="false" outlineLevel="0" collapsed="false">
      <c r="A110" s="8" t="n">
        <v>6</v>
      </c>
      <c r="B110" s="12" t="n">
        <f aca="false">D$16*((1+$B$92)^A110-1)</f>
        <v>89187290.8577998</v>
      </c>
      <c r="C110" s="12" t="n">
        <f aca="false">Inputs!$B$10*MAX(0,E$16-D$16-B110)</f>
        <v>21563541.82844</v>
      </c>
    </row>
    <row r="112" customFormat="false" ht="15" hidden="false" customHeight="false" outlineLevel="0" collapsed="false">
      <c r="A112" s="3" t="s">
        <v>214</v>
      </c>
    </row>
    <row r="113" customFormat="false" ht="15" hidden="false" customHeight="false" outlineLevel="0" collapsed="false">
      <c r="A113" s="9" t="s">
        <v>215</v>
      </c>
      <c r="B113" s="9" t="s">
        <v>28</v>
      </c>
      <c r="C113" s="9" t="s">
        <v>185</v>
      </c>
      <c r="D113" s="9" t="s">
        <v>134</v>
      </c>
      <c r="E113" s="9" t="s">
        <v>216</v>
      </c>
      <c r="F113" s="9" t="s">
        <v>217</v>
      </c>
      <c r="G113" s="9" t="s">
        <v>218</v>
      </c>
    </row>
    <row r="114" customFormat="false" ht="15" hidden="false" customHeight="false" outlineLevel="0" collapsed="false">
      <c r="A114" s="29" t="n">
        <v>1</v>
      </c>
      <c r="B114" s="12" t="n">
        <f aca="false">A114*Inputs!$B$7</f>
        <v>150000000</v>
      </c>
      <c r="C114" s="12" t="n">
        <f aca="false">Inputs!$B$10*MAX(0,B114-Inputs!$B$7)</f>
        <v>0</v>
      </c>
      <c r="D114" s="12" t="n">
        <f aca="false">Fund!$C$18</f>
        <v>21470000</v>
      </c>
      <c r="E114" s="12" t="n">
        <f aca="false">C114+D114</f>
        <v>21470000</v>
      </c>
      <c r="F114" s="12" t="n">
        <f aca="false">B114-Inputs!$G$42</f>
        <v>19500000</v>
      </c>
      <c r="G114" s="20" t="n">
        <f aca="false">IF(F114=0,"",E114/F114)</f>
        <v>1.10102564102564</v>
      </c>
    </row>
    <row r="115" customFormat="false" ht="15" hidden="false" customHeight="false" outlineLevel="0" collapsed="false">
      <c r="A115" s="29" t="n">
        <v>1.5</v>
      </c>
      <c r="B115" s="12" t="n">
        <f aca="false">A115*Inputs!$B$7</f>
        <v>225000000</v>
      </c>
      <c r="C115" s="12" t="n">
        <f aca="false">Inputs!$B$10*MAX(0,B115-Inputs!$B$7)</f>
        <v>15000000</v>
      </c>
      <c r="D115" s="12" t="n">
        <f aca="false">Fund!$C$18</f>
        <v>21470000</v>
      </c>
      <c r="E115" s="12" t="n">
        <f aca="false">C115+D115</f>
        <v>36470000</v>
      </c>
      <c r="F115" s="12" t="n">
        <f aca="false">B115-Inputs!$G$42</f>
        <v>94500000</v>
      </c>
      <c r="G115" s="20" t="n">
        <f aca="false">IF(F115=0,"",E115/F115)</f>
        <v>0.385925925925926</v>
      </c>
    </row>
    <row r="116" customFormat="false" ht="15" hidden="false" customHeight="false" outlineLevel="0" collapsed="false">
      <c r="A116" s="29" t="n">
        <v>2</v>
      </c>
      <c r="B116" s="12" t="n">
        <f aca="false">A116*Inputs!$B$7</f>
        <v>300000000</v>
      </c>
      <c r="C116" s="12" t="n">
        <f aca="false">Inputs!$B$10*MAX(0,B116-Inputs!$B$7)</f>
        <v>30000000</v>
      </c>
      <c r="D116" s="12" t="n">
        <f aca="false">Fund!$C$18</f>
        <v>21470000</v>
      </c>
      <c r="E116" s="12" t="n">
        <f aca="false">C116+D116</f>
        <v>51470000</v>
      </c>
      <c r="F116" s="12" t="n">
        <f aca="false">B116-Inputs!$G$42</f>
        <v>169500000</v>
      </c>
      <c r="G116" s="20" t="n">
        <f aca="false">IF(F116=0,"",E116/F116)</f>
        <v>0.303657817109145</v>
      </c>
    </row>
    <row r="117" customFormat="false" ht="15" hidden="false" customHeight="false" outlineLevel="0" collapsed="false">
      <c r="A117" s="13" t="n">
        <f aca="false">Fund!B36</f>
        <v>2.3265</v>
      </c>
      <c r="B117" s="12" t="n">
        <f aca="false">A117*Inputs!$B$7</f>
        <v>348975000</v>
      </c>
      <c r="C117" s="12" t="n">
        <f aca="false">Inputs!$B$10*MAX(0,B117-Inputs!$B$7)</f>
        <v>39795000</v>
      </c>
      <c r="D117" s="12" t="n">
        <f aca="false">Fund!$C$18</f>
        <v>21470000</v>
      </c>
      <c r="E117" s="12" t="n">
        <f aca="false">C117+D117</f>
        <v>61265000</v>
      </c>
      <c r="F117" s="12" t="n">
        <f aca="false">B117-Inputs!$G$42</f>
        <v>218475000</v>
      </c>
      <c r="G117" s="20" t="n">
        <f aca="false">IF(F117=0,"",E117/F117)</f>
        <v>0.28042110081245</v>
      </c>
    </row>
    <row r="118" customFormat="false" ht="15" hidden="false" customHeight="false" outlineLevel="0" collapsed="false">
      <c r="A118" s="29" t="n">
        <v>3</v>
      </c>
      <c r="B118" s="12" t="n">
        <f aca="false">A118*Inputs!$B$7</f>
        <v>450000000</v>
      </c>
      <c r="C118" s="12" t="n">
        <f aca="false">Inputs!$B$10*MAX(0,B118-Inputs!$B$7)</f>
        <v>60000000</v>
      </c>
      <c r="D118" s="12" t="n">
        <f aca="false">Fund!$C$18</f>
        <v>21470000</v>
      </c>
      <c r="E118" s="12" t="n">
        <f aca="false">C118+D118</f>
        <v>81470000</v>
      </c>
      <c r="F118" s="12" t="n">
        <f aca="false">B118-Inputs!$G$42</f>
        <v>319500000</v>
      </c>
      <c r="G118" s="20" t="n">
        <f aca="false">IF(F118=0,"",E118/F118)</f>
        <v>0.254992175273865</v>
      </c>
    </row>
    <row r="119" customFormat="false" ht="15" hidden="false" customHeight="false" outlineLevel="0" collapsed="false">
      <c r="A119" s="2" t="s">
        <v>219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9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70"/>
    <col collapsed="false" customWidth="true" hidden="false" outlineLevel="0" max="4" min="3" style="0" width="18"/>
    <col collapsed="false" customWidth="true" hidden="false" outlineLevel="0" max="5" min="5" style="0" width="12"/>
    <col collapsed="false" customWidth="true" hidden="false" outlineLevel="0" max="6" min="6" style="0" width="10"/>
    <col collapsed="false" customWidth="true" hidden="false" outlineLevel="0" max="7" min="7" style="0" width="58"/>
  </cols>
  <sheetData>
    <row r="1" customFormat="false" ht="19.7" hidden="false" customHeight="false" outlineLevel="0" collapsed="false">
      <c r="A1" s="1" t="s">
        <v>220</v>
      </c>
    </row>
    <row r="2" customFormat="false" ht="15" hidden="false" customHeight="false" outlineLevel="0" collapsed="false">
      <c r="A2" s="2" t="s">
        <v>221</v>
      </c>
    </row>
    <row r="5" customFormat="false" ht="15" hidden="false" customHeight="false" outlineLevel="0" collapsed="false">
      <c r="A5" s="9" t="s">
        <v>222</v>
      </c>
      <c r="B5" s="9" t="s">
        <v>223</v>
      </c>
      <c r="C5" s="9" t="s">
        <v>224</v>
      </c>
      <c r="D5" s="9" t="s">
        <v>225</v>
      </c>
      <c r="E5" s="9" t="s">
        <v>226</v>
      </c>
      <c r="F5" s="9" t="s">
        <v>227</v>
      </c>
      <c r="G5" s="9" t="s">
        <v>228</v>
      </c>
    </row>
    <row r="6" customFormat="false" ht="15" hidden="false" customHeight="false" outlineLevel="0" collapsed="false">
      <c r="A6" s="5" t="s">
        <v>229</v>
      </c>
      <c r="B6" s="4" t="s">
        <v>230</v>
      </c>
      <c r="C6" s="12" t="n">
        <v>19000000</v>
      </c>
      <c r="D6" s="12" t="n">
        <f aca="false">Flows!D6</f>
        <v>19000000</v>
      </c>
      <c r="E6" s="30" t="n">
        <f aca="false">IF(ISNUMBER(D6),D6-C6,"")</f>
        <v>0</v>
      </c>
      <c r="F6" s="14" t="str">
        <f aca="false">IF(ISNUMBER(D6),IF(ABS(E6)&lt;=0.5,"PASS","FAIL"),"FAIL")</f>
        <v>PASS</v>
      </c>
      <c r="G6" s="2"/>
    </row>
    <row r="7" customFormat="false" ht="15" hidden="false" customHeight="false" outlineLevel="0" collapsed="false">
      <c r="A7" s="31" t="s">
        <v>229</v>
      </c>
      <c r="B7" s="32" t="s">
        <v>231</v>
      </c>
      <c r="C7" s="19" t="n">
        <v>31500000</v>
      </c>
      <c r="D7" s="19" t="n">
        <f aca="false">Flows!D9</f>
        <v>31500000</v>
      </c>
      <c r="E7" s="33" t="n">
        <f aca="false">IF(ISNUMBER(D7),D7-C7,"")</f>
        <v>0</v>
      </c>
      <c r="F7" s="34" t="str">
        <f aca="false">IF(ISNUMBER(D7),IF(ABS(E7)&lt;=0.5,"PASS","FAIL"),"FAIL")</f>
        <v>PASS</v>
      </c>
      <c r="G7" s="35"/>
    </row>
    <row r="8" customFormat="false" ht="15" hidden="false" customHeight="false" outlineLevel="0" collapsed="false">
      <c r="A8" s="5" t="s">
        <v>229</v>
      </c>
      <c r="B8" s="4" t="s">
        <v>232</v>
      </c>
      <c r="C8" s="25" t="n">
        <v>17256666.67</v>
      </c>
      <c r="D8" s="25" t="n">
        <f aca="false">Flows!D11</f>
        <v>17256666.67</v>
      </c>
      <c r="E8" s="30" t="n">
        <f aca="false">IF(ISNUMBER(D8),D8-C8,"")</f>
        <v>0</v>
      </c>
      <c r="F8" s="14" t="str">
        <f aca="false">IF(ISNUMBER(D8),IF(ABS(E8)&lt;=0.005,"PASS","FAIL"),"FAIL")</f>
        <v>PASS</v>
      </c>
      <c r="G8" s="2"/>
    </row>
    <row r="9" customFormat="false" ht="15" hidden="false" customHeight="false" outlineLevel="0" collapsed="false">
      <c r="A9" s="31" t="s">
        <v>229</v>
      </c>
      <c r="B9" s="32" t="s">
        <v>233</v>
      </c>
      <c r="C9" s="36" t="n">
        <v>15143333.33</v>
      </c>
      <c r="D9" s="36" t="n">
        <f aca="false">Flows!D12</f>
        <v>15143333.33</v>
      </c>
      <c r="E9" s="33" t="n">
        <f aca="false">IF(ISNUMBER(D9),D9-C9,"")</f>
        <v>0</v>
      </c>
      <c r="F9" s="34" t="str">
        <f aca="false">IF(ISNUMBER(D9),IF(ABS(E9)&lt;=0.005,"PASS","FAIL"),"FAIL")</f>
        <v>PASS</v>
      </c>
      <c r="G9" s="35"/>
    </row>
    <row r="10" customFormat="false" ht="15" hidden="false" customHeight="false" outlineLevel="0" collapsed="false">
      <c r="A10" s="5" t="s">
        <v>229</v>
      </c>
      <c r="B10" s="4" t="s">
        <v>234</v>
      </c>
      <c r="C10" s="12" t="n">
        <v>151970000</v>
      </c>
      <c r="D10" s="12" t="n">
        <f aca="false">Flows!D16</f>
        <v>151970000</v>
      </c>
      <c r="E10" s="30" t="n">
        <f aca="false">IF(ISNUMBER(D10),D10-C10,"")</f>
        <v>0</v>
      </c>
      <c r="F10" s="14" t="str">
        <f aca="false">IF(ISNUMBER(D10),IF(ABS(E10)&lt;=0.005,"PASS","FAIL"),"FAIL")</f>
        <v>PASS</v>
      </c>
      <c r="G10" s="2"/>
    </row>
    <row r="11" customFormat="false" ht="15" hidden="false" customHeight="false" outlineLevel="0" collapsed="false">
      <c r="A11" s="31" t="s">
        <v>229</v>
      </c>
      <c r="B11" s="32" t="s">
        <v>235</v>
      </c>
      <c r="C11" s="19" t="n">
        <v>348975000</v>
      </c>
      <c r="D11" s="19" t="n">
        <f aca="false">Flows!E16</f>
        <v>348975000</v>
      </c>
      <c r="E11" s="33" t="n">
        <f aca="false">IF(ISNUMBER(D11),D11-C11,"")</f>
        <v>0</v>
      </c>
      <c r="F11" s="34" t="str">
        <f aca="false">IF(ISNUMBER(D11),IF(ABS(E11)&lt;=0.5,"PASS","FAIL"),"FAIL")</f>
        <v>PASS</v>
      </c>
      <c r="G11" s="35"/>
    </row>
    <row r="12" customFormat="false" ht="15" hidden="false" customHeight="false" outlineLevel="0" collapsed="false">
      <c r="A12" s="5" t="s">
        <v>229</v>
      </c>
      <c r="B12" s="4" t="s">
        <v>236</v>
      </c>
      <c r="C12" s="12" t="n">
        <v>197005000</v>
      </c>
      <c r="D12" s="12" t="n">
        <f aca="false">Flows!F16</f>
        <v>197005000</v>
      </c>
      <c r="E12" s="30" t="n">
        <f aca="false">IF(ISNUMBER(D12),D12-C12,"")</f>
        <v>0</v>
      </c>
      <c r="F12" s="14" t="str">
        <f aca="false">IF(ISNUMBER(D12),IF(ABS(E12)&lt;=0.005,"PASS","FAIL"),"FAIL")</f>
        <v>PASS</v>
      </c>
      <c r="G12" s="2"/>
    </row>
    <row r="13" customFormat="false" ht="15" hidden="false" customHeight="false" outlineLevel="0" collapsed="false">
      <c r="A13" s="31" t="s">
        <v>229</v>
      </c>
      <c r="B13" s="32" t="s">
        <v>237</v>
      </c>
      <c r="C13" s="37"/>
      <c r="D13" s="31" t="str">
        <f aca="false">IF(ABS(Flows!B16-Fund!B27)&lt;0.01,"holds","does not hold")</f>
        <v>holds</v>
      </c>
      <c r="E13" s="37"/>
      <c r="F13" s="34" t="str">
        <f aca="false">IF(D13="holds","PASS","FAIL")</f>
        <v>PASS</v>
      </c>
      <c r="G13" s="35" t="s">
        <v>238</v>
      </c>
    </row>
    <row r="14" customFormat="false" ht="15" hidden="false" customHeight="false" outlineLevel="0" collapsed="false">
      <c r="A14" s="5" t="s">
        <v>229</v>
      </c>
      <c r="B14" s="4" t="s">
        <v>239</v>
      </c>
      <c r="D14" s="5" t="str">
        <f aca="false">IF(ABS(Flows!E16-Fund!B29)&lt;0.01,"holds","does not hold")</f>
        <v>holds</v>
      </c>
      <c r="F14" s="14" t="str">
        <f aca="false">IF(D14="holds","PASS","FAIL")</f>
        <v>PASS</v>
      </c>
      <c r="G14" s="2" t="s">
        <v>240</v>
      </c>
    </row>
    <row r="15" customFormat="false" ht="15" hidden="false" customHeight="false" outlineLevel="0" collapsed="false">
      <c r="A15" s="31" t="s">
        <v>229</v>
      </c>
      <c r="B15" s="32" t="s">
        <v>241</v>
      </c>
      <c r="C15" s="37"/>
      <c r="D15" s="31" t="str">
        <f aca="false">IF(ABS(Flows!G16-Fund!B37)&lt;0.01,"holds","does not hold")</f>
        <v>holds</v>
      </c>
      <c r="E15" s="37"/>
      <c r="F15" s="34" t="str">
        <f aca="false">IF(D15="holds","PASS","FAIL")</f>
        <v>PASS</v>
      </c>
      <c r="G15" s="35" t="s">
        <v>240</v>
      </c>
    </row>
    <row r="16" customFormat="false" ht="15" hidden="false" customHeight="false" outlineLevel="0" collapsed="false">
      <c r="A16" s="5" t="s">
        <v>242</v>
      </c>
      <c r="B16" s="4" t="s">
        <v>243</v>
      </c>
      <c r="C16" s="12" t="n">
        <v>31525000</v>
      </c>
      <c r="D16" s="12" t="n">
        <f aca="false">Flows!J12</f>
        <v>31525000</v>
      </c>
      <c r="E16" s="30" t="n">
        <f aca="false">IF(ISNUMBER(D16),D16-C16,"")</f>
        <v>0</v>
      </c>
      <c r="F16" s="14" t="str">
        <f aca="false">IF(ISNUMBER(D16),IF(ABS(E16)&lt;=0.5,"PASS","FAIL"),"FAIL")</f>
        <v>PASS</v>
      </c>
      <c r="G16" s="2"/>
    </row>
    <row r="17" customFormat="false" ht="15" hidden="false" customHeight="false" outlineLevel="0" collapsed="false">
      <c r="A17" s="31" t="s">
        <v>242</v>
      </c>
      <c r="B17" s="32" t="s">
        <v>244</v>
      </c>
      <c r="C17" s="19" t="n">
        <v>102675000</v>
      </c>
      <c r="D17" s="19" t="n">
        <f aca="false">Flows!J13</f>
        <v>102675000</v>
      </c>
      <c r="E17" s="33" t="n">
        <f aca="false">IF(ISNUMBER(D17),D17-C17,"")</f>
        <v>0</v>
      </c>
      <c r="F17" s="34" t="str">
        <f aca="false">IF(ISNUMBER(D17),IF(ABS(E17)&lt;=0.5,"PASS","FAIL"),"FAIL")</f>
        <v>PASS</v>
      </c>
      <c r="G17" s="35"/>
    </row>
    <row r="18" customFormat="false" ht="15" hidden="false" customHeight="false" outlineLevel="0" collapsed="false">
      <c r="A18" s="5" t="s">
        <v>242</v>
      </c>
      <c r="B18" s="4" t="s">
        <v>245</v>
      </c>
      <c r="C18" s="12" t="n">
        <v>335075000</v>
      </c>
      <c r="D18" s="12" t="n">
        <f aca="false">Flows!J14</f>
        <v>335075000</v>
      </c>
      <c r="E18" s="30" t="n">
        <f aca="false">IF(ISNUMBER(D18),D18-C18,"")</f>
        <v>0</v>
      </c>
      <c r="F18" s="14" t="str">
        <f aca="false">IF(ISNUMBER(D18),IF(ABS(E18)&lt;=0.5,"PASS","FAIL"),"FAIL")</f>
        <v>PASS</v>
      </c>
      <c r="G18" s="2"/>
    </row>
    <row r="19" customFormat="false" ht="15" hidden="false" customHeight="false" outlineLevel="0" collapsed="false">
      <c r="A19" s="31" t="s">
        <v>242</v>
      </c>
      <c r="B19" s="32" t="s">
        <v>246</v>
      </c>
      <c r="C19" s="19" t="n">
        <v>37015000</v>
      </c>
      <c r="D19" s="19" t="n">
        <f aca="false">Flows!G14</f>
        <v>37015000</v>
      </c>
      <c r="E19" s="33" t="n">
        <f aca="false">IF(ISNUMBER(D19),D19-C19,"")</f>
        <v>0</v>
      </c>
      <c r="F19" s="34" t="str">
        <f aca="false">IF(ISNUMBER(D19),IF(ABS(E19)&lt;=0.5,"PASS","FAIL"),"FAIL")</f>
        <v>PASS</v>
      </c>
      <c r="G19" s="35"/>
    </row>
    <row r="20" customFormat="false" ht="15" hidden="false" customHeight="false" outlineLevel="0" collapsed="false">
      <c r="A20" s="5" t="s">
        <v>242</v>
      </c>
      <c r="B20" s="4" t="s">
        <v>247</v>
      </c>
      <c r="C20" s="12" t="n">
        <v>2780000</v>
      </c>
      <c r="D20" s="12" t="n">
        <f aca="false">Flows!G15</f>
        <v>2780000</v>
      </c>
      <c r="E20" s="30" t="n">
        <f aca="false">IF(ISNUMBER(D20),D20-C20,"")</f>
        <v>0</v>
      </c>
      <c r="F20" s="14" t="str">
        <f aca="false">IF(ISNUMBER(D20),IF(ABS(E20)&lt;=0.5,"PASS","FAIL"),"FAIL")</f>
        <v>PASS</v>
      </c>
      <c r="G20" s="2"/>
    </row>
    <row r="21" customFormat="false" ht="15" hidden="false" customHeight="false" outlineLevel="0" collapsed="false">
      <c r="A21" s="31" t="s">
        <v>242</v>
      </c>
      <c r="B21" s="32" t="s">
        <v>248</v>
      </c>
      <c r="C21" s="38" t="n">
        <v>0.930142</v>
      </c>
      <c r="D21" s="38" t="n">
        <f aca="false">Flows!B61</f>
        <v>0.930141977635381</v>
      </c>
      <c r="E21" s="33" t="n">
        <f aca="false">IF(ISNUMBER(D21),D21-C21,"")</f>
        <v>-2.23646187125226E-008</v>
      </c>
      <c r="F21" s="34" t="str">
        <f aca="false">IF(ISNUMBER(D21),IF(ABS(E21)&lt;=0.0000005,"PASS","FAIL"),"FAIL")</f>
        <v>PASS</v>
      </c>
      <c r="G21" s="35"/>
    </row>
    <row r="22" customFormat="false" ht="15" hidden="false" customHeight="false" outlineLevel="0" collapsed="false">
      <c r="A22" s="5" t="s">
        <v>229</v>
      </c>
      <c r="B22" s="4" t="s">
        <v>249</v>
      </c>
      <c r="C22" s="12" t="n">
        <v>195385000</v>
      </c>
      <c r="D22" s="12" t="n">
        <f aca="false">Flows!H14</f>
        <v>195385000</v>
      </c>
      <c r="E22" s="30" t="n">
        <f aca="false">IF(ISNUMBER(D22),D22-C22,"")</f>
        <v>0</v>
      </c>
      <c r="F22" s="14" t="str">
        <f aca="false">IF(ISNUMBER(D22),IF(ABS(E22)&lt;=0.5,"PASS","FAIL"),"FAIL")</f>
        <v>PASS</v>
      </c>
      <c r="G22" s="2"/>
    </row>
    <row r="23" customFormat="false" ht="15" hidden="false" customHeight="false" outlineLevel="0" collapsed="false">
      <c r="A23" s="31" t="s">
        <v>229</v>
      </c>
      <c r="B23" s="32" t="s">
        <v>250</v>
      </c>
      <c r="C23" s="19" t="n">
        <v>11120000</v>
      </c>
      <c r="D23" s="19" t="n">
        <f aca="false">Flows!H15</f>
        <v>11120000</v>
      </c>
      <c r="E23" s="33" t="n">
        <f aca="false">IF(ISNUMBER(D23),D23-C23,"")</f>
        <v>0</v>
      </c>
      <c r="F23" s="34" t="str">
        <f aca="false">IF(ISNUMBER(D23),IF(ABS(E23)&lt;=0.5,"PASS","FAIL"),"FAIL")</f>
        <v>PASS</v>
      </c>
      <c r="G23" s="35"/>
    </row>
    <row r="24" customFormat="false" ht="15" hidden="false" customHeight="false" outlineLevel="0" collapsed="false">
      <c r="A24" s="5" t="s">
        <v>229</v>
      </c>
      <c r="B24" s="4" t="s">
        <v>251</v>
      </c>
      <c r="C24" s="20" t="n">
        <v>0.183357</v>
      </c>
      <c r="D24" s="20" t="n">
        <f aca="false">Flows!B56</f>
        <v>0.18335653757421</v>
      </c>
      <c r="E24" s="30" t="n">
        <f aca="false">IF(ISNUMBER(D24),D24-C24,"")</f>
        <v>-4.62425790270782E-007</v>
      </c>
      <c r="F24" s="14" t="str">
        <f aca="false">IF(ISNUMBER(D24),IF(ABS(E24)&lt;=0.0000005,"PASS","FAIL"),"FAIL")</f>
        <v>PASS</v>
      </c>
      <c r="G24" s="2"/>
    </row>
    <row r="25" customFormat="false" ht="15" hidden="false" customHeight="false" outlineLevel="0" collapsed="false">
      <c r="A25" s="31" t="s">
        <v>229</v>
      </c>
      <c r="B25" s="32" t="s">
        <v>178</v>
      </c>
      <c r="C25" s="38" t="n">
        <v>0.157734</v>
      </c>
      <c r="D25" s="38" t="n">
        <f aca="false">Flows!B57</f>
        <v>0.157734383050326</v>
      </c>
      <c r="E25" s="33" t="n">
        <f aca="false">IF(ISNUMBER(D25),D25-C25,"")</f>
        <v>3.83050326291379E-007</v>
      </c>
      <c r="F25" s="34" t="str">
        <f aca="false">IF(ISNUMBER(D25),IF(ABS(E25)&lt;=0.0000005,"PASS","FAIL"),"FAIL")</f>
        <v>PASS</v>
      </c>
      <c r="G25" s="35"/>
    </row>
    <row r="26" customFormat="false" ht="15" hidden="false" customHeight="false" outlineLevel="0" collapsed="false">
      <c r="A26" s="5" t="s">
        <v>229</v>
      </c>
      <c r="B26" s="4" t="s">
        <v>170</v>
      </c>
      <c r="C26" s="20" t="n">
        <v>0.217217</v>
      </c>
      <c r="D26" s="20" t="n">
        <f aca="false">Flows!B58</f>
        <v>0.217217025188195</v>
      </c>
      <c r="E26" s="30" t="n">
        <f aca="false">IF(ISNUMBER(D26),D26-C26,"")</f>
        <v>2.51881953905464E-008</v>
      </c>
      <c r="F26" s="14" t="str">
        <f aca="false">IF(ISNUMBER(D26),IF(ABS(E26)&lt;=0.0000005,"PASS","FAIL"),"FAIL")</f>
        <v>PASS</v>
      </c>
      <c r="G26" s="2"/>
    </row>
    <row r="27" customFormat="false" ht="15" hidden="false" customHeight="false" outlineLevel="0" collapsed="false">
      <c r="A27" s="31" t="s">
        <v>229</v>
      </c>
      <c r="B27" s="32" t="s">
        <v>171</v>
      </c>
      <c r="C27" s="38" t="n">
        <v>0.025622</v>
      </c>
      <c r="D27" s="38" t="n">
        <f aca="false">Flows!B59</f>
        <v>0.0256221545238834</v>
      </c>
      <c r="E27" s="33" t="n">
        <f aca="false">IF(ISNUMBER(D27),D27-C27,"")</f>
        <v>1.54523883418023E-007</v>
      </c>
      <c r="F27" s="34" t="str">
        <f aca="false">IF(ISNUMBER(D27),IF(ABS(E27)&lt;=0.0000005,"PASS","FAIL"),"FAIL")</f>
        <v>PASS</v>
      </c>
      <c r="G27" s="35"/>
    </row>
    <row r="28" customFormat="false" ht="15" hidden="false" customHeight="false" outlineLevel="0" collapsed="false">
      <c r="A28" s="5" t="s">
        <v>229</v>
      </c>
      <c r="B28" s="4" t="s">
        <v>172</v>
      </c>
      <c r="C28" s="20" t="n">
        <v>0.03386</v>
      </c>
      <c r="D28" s="20" t="n">
        <f aca="false">Flows!B60</f>
        <v>0.0338604876139857</v>
      </c>
      <c r="E28" s="30" t="n">
        <f aca="false">IF(ISNUMBER(D28),D28-C28,"")</f>
        <v>4.87613985661328E-007</v>
      </c>
      <c r="F28" s="14" t="str">
        <f aca="false">IF(ISNUMBER(D28),IF(ABS(E28)&lt;=0.0000005,"PASS","FAIL"),"FAIL")</f>
        <v>PASS</v>
      </c>
      <c r="G28" s="2"/>
    </row>
    <row r="29" customFormat="false" ht="15" hidden="false" customHeight="false" outlineLevel="0" collapsed="false">
      <c r="A29" s="31" t="s">
        <v>229</v>
      </c>
      <c r="B29" s="32" t="s">
        <v>252</v>
      </c>
      <c r="C29" s="38" t="n">
        <v>0.115069</v>
      </c>
      <c r="D29" s="38" t="n">
        <f aca="false">Flows!B75</f>
        <v>0.115068663630602</v>
      </c>
      <c r="E29" s="33" t="n">
        <f aca="false">IF(ISNUMBER(D29),D29-C29,"")</f>
        <v>-3.36369397890834E-007</v>
      </c>
      <c r="F29" s="34" t="str">
        <f aca="false">IF(ISNUMBER(D29),IF(ABS(E29)&lt;=0.0000005,"PASS","FAIL"),"FAIL")</f>
        <v>PASS</v>
      </c>
      <c r="G29" s="35"/>
    </row>
    <row r="30" customFormat="false" ht="15" hidden="false" customHeight="false" outlineLevel="0" collapsed="false">
      <c r="A30" s="5" t="s">
        <v>229</v>
      </c>
      <c r="B30" s="4" t="s">
        <v>253</v>
      </c>
      <c r="C30" s="20" t="n">
        <v>0.161264</v>
      </c>
      <c r="D30" s="20" t="n">
        <f aca="false">Flows!D75</f>
        <v>0.161264401599441</v>
      </c>
      <c r="E30" s="30" t="n">
        <f aca="false">IF(ISNUMBER(D30),D30-C30,"")</f>
        <v>4.01599440869038E-007</v>
      </c>
      <c r="F30" s="14" t="str">
        <f aca="false">IF(ISNUMBER(D30),IF(ABS(E30)&lt;=0.0000005,"PASS","FAIL"),"FAIL")</f>
        <v>PASS</v>
      </c>
      <c r="G30" s="2"/>
    </row>
    <row r="31" customFormat="false" ht="15" hidden="false" customHeight="false" outlineLevel="0" collapsed="false">
      <c r="A31" s="31" t="s">
        <v>229</v>
      </c>
      <c r="B31" s="32" t="s">
        <v>254</v>
      </c>
      <c r="C31" s="38" t="n">
        <v>0.068288</v>
      </c>
      <c r="D31" s="38" t="n">
        <f aca="false">Flows!B76</f>
        <v>0.0682878739436076</v>
      </c>
      <c r="E31" s="33" t="n">
        <f aca="false">IF(ISNUMBER(D31),D31-C31,"")</f>
        <v>-1.26056392393825E-007</v>
      </c>
      <c r="F31" s="34" t="str">
        <f aca="false">IF(ISNUMBER(D31),IF(ABS(E31)&lt;=0.0000005,"PASS","FAIL"),"FAIL")</f>
        <v>PASS</v>
      </c>
      <c r="G31" s="35"/>
    </row>
    <row r="32" customFormat="false" ht="15" hidden="false" customHeight="false" outlineLevel="0" collapsed="false">
      <c r="A32" s="5" t="s">
        <v>229</v>
      </c>
      <c r="B32" s="4" t="s">
        <v>255</v>
      </c>
      <c r="C32" s="20" t="n">
        <v>0.022092</v>
      </c>
      <c r="D32" s="20" t="n">
        <f aca="false">Flows!D76</f>
        <v>0.0220921359747689</v>
      </c>
      <c r="E32" s="30" t="n">
        <f aca="false">IF(ISNUMBER(D32),D32-C32,"")</f>
        <v>1.3597476886118E-007</v>
      </c>
      <c r="F32" s="14" t="str">
        <f aca="false">IF(ISNUMBER(D32),IF(ABS(E32)&lt;=0.0000005,"PASS","FAIL"),"FAIL")</f>
        <v>PASS</v>
      </c>
      <c r="G32" s="2" t="s">
        <v>256</v>
      </c>
    </row>
    <row r="33" customFormat="false" ht="15" hidden="false" customHeight="false" outlineLevel="0" collapsed="false">
      <c r="A33" s="31" t="s">
        <v>229</v>
      </c>
      <c r="B33" s="32" t="s">
        <v>257</v>
      </c>
      <c r="C33" s="38" t="n">
        <v>0.046196</v>
      </c>
      <c r="D33" s="38" t="n">
        <f aca="false">Flows!B78</f>
        <v>0.0461957379688387</v>
      </c>
      <c r="E33" s="33" t="n">
        <f aca="false">IF(ISNUMBER(D33),D33-C33,"")</f>
        <v>-2.62031161255005E-007</v>
      </c>
      <c r="F33" s="34" t="str">
        <f aca="false">IF(ISNUMBER(D33),IF(ABS(E33)&lt;=0.0000005,"PASS","FAIL"),"FAIL")</f>
        <v>PASS</v>
      </c>
      <c r="G33" s="35" t="s">
        <v>258</v>
      </c>
    </row>
    <row r="34" customFormat="false" ht="15" hidden="false" customHeight="false" outlineLevel="0" collapsed="false">
      <c r="A34" s="5" t="s">
        <v>229</v>
      </c>
      <c r="B34" s="4" t="s">
        <v>259</v>
      </c>
      <c r="C34" s="27" t="n">
        <v>2.665</v>
      </c>
      <c r="D34" s="27" t="n">
        <f aca="false">Flows!B79</f>
        <v>2.66518859215972</v>
      </c>
      <c r="E34" s="30" t="n">
        <f aca="false">IF(ISNUMBER(D34),D34-C34,"")</f>
        <v>0.00018859215971867</v>
      </c>
      <c r="F34" s="14" t="str">
        <f aca="false">IF(ISNUMBER(D34),IF(ABS(E34)&lt;=0.0005,"PASS","FAIL"),"FAIL")</f>
        <v>PASS</v>
      </c>
      <c r="G34" s="2"/>
    </row>
    <row r="35" customFormat="false" ht="15" hidden="false" customHeight="false" outlineLevel="0" collapsed="false">
      <c r="A35" s="31" t="s">
        <v>229</v>
      </c>
      <c r="B35" s="32" t="s">
        <v>180</v>
      </c>
      <c r="C35" s="38" t="n">
        <v>0.114034</v>
      </c>
      <c r="D35" s="38" t="n">
        <f aca="false">Flows!C77</f>
        <v>0.114033956587148</v>
      </c>
      <c r="E35" s="33" t="n">
        <f aca="false">IF(ISNUMBER(D35),D35-C35,"")</f>
        <v>-4.34128519244403E-008</v>
      </c>
      <c r="F35" s="34" t="str">
        <f aca="false">IF(ISNUMBER(D35),IF(ABS(E35)&lt;=0.0000005,"PASS","FAIL"),"FAIL")</f>
        <v>PASS</v>
      </c>
      <c r="G35" s="35"/>
    </row>
    <row r="36" customFormat="false" ht="15" hidden="false" customHeight="false" outlineLevel="0" collapsed="false">
      <c r="A36" s="5" t="s">
        <v>260</v>
      </c>
      <c r="B36" s="4" t="s">
        <v>148</v>
      </c>
      <c r="C36" s="25" t="n">
        <v>-129856666.67</v>
      </c>
      <c r="D36" s="25" t="n">
        <f aca="false">Flows!B33</f>
        <v>-129856666.67</v>
      </c>
      <c r="E36" s="30" t="n">
        <f aca="false">IF(ISNUMBER(D36),D36-C36,"")</f>
        <v>0</v>
      </c>
      <c r="F36" s="14" t="str">
        <f aca="false">IF(ISNUMBER(D36),IF(ABS(E36)&lt;=0.005,"PASS","FAIL"),"FAIL")</f>
        <v>PASS</v>
      </c>
      <c r="G36" s="2"/>
    </row>
    <row r="37" customFormat="false" ht="15" hidden="false" customHeight="false" outlineLevel="0" collapsed="false">
      <c r="A37" s="31" t="s">
        <v>260</v>
      </c>
      <c r="B37" s="32" t="s">
        <v>149</v>
      </c>
      <c r="C37" s="18" t="n">
        <v>6</v>
      </c>
      <c r="D37" s="18" t="n">
        <f aca="false">Flows!B34</f>
        <v>6</v>
      </c>
      <c r="E37" s="33" t="n">
        <f aca="false">IF(ISNUMBER(D37),D37-C37,"")</f>
        <v>0</v>
      </c>
      <c r="F37" s="34" t="str">
        <f aca="false">IF(ISNUMBER(D37),IF(ABS(E37)&lt;=0,"PASS","FAIL"),"FAIL")</f>
        <v>PASS</v>
      </c>
      <c r="G37" s="35"/>
    </row>
    <row r="38" customFormat="false" ht="15" hidden="false" customHeight="false" outlineLevel="0" collapsed="false">
      <c r="A38" s="5" t="s">
        <v>260</v>
      </c>
      <c r="B38" s="4" t="s">
        <v>261</v>
      </c>
      <c r="C38" s="20" t="n">
        <v>0.865711</v>
      </c>
      <c r="D38" s="20" t="n">
        <f aca="false">Flows!B35</f>
        <v>0.865711111133333</v>
      </c>
      <c r="E38" s="30" t="n">
        <f aca="false">IF(ISNUMBER(D38),D38-C38,"")</f>
        <v>1.11133333313695E-007</v>
      </c>
      <c r="F38" s="14" t="str">
        <f aca="false">IF(ISNUMBER(D38),IF(ABS(E38)&lt;=0.0000005,"PASS","FAIL"),"FAIL")</f>
        <v>PASS</v>
      </c>
      <c r="G38" s="2"/>
    </row>
    <row r="39" customFormat="false" ht="15" hidden="false" customHeight="false" outlineLevel="0" collapsed="false">
      <c r="A39" s="31" t="s">
        <v>260</v>
      </c>
      <c r="B39" s="32" t="s">
        <v>165</v>
      </c>
      <c r="C39" s="38" t="n">
        <v>0.854489</v>
      </c>
      <c r="D39" s="38" t="n">
        <f aca="false">Flows!B36</f>
        <v>0.854488824570639</v>
      </c>
      <c r="E39" s="33" t="n">
        <f aca="false">IF(ISNUMBER(D39),D39-C39,"")</f>
        <v>-1.75429361148893E-007</v>
      </c>
      <c r="F39" s="34" t="str">
        <f aca="false">IF(ISNUMBER(D39),IF(ABS(E39)&lt;=0.0000005,"PASS","FAIL"),"FAIL")</f>
        <v>PASS</v>
      </c>
      <c r="G39" s="35"/>
    </row>
    <row r="40" customFormat="false" ht="15" hidden="false" customHeight="false" outlineLevel="0" collapsed="false">
      <c r="A40" s="5" t="s">
        <v>260</v>
      </c>
      <c r="B40" s="4" t="s">
        <v>262</v>
      </c>
      <c r="C40" s="17" t="n">
        <v>7</v>
      </c>
      <c r="D40" s="17" t="n">
        <f aca="false">Flows!B37</f>
        <v>7</v>
      </c>
      <c r="E40" s="30" t="n">
        <f aca="false">IF(ISNUMBER(D40),D40-C40,"")</f>
        <v>0</v>
      </c>
      <c r="F40" s="14" t="str">
        <f aca="false">IF(ISNUMBER(D40),IF(ABS(E40)&lt;=0,"PASS","FAIL"),"FAIL")</f>
        <v>PASS</v>
      </c>
      <c r="G40" s="2"/>
    </row>
    <row r="41" customFormat="false" ht="15" hidden="false" customHeight="false" outlineLevel="0" collapsed="false">
      <c r="A41" s="31" t="s">
        <v>260</v>
      </c>
      <c r="B41" s="32" t="s">
        <v>263</v>
      </c>
      <c r="C41" s="18" t="n">
        <v>9</v>
      </c>
      <c r="D41" s="18" t="n">
        <f aca="false">Flows!B38</f>
        <v>9</v>
      </c>
      <c r="E41" s="33" t="n">
        <f aca="false">IF(ISNUMBER(D41),D41-C41,"")</f>
        <v>0</v>
      </c>
      <c r="F41" s="34" t="str">
        <f aca="false">IF(ISNUMBER(D41),IF(ABS(E41)&lt;=0,"PASS","FAIL"),"FAIL")</f>
        <v>PASS</v>
      </c>
      <c r="G41" s="35"/>
    </row>
    <row r="42" customFormat="false" ht="15" hidden="false" customHeight="false" outlineLevel="0" collapsed="false">
      <c r="A42" s="5" t="s">
        <v>260</v>
      </c>
      <c r="B42" s="4" t="s">
        <v>264</v>
      </c>
      <c r="C42" s="20" t="n">
        <v>0.207927</v>
      </c>
      <c r="D42" s="20" t="n">
        <f aca="false">Flows!B39</f>
        <v>0.20792656587473</v>
      </c>
      <c r="E42" s="30" t="n">
        <f aca="false">IF(ISNUMBER(D42),D42-C42,"")</f>
        <v>-4.34125269982433E-007</v>
      </c>
      <c r="F42" s="14" t="str">
        <f aca="false">IF(ISNUMBER(D42),IF(ABS(E42)&lt;=0.0000005,"PASS","FAIL"),"FAIL")</f>
        <v>PASS</v>
      </c>
      <c r="G42" s="2"/>
    </row>
    <row r="43" customFormat="false" ht="15" hidden="false" customHeight="false" outlineLevel="0" collapsed="false">
      <c r="A43" s="31" t="s">
        <v>260</v>
      </c>
      <c r="B43" s="32" t="s">
        <v>265</v>
      </c>
      <c r="C43" s="19" t="n">
        <v>232400000</v>
      </c>
      <c r="D43" s="19" t="n">
        <f aca="false">Flows!B40</f>
        <v>232400000</v>
      </c>
      <c r="E43" s="33" t="n">
        <f aca="false">IF(ISNUMBER(D43),D43-C43,"")</f>
        <v>0</v>
      </c>
      <c r="F43" s="34" t="str">
        <f aca="false">IF(ISNUMBER(D43),IF(ABS(E43)&lt;=0.5,"PASS","FAIL"),"FAIL")</f>
        <v>PASS</v>
      </c>
      <c r="G43" s="35"/>
    </row>
    <row r="44" customFormat="false" ht="15" hidden="false" customHeight="false" outlineLevel="0" collapsed="false">
      <c r="A44" s="5" t="s">
        <v>260</v>
      </c>
      <c r="B44" s="4" t="s">
        <v>155</v>
      </c>
      <c r="C44" s="20" t="n">
        <v>0.66595</v>
      </c>
      <c r="D44" s="20" t="n">
        <f aca="false">Flows!B42</f>
        <v>0.66595028297156</v>
      </c>
      <c r="E44" s="30" t="n">
        <f aca="false">IF(ISNUMBER(D44),D44-C44,"")</f>
        <v>2.8297155951762E-007</v>
      </c>
      <c r="F44" s="14" t="str">
        <f aca="false">IF(ISNUMBER(D44),IF(ABS(E44)&lt;=0.0000005,"PASS","FAIL"),"FAIL")</f>
        <v>PASS</v>
      </c>
      <c r="G44" s="2" t="s">
        <v>266</v>
      </c>
    </row>
    <row r="45" customFormat="false" ht="15" hidden="false" customHeight="false" outlineLevel="0" collapsed="false">
      <c r="A45" s="31" t="s">
        <v>260</v>
      </c>
      <c r="B45" s="32" t="s">
        <v>267</v>
      </c>
      <c r="C45" s="38" t="n">
        <v>0.869833</v>
      </c>
      <c r="D45" s="38" t="n">
        <f aca="false">Flows!B43</f>
        <v>0.86983308259904</v>
      </c>
      <c r="E45" s="33" t="n">
        <f aca="false">IF(ISNUMBER(D45),D45-C45,"")</f>
        <v>8.25990400521448E-008</v>
      </c>
      <c r="F45" s="34" t="str">
        <f aca="false">IF(ISNUMBER(D45),IF(ABS(E45)&lt;=0.0000005,"PASS","FAIL"),"FAIL")</f>
        <v>PASS</v>
      </c>
      <c r="G45" s="35"/>
    </row>
    <row r="46" customFormat="false" ht="15" hidden="false" customHeight="false" outlineLevel="0" collapsed="false">
      <c r="A46" s="5" t="s">
        <v>260</v>
      </c>
      <c r="B46" s="4" t="s">
        <v>157</v>
      </c>
      <c r="C46" s="21" t="n">
        <v>3.2663</v>
      </c>
      <c r="D46" s="21" t="n">
        <f aca="false">Flows!B44</f>
        <v>3.26633872101195</v>
      </c>
      <c r="E46" s="30" t="n">
        <f aca="false">IF(ISNUMBER(D46),D46-C46,"")</f>
        <v>3.87210119465742E-005</v>
      </c>
      <c r="F46" s="14" t="str">
        <f aca="false">IF(ISNUMBER(D46),IF(ABS(E46)&lt;=0.00005,"PASS","FAIL"),"FAIL")</f>
        <v>PASS</v>
      </c>
      <c r="G46" s="2"/>
    </row>
    <row r="47" customFormat="false" ht="15" hidden="false" customHeight="false" outlineLevel="0" collapsed="false">
      <c r="A47" s="31" t="s">
        <v>260</v>
      </c>
      <c r="B47" s="32" t="s">
        <v>158</v>
      </c>
      <c r="C47" s="19" t="n">
        <v>34897500</v>
      </c>
      <c r="D47" s="19" t="n">
        <f aca="false">Flows!B45</f>
        <v>34897500</v>
      </c>
      <c r="E47" s="33" t="n">
        <f aca="false">IF(ISNUMBER(D47),D47-C47,"")</f>
        <v>0</v>
      </c>
      <c r="F47" s="34" t="str">
        <f aca="false">IF(ISNUMBER(D47),IF(ABS(E47)&lt;=0.5,"PASS","FAIL"),"FAIL")</f>
        <v>PASS</v>
      </c>
      <c r="G47" s="35"/>
    </row>
    <row r="48" customFormat="false" ht="15" hidden="false" customHeight="false" outlineLevel="0" collapsed="false">
      <c r="A48" s="5" t="s">
        <v>260</v>
      </c>
      <c r="B48" s="4" t="s">
        <v>268</v>
      </c>
      <c r="C48" s="20" t="n">
        <v>0.883442</v>
      </c>
      <c r="D48" s="20" t="n">
        <f aca="false">Flows!B46</f>
        <v>0.883441907415937</v>
      </c>
      <c r="E48" s="30" t="n">
        <f aca="false">IF(ISNUMBER(D48),D48-C48,"")</f>
        <v>-9.25840625276564E-008</v>
      </c>
      <c r="F48" s="14" t="str">
        <f aca="false">IF(ISNUMBER(D48),IF(ABS(E48)&lt;=0.0000005,"PASS","FAIL"),"FAIL")</f>
        <v>PASS</v>
      </c>
      <c r="G48" s="2" t="s">
        <v>269</v>
      </c>
    </row>
    <row r="49" customFormat="false" ht="15" hidden="false" customHeight="false" outlineLevel="0" collapsed="false">
      <c r="A49" s="31" t="s">
        <v>260</v>
      </c>
      <c r="B49" s="32" t="s">
        <v>270</v>
      </c>
      <c r="C49" s="38" t="n">
        <v>0.012608</v>
      </c>
      <c r="D49" s="38" t="n">
        <f aca="false">Flows!B47</f>
        <v>0.012608353033885</v>
      </c>
      <c r="E49" s="33" t="n">
        <f aca="false">IF(ISNUMBER(D49),D49-C49,"")</f>
        <v>3.53033884950213E-007</v>
      </c>
      <c r="F49" s="34" t="str">
        <f aca="false">IF(ISNUMBER(D49),IF(ABS(E49)&lt;=0.0000005,"PASS","FAIL"),"FAIL")</f>
        <v>PASS</v>
      </c>
      <c r="G49" s="35"/>
    </row>
    <row r="50" customFormat="false" ht="15" hidden="false" customHeight="false" outlineLevel="0" collapsed="false">
      <c r="A50" s="5" t="s">
        <v>260</v>
      </c>
      <c r="B50" s="4" t="s">
        <v>271</v>
      </c>
      <c r="C50" s="20" t="n">
        <v>0.987392</v>
      </c>
      <c r="D50" s="20" t="n">
        <f aca="false">Flows!B48</f>
        <v>0.987391646966115</v>
      </c>
      <c r="E50" s="30" t="n">
        <f aca="false">IF(ISNUMBER(D50),D50-C50,"")</f>
        <v>-3.53033885014398E-007</v>
      </c>
      <c r="F50" s="14" t="str">
        <f aca="false">IF(ISNUMBER(D50),IF(ABS(E50)&lt;=0.0000005,"PASS","FAIL"),"FAIL")</f>
        <v>PASS</v>
      </c>
      <c r="G50" s="2" t="s">
        <v>272</v>
      </c>
    </row>
    <row r="51" customFormat="false" ht="15" hidden="false" customHeight="false" outlineLevel="0" collapsed="false">
      <c r="A51" s="31" t="s">
        <v>260</v>
      </c>
      <c r="B51" s="32" t="s">
        <v>273</v>
      </c>
      <c r="C51" s="38" t="n">
        <v>0.090336</v>
      </c>
      <c r="D51" s="38" t="n">
        <f aca="false">Flows!B49</f>
        <v>0.0903359839530052</v>
      </c>
      <c r="E51" s="33" t="n">
        <f aca="false">IF(ISNUMBER(D51),D51-C51,"")</f>
        <v>-1.60469947746433E-008</v>
      </c>
      <c r="F51" s="34" t="str">
        <f aca="false">IF(ISNUMBER(D51),IF(ABS(E51)&lt;=0.0000005,"PASS","FAIL"),"FAIL")</f>
        <v>PASS</v>
      </c>
      <c r="G51" s="35"/>
    </row>
    <row r="52" customFormat="false" ht="15" hidden="false" customHeight="false" outlineLevel="0" collapsed="false">
      <c r="A52" s="5" t="s">
        <v>260</v>
      </c>
      <c r="B52" s="4" t="s">
        <v>274</v>
      </c>
      <c r="C52" s="21" t="n">
        <v>0.0328</v>
      </c>
      <c r="D52" s="21" t="n">
        <f aca="false">Flows!D26</f>
        <v>0.0327730466511217</v>
      </c>
      <c r="E52" s="30" t="n">
        <f aca="false">IF(ISNUMBER(D52),D52-C52,"")</f>
        <v>-2.6953348878353E-005</v>
      </c>
      <c r="F52" s="14" t="str">
        <f aca="false">IF(ISNUMBER(D52),IF(ABS(E52)&lt;=0.00005,"PASS","FAIL"),"FAIL")</f>
        <v>PASS</v>
      </c>
      <c r="G52" s="2"/>
    </row>
    <row r="53" customFormat="false" ht="15" hidden="false" customHeight="false" outlineLevel="0" collapsed="false">
      <c r="A53" s="31" t="s">
        <v>260</v>
      </c>
      <c r="B53" s="32" t="s">
        <v>275</v>
      </c>
      <c r="C53" s="39" t="n">
        <v>0.211</v>
      </c>
      <c r="D53" s="39" t="n">
        <f aca="false">Flows!D27</f>
        <v>0.211010709504685</v>
      </c>
      <c r="E53" s="33" t="n">
        <f aca="false">IF(ISNUMBER(D53),D53-C53,"")</f>
        <v>1.07095046853745E-005</v>
      </c>
      <c r="F53" s="34" t="str">
        <f aca="false">IF(ISNUMBER(D53),IF(ABS(E53)&lt;=0.00005,"PASS","FAIL"),"FAIL")</f>
        <v>PASS</v>
      </c>
      <c r="G53" s="35"/>
    </row>
    <row r="54" customFormat="false" ht="15" hidden="false" customHeight="false" outlineLevel="0" collapsed="false">
      <c r="A54" s="5" t="s">
        <v>260</v>
      </c>
      <c r="B54" s="4" t="s">
        <v>276</v>
      </c>
      <c r="C54" s="21" t="n">
        <v>0.6808</v>
      </c>
      <c r="D54" s="21" t="n">
        <f aca="false">Flows!D28</f>
        <v>0.6808235528148</v>
      </c>
      <c r="E54" s="30" t="n">
        <f aca="false">IF(ISNUMBER(D54),D54-C54,"")</f>
        <v>2.3552814800154E-005</v>
      </c>
      <c r="F54" s="14" t="str">
        <f aca="false">IF(ISNUMBER(D54),IF(ABS(E54)&lt;=0.00005,"PASS","FAIL"),"FAIL")</f>
        <v>PASS</v>
      </c>
      <c r="G54" s="2"/>
    </row>
    <row r="55" customFormat="false" ht="15" hidden="false" customHeight="false" outlineLevel="0" collapsed="false">
      <c r="A55" s="31" t="s">
        <v>260</v>
      </c>
      <c r="B55" s="32" t="s">
        <v>277</v>
      </c>
      <c r="C55" s="19" t="n">
        <v>2570000</v>
      </c>
      <c r="D55" s="19" t="n">
        <f aca="false">Flows!B50</f>
        <v>2570000</v>
      </c>
      <c r="E55" s="33" t="n">
        <f aca="false">IF(ISNUMBER(D55),D55-C55,"")</f>
        <v>0</v>
      </c>
      <c r="F55" s="34" t="str">
        <f aca="false">IF(ISNUMBER(D55),IF(ABS(E55)&lt;=0.5,"PASS","FAIL"),"FAIL")</f>
        <v>PASS</v>
      </c>
      <c r="G55" s="35"/>
    </row>
    <row r="56" customFormat="false" ht="15" hidden="false" customHeight="false" outlineLevel="0" collapsed="false">
      <c r="A56" s="5" t="s">
        <v>260</v>
      </c>
      <c r="B56" s="4" t="s">
        <v>278</v>
      </c>
      <c r="C56" s="12" t="n">
        <v>146350000</v>
      </c>
      <c r="D56" s="12" t="n">
        <f aca="false">Flows!C29</f>
        <v>146350000</v>
      </c>
      <c r="E56" s="30" t="n">
        <f aca="false">IF(ISNUMBER(D56),D56-C56,"")</f>
        <v>0</v>
      </c>
      <c r="F56" s="14" t="str">
        <f aca="false">IF(ISNUMBER(D56),IF(ABS(E56)&lt;=0.005,"PASS","FAIL"),"FAIL")</f>
        <v>PASS</v>
      </c>
      <c r="G56" s="2"/>
    </row>
    <row r="57" customFormat="false" ht="15" hidden="false" customHeight="false" outlineLevel="0" collapsed="false">
      <c r="A57" s="31" t="s">
        <v>279</v>
      </c>
      <c r="B57" s="32" t="s">
        <v>280</v>
      </c>
      <c r="C57" s="38" t="n">
        <v>0.78</v>
      </c>
      <c r="D57" s="38" t="n">
        <f aca="false">Flows!B51</f>
        <v>0.78</v>
      </c>
      <c r="E57" s="33" t="n">
        <f aca="false">IF(ISNUMBER(D57),D57-C57,"")</f>
        <v>0</v>
      </c>
      <c r="F57" s="34" t="str">
        <f aca="false">IF(ISNUMBER(D57),IF(ABS(E57)&lt;=0.0000005,"PASS","FAIL"),"FAIL")</f>
        <v>PASS</v>
      </c>
      <c r="G57" s="35"/>
    </row>
    <row r="58" customFormat="false" ht="15" hidden="false" customHeight="false" outlineLevel="0" collapsed="false">
      <c r="A58" s="5" t="s">
        <v>279</v>
      </c>
      <c r="B58" s="4" t="s">
        <v>165</v>
      </c>
      <c r="C58" s="20" t="n">
        <v>0.769889</v>
      </c>
      <c r="D58" s="20" t="n">
        <f aca="false">Flows!B52</f>
        <v>0.76988879384089</v>
      </c>
      <c r="E58" s="30" t="n">
        <f aca="false">IF(ISNUMBER(D58),D58-C58,"")</f>
        <v>-2.06159110449633E-007</v>
      </c>
      <c r="F58" s="14" t="str">
        <f aca="false">IF(ISNUMBER(D58),IF(ABS(E58)&lt;=0.0000005,"PASS","FAIL"),"FAIL")</f>
        <v>PASS</v>
      </c>
      <c r="G58" s="2"/>
    </row>
    <row r="59" customFormat="false" ht="15" hidden="false" customHeight="false" outlineLevel="0" collapsed="false">
      <c r="A59" s="31" t="s">
        <v>279</v>
      </c>
      <c r="B59" s="32" t="s">
        <v>281</v>
      </c>
      <c r="C59" s="38" t="n">
        <v>0.001605</v>
      </c>
      <c r="D59" s="38" t="n">
        <f aca="false">Flows!B53</f>
        <v>0.0016046994770399</v>
      </c>
      <c r="E59" s="33" t="n">
        <f aca="false">IF(ISNUMBER(D59),D59-C59,"")</f>
        <v>-3.00522960097489E-007</v>
      </c>
      <c r="F59" s="34" t="str">
        <f aca="false">IF(ISNUMBER(D59),IF(ABS(E59)&lt;=0.0000005,"PASS","FAIL"),"FAIL")</f>
        <v>PASS</v>
      </c>
      <c r="G59" s="35"/>
    </row>
    <row r="60" customFormat="false" ht="15" hidden="false" customHeight="false" outlineLevel="0" collapsed="false">
      <c r="A60" s="5" t="s">
        <v>242</v>
      </c>
      <c r="B60" s="4" t="s">
        <v>282</v>
      </c>
      <c r="C60" s="12" t="n">
        <v>39795000</v>
      </c>
      <c r="D60" s="12" t="n">
        <f aca="false">Flows!B83</f>
        <v>39795000</v>
      </c>
      <c r="E60" s="30" t="n">
        <f aca="false">IF(ISNUMBER(D60),D60-C60,"")</f>
        <v>0</v>
      </c>
      <c r="F60" s="14" t="str">
        <f aca="false">IF(ISNUMBER(D60),IF(ABS(E60)&lt;=0.5,"PASS","FAIL"),"FAIL")</f>
        <v>PASS</v>
      </c>
      <c r="G60" s="2"/>
    </row>
    <row r="61" customFormat="false" ht="15" hidden="false" customHeight="false" outlineLevel="0" collapsed="false">
      <c r="A61" s="31" t="s">
        <v>242</v>
      </c>
      <c r="B61" s="32" t="s">
        <v>283</v>
      </c>
      <c r="C61" s="19" t="n">
        <v>39401000</v>
      </c>
      <c r="D61" s="19" t="n">
        <f aca="false">Flows!B84</f>
        <v>39401000</v>
      </c>
      <c r="E61" s="33" t="n">
        <f aca="false">IF(ISNUMBER(D61),D61-C61,"")</f>
        <v>0</v>
      </c>
      <c r="F61" s="34" t="str">
        <f aca="false">IF(ISNUMBER(D61),IF(ABS(E61)&lt;=0.5,"PASS","FAIL"),"FAIL")</f>
        <v>PASS</v>
      </c>
      <c r="G61" s="35"/>
    </row>
    <row r="62" customFormat="false" ht="15" hidden="false" customHeight="false" outlineLevel="0" collapsed="false">
      <c r="A62" s="5" t="s">
        <v>242</v>
      </c>
      <c r="B62" s="4" t="s">
        <v>284</v>
      </c>
      <c r="C62" s="12" t="n">
        <v>52195000</v>
      </c>
      <c r="D62" s="12" t="n">
        <f aca="false">Flows!B85</f>
        <v>52195000</v>
      </c>
      <c r="E62" s="30" t="n">
        <f aca="false">IF(ISNUMBER(D62),D62-C62,"")</f>
        <v>0</v>
      </c>
      <c r="F62" s="14" t="str">
        <f aca="false">IF(ISNUMBER(D62),IF(ABS(E62)&lt;=0.5,"PASS","FAIL"),"FAIL")</f>
        <v>PASS</v>
      </c>
      <c r="G62" s="2"/>
    </row>
    <row r="63" customFormat="false" ht="15" hidden="false" customHeight="false" outlineLevel="0" collapsed="false">
      <c r="A63" s="31" t="s">
        <v>242</v>
      </c>
      <c r="B63" s="32" t="s">
        <v>285</v>
      </c>
      <c r="C63" s="18" t="n">
        <v>7</v>
      </c>
      <c r="D63" s="18" t="n">
        <f aca="false">Flows!B88</f>
        <v>7</v>
      </c>
      <c r="E63" s="33" t="n">
        <f aca="false">IF(ISNUMBER(D63),D63-C63,"")</f>
        <v>0</v>
      </c>
      <c r="F63" s="34" t="str">
        <f aca="false">IF(ISNUMBER(D63),IF(ABS(E63)&lt;=0,"PASS","FAIL"),"FAIL")</f>
        <v>PASS</v>
      </c>
      <c r="G63" s="35"/>
    </row>
    <row r="64" customFormat="false" ht="15" hidden="false" customHeight="false" outlineLevel="0" collapsed="false">
      <c r="A64" s="5" t="s">
        <v>242</v>
      </c>
      <c r="B64" s="4" t="s">
        <v>286</v>
      </c>
      <c r="C64" s="12" t="n">
        <v>12400000</v>
      </c>
      <c r="D64" s="12" t="n">
        <f aca="false">Flows!C85</f>
        <v>12400000</v>
      </c>
      <c r="E64" s="30" t="n">
        <f aca="false">IF(ISNUMBER(D64),D64-C64,"")</f>
        <v>0</v>
      </c>
      <c r="F64" s="14" t="str">
        <f aca="false">IF(ISNUMBER(D64),IF(ABS(E64)&lt;=0.5,"PASS","FAIL"),"FAIL")</f>
        <v>PASS</v>
      </c>
      <c r="G64" s="2"/>
    </row>
    <row r="65" customFormat="false" ht="15" hidden="false" customHeight="false" outlineLevel="0" collapsed="false">
      <c r="A65" s="31" t="s">
        <v>242</v>
      </c>
      <c r="B65" s="32" t="s">
        <v>287</v>
      </c>
      <c r="C65" s="19" t="n">
        <v>8500000</v>
      </c>
      <c r="D65" s="19" t="n">
        <f aca="false">Flows!B89</f>
        <v>8500000</v>
      </c>
      <c r="E65" s="33" t="n">
        <f aca="false">IF(ISNUMBER(D65),D65-C65,"")</f>
        <v>0</v>
      </c>
      <c r="F65" s="34" t="str">
        <f aca="false">IF(ISNUMBER(D65),IF(ABS(E65)&lt;=0.5,"PASS","FAIL"),"FAIL")</f>
        <v>PASS</v>
      </c>
      <c r="G65" s="35"/>
    </row>
    <row r="66" customFormat="false" ht="15" hidden="false" customHeight="false" outlineLevel="0" collapsed="false">
      <c r="A66" s="5" t="s">
        <v>242</v>
      </c>
      <c r="B66" s="4" t="s">
        <v>288</v>
      </c>
      <c r="C66" s="12" t="n">
        <v>3900000</v>
      </c>
      <c r="D66" s="12" t="n">
        <f aca="false">Flows!B90</f>
        <v>3900000</v>
      </c>
      <c r="E66" s="30" t="n">
        <f aca="false">IF(ISNUMBER(D66),D66-C66,"")</f>
        <v>0</v>
      </c>
      <c r="F66" s="14" t="str">
        <f aca="false">IF(ISNUMBER(D66),IF(ABS(E66)&lt;=0.5,"PASS","FAIL"),"FAIL")</f>
        <v>PASS</v>
      </c>
      <c r="G66" s="2"/>
    </row>
    <row r="67" customFormat="false" ht="15" hidden="false" customHeight="false" outlineLevel="0" collapsed="false">
      <c r="A67" s="31" t="s">
        <v>242</v>
      </c>
      <c r="B67" s="32" t="s">
        <v>289</v>
      </c>
      <c r="C67" s="37"/>
      <c r="D67" s="31" t="str">
        <f aca="false">IF(ABS(Flows!C85-Flows!B89-Flows!B90)&lt;0.01,"holds","does not hold")</f>
        <v>holds</v>
      </c>
      <c r="E67" s="37"/>
      <c r="F67" s="34" t="str">
        <f aca="false">IF(D67="holds","PASS","FAIL")</f>
        <v>PASS</v>
      </c>
      <c r="G67" s="35" t="s">
        <v>290</v>
      </c>
    </row>
    <row r="68" customFormat="false" ht="15" hidden="false" customHeight="false" outlineLevel="0" collapsed="false">
      <c r="A68" s="5" t="s">
        <v>242</v>
      </c>
      <c r="B68" s="4" t="s">
        <v>197</v>
      </c>
      <c r="C68" s="13" t="n">
        <v>2.2963</v>
      </c>
      <c r="D68" s="13" t="n">
        <f aca="false">Flows!B93</f>
        <v>2.29634138316773</v>
      </c>
      <c r="E68" s="30" t="n">
        <f aca="false">IF(ISNUMBER(D68),D68-C68,"")</f>
        <v>4.13831677303911E-005</v>
      </c>
      <c r="F68" s="14" t="str">
        <f aca="false">IF(ISNUMBER(D68),IF(ABS(E68)&lt;=0.00005,"PASS","FAIL"),"FAIL")</f>
        <v>PASS</v>
      </c>
      <c r="G68" s="2"/>
    </row>
    <row r="69" customFormat="false" ht="15" hidden="false" customHeight="false" outlineLevel="0" collapsed="false">
      <c r="A69" s="31" t="s">
        <v>242</v>
      </c>
      <c r="B69" s="32" t="s">
        <v>291</v>
      </c>
      <c r="C69" s="39" t="n">
        <v>4.9379</v>
      </c>
      <c r="D69" s="39" t="n">
        <f aca="false">Flows!B94</f>
        <v>4.93788440794677</v>
      </c>
      <c r="E69" s="33" t="n">
        <f aca="false">IF(ISNUMBER(D69),D69-C69,"")</f>
        <v>-1.55920532343146E-005</v>
      </c>
      <c r="F69" s="34" t="str">
        <f aca="false">IF(ISNUMBER(D69),IF(ABS(E69)&lt;=0.00005,"PASS","FAIL"),"FAIL")</f>
        <v>PASS</v>
      </c>
      <c r="G69" s="35"/>
    </row>
    <row r="70" customFormat="false" ht="15" hidden="false" customHeight="false" outlineLevel="0" collapsed="false">
      <c r="A70" s="5" t="s">
        <v>242</v>
      </c>
      <c r="B70" s="4" t="s">
        <v>292</v>
      </c>
      <c r="C70" s="12" t="n">
        <v>222229000</v>
      </c>
      <c r="D70" s="12" t="n">
        <f aca="false">Flows!B95</f>
        <v>222228883.607637</v>
      </c>
      <c r="E70" s="30" t="n">
        <f aca="false">IF(ISNUMBER(D70),D70-C70,"")</f>
        <v>-116.392362862825</v>
      </c>
      <c r="F70" s="14" t="str">
        <f aca="false">IF(ISNUMBER(D70),IF(ABS(E70)&lt;=500,"PASS","FAIL"),"FAIL")</f>
        <v>PASS</v>
      </c>
      <c r="G70" s="2" t="s">
        <v>293</v>
      </c>
    </row>
    <row r="71" customFormat="false" ht="15" hidden="false" customHeight="false" outlineLevel="0" collapsed="false">
      <c r="A71" s="31" t="s">
        <v>242</v>
      </c>
      <c r="B71" s="32" t="s">
        <v>294</v>
      </c>
      <c r="C71" s="19" t="n">
        <v>70259000</v>
      </c>
      <c r="D71" s="19" t="n">
        <f aca="false">Flows!B96</f>
        <v>70258883.6076371</v>
      </c>
      <c r="E71" s="33" t="n">
        <f aca="false">IF(ISNUMBER(D71),D71-C71,"")</f>
        <v>-116.392362862825</v>
      </c>
      <c r="F71" s="34" t="str">
        <f aca="false">IF(ISNUMBER(D71),IF(ABS(E71)&lt;=500,"PASS","FAIL"),"FAIL")</f>
        <v>PASS</v>
      </c>
      <c r="G71" s="35"/>
    </row>
    <row r="72" customFormat="false" ht="15" hidden="false" customHeight="false" outlineLevel="0" collapsed="false">
      <c r="A72" s="5" t="s">
        <v>242</v>
      </c>
      <c r="B72" s="4" t="s">
        <v>295</v>
      </c>
      <c r="C72" s="12" t="n">
        <v>126746000</v>
      </c>
      <c r="D72" s="12" t="n">
        <f aca="false">Flows!B97</f>
        <v>126746116.392363</v>
      </c>
      <c r="E72" s="30" t="n">
        <f aca="false">IF(ISNUMBER(D72),D72-C72,"")</f>
        <v>116.392362862825</v>
      </c>
      <c r="F72" s="14" t="str">
        <f aca="false">IF(ISNUMBER(D72),IF(ABS(E72)&lt;=500,"PASS","FAIL"),"FAIL")</f>
        <v>PASS</v>
      </c>
      <c r="G72" s="2"/>
    </row>
    <row r="73" customFormat="false" ht="15" hidden="false" customHeight="false" outlineLevel="0" collapsed="false">
      <c r="A73" s="31" t="s">
        <v>242</v>
      </c>
      <c r="B73" s="32" t="s">
        <v>296</v>
      </c>
      <c r="C73" s="19" t="n">
        <v>25349000</v>
      </c>
      <c r="D73" s="19" t="n">
        <f aca="false">Flows!B98</f>
        <v>25349223.2784726</v>
      </c>
      <c r="E73" s="33" t="n">
        <f aca="false">IF(ISNUMBER(D73),D73-C73,"")</f>
        <v>223.278472572565</v>
      </c>
      <c r="F73" s="34" t="str">
        <f aca="false">IF(ISNUMBER(D73),IF(ABS(E73)&lt;=500,"PASS","FAIL"),"FAIL")</f>
        <v>PASS</v>
      </c>
      <c r="G73" s="35" t="s">
        <v>297</v>
      </c>
    </row>
    <row r="74" customFormat="false" ht="15" hidden="false" customHeight="false" outlineLevel="0" collapsed="false">
      <c r="A74" s="5" t="s">
        <v>242</v>
      </c>
      <c r="B74" s="4" t="s">
        <v>298</v>
      </c>
      <c r="C74" s="12" t="n">
        <v>39401000</v>
      </c>
      <c r="D74" s="12" t="n">
        <f aca="false">Flows!B99</f>
        <v>39401000</v>
      </c>
      <c r="E74" s="30" t="n">
        <f aca="false">IF(ISNUMBER(D74),D74-C74,"")</f>
        <v>0</v>
      </c>
      <c r="F74" s="14" t="str">
        <f aca="false">IF(ISNUMBER(D74),IF(ABS(E74)&lt;=0.5,"PASS","FAIL"),"FAIL")</f>
        <v>PASS</v>
      </c>
      <c r="G74" s="2"/>
    </row>
    <row r="75" customFormat="false" ht="15" hidden="false" customHeight="false" outlineLevel="0" collapsed="false">
      <c r="A75" s="31" t="s">
        <v>242</v>
      </c>
      <c r="B75" s="32" t="s">
        <v>299</v>
      </c>
      <c r="C75" s="19" t="n">
        <v>14446000</v>
      </c>
      <c r="D75" s="19" t="n">
        <f aca="false">Flows!B100</f>
        <v>14445776.7215274</v>
      </c>
      <c r="E75" s="33" t="n">
        <f aca="false">IF(ISNUMBER(D75),D75-C75,"")</f>
        <v>-223.278472572565</v>
      </c>
      <c r="F75" s="34" t="str">
        <f aca="false">IF(ISNUMBER(D75),IF(ABS(E75)&lt;=500,"PASS","FAIL"),"FAIL")</f>
        <v>PASS</v>
      </c>
      <c r="G75" s="35"/>
    </row>
    <row r="76" customFormat="false" ht="15" hidden="false" customHeight="false" outlineLevel="0" collapsed="false">
      <c r="A76" s="5" t="s">
        <v>242</v>
      </c>
      <c r="B76" s="4" t="s">
        <v>300</v>
      </c>
      <c r="C76" s="12" t="n">
        <v>394000</v>
      </c>
      <c r="D76" s="12" t="n">
        <f aca="false">Flows!B101</f>
        <v>394000</v>
      </c>
      <c r="E76" s="30" t="n">
        <f aca="false">IF(ISNUMBER(D76),D76-C76,"")</f>
        <v>0</v>
      </c>
      <c r="F76" s="14" t="str">
        <f aca="false">IF(ISNUMBER(D76),IF(ABS(E76)&lt;=0.5,"PASS","FAIL"),"FAIL")</f>
        <v>PASS</v>
      </c>
      <c r="G76" s="2"/>
    </row>
    <row r="77" customFormat="false" ht="15" hidden="false" customHeight="false" outlineLevel="0" collapsed="false">
      <c r="A77" s="31" t="s">
        <v>242</v>
      </c>
      <c r="B77" s="32" t="s">
        <v>301</v>
      </c>
      <c r="C77" s="38" t="n">
        <v>0.009901</v>
      </c>
      <c r="D77" s="38" t="n">
        <f aca="false">Flows!B102</f>
        <v>0.00990074129915819</v>
      </c>
      <c r="E77" s="33" t="n">
        <f aca="false">IF(ISNUMBER(D77),D77-C77,"")</f>
        <v>-2.58700841814646E-007</v>
      </c>
      <c r="F77" s="34" t="str">
        <f aca="false">IF(ISNUMBER(D77),IF(ABS(E77)&lt;=0.0000005,"PASS","FAIL"),"FAIL")</f>
        <v>PASS</v>
      </c>
      <c r="G77" s="35"/>
    </row>
    <row r="78" customFormat="false" ht="15" hidden="false" customHeight="false" outlineLevel="0" collapsed="false">
      <c r="A78" s="5" t="s">
        <v>242</v>
      </c>
      <c r="B78" s="4" t="s">
        <v>302</v>
      </c>
      <c r="C78" s="12" t="n">
        <v>54784000</v>
      </c>
      <c r="D78" s="12" t="n">
        <f aca="false">Flows!B109</f>
        <v>54783507.2512</v>
      </c>
      <c r="E78" s="30" t="n">
        <f aca="false">IF(ISNUMBER(D78),D78-C78,"")</f>
        <v>-492.748799957335</v>
      </c>
      <c r="F78" s="14" t="str">
        <f aca="false">IF(ISNUMBER(D78),IF(ABS(E78)&lt;=500,"PASS","FAIL"),"FAIL")</f>
        <v>PASS</v>
      </c>
      <c r="G78" s="2"/>
    </row>
    <row r="79" customFormat="false" ht="15" hidden="false" customHeight="false" outlineLevel="0" collapsed="false">
      <c r="A79" s="31" t="s">
        <v>242</v>
      </c>
      <c r="B79" s="32" t="s">
        <v>303</v>
      </c>
      <c r="C79" s="19" t="n">
        <v>28444000</v>
      </c>
      <c r="D79" s="19" t="n">
        <f aca="false">Flows!C109</f>
        <v>28444298.54976</v>
      </c>
      <c r="E79" s="33" t="n">
        <f aca="false">IF(ISNUMBER(D79),D79-C79,"")</f>
        <v>298.549759991467</v>
      </c>
      <c r="F79" s="34" t="str">
        <f aca="false">IF(ISNUMBER(D79),IF(ABS(E79)&lt;=500,"PASS","FAIL"),"FAIL")</f>
        <v>PASS</v>
      </c>
      <c r="G79" s="35"/>
    </row>
    <row r="80" customFormat="false" ht="15" hidden="false" customHeight="false" outlineLevel="0" collapsed="false">
      <c r="A80" s="5" t="s">
        <v>242</v>
      </c>
      <c r="B80" s="4" t="s">
        <v>304</v>
      </c>
      <c r="C80" s="12" t="n">
        <v>89187000</v>
      </c>
      <c r="D80" s="12" t="n">
        <f aca="false">Flows!B110</f>
        <v>89187290.8577998</v>
      </c>
      <c r="E80" s="30" t="n">
        <f aca="false">IF(ISNUMBER(D80),D80-C80,"")</f>
        <v>290.857799768448</v>
      </c>
      <c r="F80" s="14" t="str">
        <f aca="false">IF(ISNUMBER(D80),IF(ABS(E80)&lt;=500,"PASS","FAIL"),"FAIL")</f>
        <v>PASS</v>
      </c>
      <c r="G80" s="2"/>
    </row>
    <row r="81" customFormat="false" ht="15" hidden="false" customHeight="false" outlineLevel="0" collapsed="false">
      <c r="A81" s="31" t="s">
        <v>242</v>
      </c>
      <c r="B81" s="32" t="s">
        <v>303</v>
      </c>
      <c r="C81" s="19" t="n">
        <v>21564000</v>
      </c>
      <c r="D81" s="19" t="n">
        <f aca="false">Flows!C110</f>
        <v>21563541.82844</v>
      </c>
      <c r="E81" s="33" t="n">
        <f aca="false">IF(ISNUMBER(D81),D81-C81,"")</f>
        <v>-458.171559952199</v>
      </c>
      <c r="F81" s="34" t="str">
        <f aca="false">IF(ISNUMBER(D81),IF(ABS(E81)&lt;=500,"PASS","FAIL"),"FAIL")</f>
        <v>PASS</v>
      </c>
      <c r="G81" s="35"/>
    </row>
    <row r="82" customFormat="false" ht="15" hidden="false" customHeight="false" outlineLevel="0" collapsed="false">
      <c r="A82" s="5" t="s">
        <v>242</v>
      </c>
      <c r="B82" s="4" t="s">
        <v>207</v>
      </c>
      <c r="C82" s="12" t="n">
        <v>26846000</v>
      </c>
      <c r="D82" s="12" t="n">
        <f aca="false">Flows!B103</f>
        <v>26845776.7215274</v>
      </c>
      <c r="E82" s="30" t="n">
        <f aca="false">IF(ISNUMBER(D82),D82-C82,"")</f>
        <v>-223.278472572565</v>
      </c>
      <c r="F82" s="14" t="str">
        <f aca="false">IF(ISNUMBER(D82),IF(ABS(E82)&lt;=500,"PASS","FAIL"),"FAIL")</f>
        <v>PASS</v>
      </c>
      <c r="G82" s="2"/>
    </row>
    <row r="83" customFormat="false" ht="15" hidden="false" customHeight="false" outlineLevel="0" collapsed="false">
      <c r="A83" s="31" t="s">
        <v>242</v>
      </c>
      <c r="B83" s="32" t="s">
        <v>305</v>
      </c>
      <c r="C83" s="39" t="n">
        <v>2.0591</v>
      </c>
      <c r="D83" s="39" t="n">
        <f aca="false">Flows!B104</f>
        <v>2.05903744768092</v>
      </c>
      <c r="E83" s="33" t="n">
        <f aca="false">IF(ISNUMBER(D83),D83-C83,"")</f>
        <v>-6.2552319076925E-005</v>
      </c>
      <c r="F83" s="34" t="str">
        <f aca="false">IF(ISNUMBER(D83),IF(ABS(E83)&lt;=0.0001,"PASS","FAIL"),"FAIL")</f>
        <v>PASS</v>
      </c>
      <c r="G83" s="35" t="s">
        <v>306</v>
      </c>
    </row>
    <row r="84" customFormat="false" ht="15" hidden="false" customHeight="false" outlineLevel="0" collapsed="false">
      <c r="A84" s="5" t="s">
        <v>242</v>
      </c>
      <c r="B84" s="4" t="s">
        <v>307</v>
      </c>
      <c r="D84" s="5" t="str">
        <f aca="false">IF(Flows!B105&gt;1,"holds","does not hold")</f>
        <v>holds</v>
      </c>
      <c r="F84" s="14" t="str">
        <f aca="false">IF(D84="holds","PASS","FAIL")</f>
        <v>PASS</v>
      </c>
      <c r="G84" s="2"/>
    </row>
    <row r="85" customFormat="false" ht="15" hidden="false" customHeight="false" outlineLevel="0" collapsed="false">
      <c r="A85" s="31" t="s">
        <v>242</v>
      </c>
      <c r="B85" s="32" t="s">
        <v>308</v>
      </c>
      <c r="C85" s="37"/>
      <c r="D85" s="31" t="str">
        <f aca="false">IF(Flows!B106&gt;35,"holds","does not hold")</f>
        <v>holds</v>
      </c>
      <c r="E85" s="37"/>
      <c r="F85" s="34" t="str">
        <f aca="false">IF(D85="holds","PASS","FAIL")</f>
        <v>PASS</v>
      </c>
      <c r="G85" s="35"/>
    </row>
    <row r="86" customFormat="false" ht="15" hidden="false" customHeight="false" outlineLevel="0" collapsed="false">
      <c r="A86" s="5" t="s">
        <v>309</v>
      </c>
      <c r="B86" s="4" t="s">
        <v>310</v>
      </c>
      <c r="C86" s="20" t="n">
        <v>1.101026</v>
      </c>
      <c r="D86" s="20" t="n">
        <f aca="false">Flows!G114</f>
        <v>1.10102564102564</v>
      </c>
      <c r="E86" s="30" t="n">
        <f aca="false">IF(ISNUMBER(D86),D86-C86,"")</f>
        <v>-3.58974359127018E-007</v>
      </c>
      <c r="F86" s="14" t="str">
        <f aca="false">IF(ISNUMBER(D86),IF(ABS(E86)&lt;=0.0000005,"PASS","FAIL"),"FAIL")</f>
        <v>PASS</v>
      </c>
      <c r="G86" s="2"/>
    </row>
    <row r="87" customFormat="false" ht="15" hidden="false" customHeight="false" outlineLevel="0" collapsed="false">
      <c r="A87" s="31" t="s">
        <v>309</v>
      </c>
      <c r="B87" s="32" t="s">
        <v>311</v>
      </c>
      <c r="C87" s="38" t="n">
        <v>0.385926</v>
      </c>
      <c r="D87" s="38" t="n">
        <f aca="false">Flows!G115</f>
        <v>0.385925925925926</v>
      </c>
      <c r="E87" s="33" t="n">
        <f aca="false">IF(ISNUMBER(D87),D87-C87,"")</f>
        <v>-7.40740740412527E-008</v>
      </c>
      <c r="F87" s="34" t="str">
        <f aca="false">IF(ISNUMBER(D87),IF(ABS(E87)&lt;=0.0000005,"PASS","FAIL"),"FAIL")</f>
        <v>PASS</v>
      </c>
      <c r="G87" s="35"/>
    </row>
    <row r="88" customFormat="false" ht="15" hidden="false" customHeight="false" outlineLevel="0" collapsed="false">
      <c r="A88" s="5" t="s">
        <v>309</v>
      </c>
      <c r="B88" s="4" t="s">
        <v>312</v>
      </c>
      <c r="C88" s="20" t="n">
        <v>0.303658</v>
      </c>
      <c r="D88" s="20" t="n">
        <f aca="false">Flows!G116</f>
        <v>0.303657817109145</v>
      </c>
      <c r="E88" s="30" t="n">
        <f aca="false">IF(ISNUMBER(D88),D88-C88,"")</f>
        <v>-1.82890855460194E-007</v>
      </c>
      <c r="F88" s="14" t="str">
        <f aca="false">IF(ISNUMBER(D88),IF(ABS(E88)&lt;=0.0000005,"PASS","FAIL"),"FAIL")</f>
        <v>PASS</v>
      </c>
      <c r="G88" s="2"/>
    </row>
    <row r="89" customFormat="false" ht="15" hidden="false" customHeight="false" outlineLevel="0" collapsed="false">
      <c r="A89" s="31" t="s">
        <v>309</v>
      </c>
      <c r="B89" s="32" t="s">
        <v>313</v>
      </c>
      <c r="C89" s="38" t="n">
        <v>0.280421</v>
      </c>
      <c r="D89" s="38" t="n">
        <f aca="false">Flows!G117</f>
        <v>0.28042110081245</v>
      </c>
      <c r="E89" s="33" t="n">
        <f aca="false">IF(ISNUMBER(D89),D89-C89,"")</f>
        <v>1.00812449999044E-007</v>
      </c>
      <c r="F89" s="34" t="str">
        <f aca="false">IF(ISNUMBER(D89),IF(ABS(E89)&lt;=0.0000005,"PASS","FAIL"),"FAIL")</f>
        <v>PASS</v>
      </c>
      <c r="G89" s="35"/>
    </row>
    <row r="90" customFormat="false" ht="15" hidden="false" customHeight="false" outlineLevel="0" collapsed="false">
      <c r="A90" s="5" t="s">
        <v>309</v>
      </c>
      <c r="B90" s="4" t="s">
        <v>314</v>
      </c>
      <c r="C90" s="20" t="n">
        <v>0.254992</v>
      </c>
      <c r="D90" s="20" t="n">
        <f aca="false">Flows!G118</f>
        <v>0.254992175273865</v>
      </c>
      <c r="E90" s="30" t="n">
        <f aca="false">IF(ISNUMBER(D90),D90-C90,"")</f>
        <v>1.75273865421488E-007</v>
      </c>
      <c r="F90" s="14" t="str">
        <f aca="false">IF(ISNUMBER(D90),IF(ABS(E90)&lt;=0.0000005,"PASS","FAIL"),"FAIL")</f>
        <v>PASS</v>
      </c>
      <c r="G90" s="2"/>
    </row>
    <row r="91" customFormat="false" ht="15" hidden="false" customHeight="false" outlineLevel="0" collapsed="false">
      <c r="A91" s="31" t="s">
        <v>309</v>
      </c>
      <c r="B91" s="32" t="s">
        <v>315</v>
      </c>
      <c r="C91" s="19" t="n">
        <v>81470000</v>
      </c>
      <c r="D91" s="19" t="n">
        <f aca="false">Flows!E118</f>
        <v>81470000</v>
      </c>
      <c r="E91" s="33" t="n">
        <f aca="false">IF(ISNUMBER(D91),D91-C91,"")</f>
        <v>0</v>
      </c>
      <c r="F91" s="34" t="str">
        <f aca="false">IF(ISNUMBER(D91),IF(ABS(E91)&lt;=0.5,"PASS","FAIL"),"FAIL")</f>
        <v>PASS</v>
      </c>
      <c r="G91" s="35"/>
    </row>
    <row r="93" customFormat="false" ht="15" hidden="false" customHeight="false" outlineLevel="0" collapsed="false">
      <c r="B93" s="14" t="s">
        <v>316</v>
      </c>
      <c r="C93" s="40" t="n">
        <f aca="false">COUNTIF(F6:F91,"PASS")</f>
        <v>86</v>
      </c>
    </row>
    <row r="94" customFormat="false" ht="15" hidden="false" customHeight="false" outlineLevel="0" collapsed="false">
      <c r="B94" s="14" t="s">
        <v>317</v>
      </c>
      <c r="C94" s="40" t="n">
        <f aca="false">COUNTIF(F6:F91,"FAIL")</f>
        <v>0</v>
      </c>
    </row>
    <row r="95" customFormat="false" ht="15" hidden="false" customHeight="false" outlineLevel="0" collapsed="false">
      <c r="B95" s="14" t="s">
        <v>318</v>
      </c>
      <c r="C95" s="14" t="str">
        <f aca="false">IF(C93=86,"ALL OK",C94&amp;"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2026-09-24T01:20:16Z</dcterms:created>
  <dc:creator>openpyxl</dc:creator>
  <dc:description/>
  <dc:language>en-US</dc:language>
  <cp:lastModifiedBy/>
  <dcterms:modified xsi:type="dcterms:W3CDTF">2026-09-24T01:20:16Z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