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Fund" sheetId="3" state="visible" r:id="rId5"/>
    <sheet name="Ladder"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<sst xmlns="http://schemas.openxmlformats.org/spreadsheetml/2006/main" count="356" uniqueCount="263">
  <si>
    <t xml:space="preserve">Kelvinside: The Four Multiples</t>
  </si>
  <si>
    <t xml:space="preserve">Companion workbook 1 of Venture Capital, by Julian R. Sterling. julianrsterling.com/venture</t>
  </si>
  <si>
    <t xml:space="preserve">What this workbook does</t>
  </si>
  <si>
    <t xml:space="preserve">The twenty-eight lines of the fund are inputs. The four multiples, the fee schedule and its threshold, the recycling, the carried interest, the manager's take and the limited partner's net gain all follow from them by formula.</t>
  </si>
  <si>
    <t xml:space="preserve">Sheet Ladder puts the multiple and the internal rate of return on the same denominator, from the annual flows, and prices each step: the fee and the carried interest.</t>
  </si>
  <si>
    <t xml:space="preserve">The experiment to run first</t>
  </si>
  <si>
    <t xml:space="preserve">On the Inputs sheet, set Aldwyn's initial multiple and reserve multiple to 0.00, as if the best line of the fund had returned nothing. The four multiples fall together, the carried interest almost disappears, and the rates on the Ladder sheet follow. Then put them back to 42.00 and 6.00.</t>
  </si>
  <si>
    <t xml:space="preserve">The convention not to mix</t>
  </si>
  <si>
    <t xml:space="preserve">Fees are called: they sit inside the 151,970,000 of capital called and are not deducted from proceeds. Carried interest is deducted from distributions. Fund rows 47 and 48 print the limited partner's net gain both ways; they must agree, at 157,210,000. Row 86 shows the mixed reading, which counts the fee twice.</t>
  </si>
  <si>
    <t xml:space="preserve">The checks</t>
  </si>
  <si>
    <t xml:space="preserve">The Checks sheet sets each figure the book prints beside the value this workbook computes, to the precision printed. If a check reads FAIL after you change an input, that is expected: the book's figure no longer applies. With the book's inputs every check passes.</t>
  </si>
  <si>
    <t xml:space="preserve">Revised 24 September 2026.</t>
  </si>
  <si>
    <t xml:space="preserve">The workbook is now in English, like the book. The Ladder sheet carries the three rates (21.7217, 18.3357 and 15.7734 per cent) from the annual flows, and what each step costs the multiple and the rate. The fee reading of Chapter 2, the recycling of Chapter 3 and the manager's take of Chapter 13 are computed on the Fund sheet.</t>
  </si>
  <si>
    <t xml:space="preserve">Five printed figures are corrected to their exact value: the committee's shortcut is 2.2914x, not 2.2913x, so the recycling gap is 0.0351 of a turn by both routes (the book prints 0.0352 and says the routes differ); fees are 16.7043 per cent of the investable capital (16.7042); the rate falls by 13.9740 per cent at the carried step and 15.5883 per cent at the fee step (13.9738 and 15.5881 in the book); 2.6741x to 2.0612x is 22.9210 per cent of the multiple (22.9199).</t>
  </si>
  <si>
    <t xml:space="preserve">Checks are held to the printed precision: a multiple to 0.00005, a percentage to 0.00005 of a point, an amount to the unit. The first version accepted 0.05 on a multiple.</t>
  </si>
  <si>
    <t xml:space="preserve">Kelvinside Ventures Fund III: the twenty-eight lines</t>
  </si>
  <si>
    <t xml:space="preserve">Blue on pale yellow: inputs. Everything else is a formula.</t>
  </si>
  <si>
    <t xml:space="preserve">The terms of the fund</t>
  </si>
  <si>
    <t xml:space="preserve">Commitment</t>
  </si>
  <si>
    <t xml:space="preserve">Management fee, a year</t>
  </si>
  <si>
    <t xml:space="preserve">Years at the full rate on the commitment</t>
  </si>
  <si>
    <t xml:space="preserve">Carried interest</t>
  </si>
  <si>
    <t xml:space="preserve">Fund life, years</t>
  </si>
  <si>
    <t xml:space="preserve">Company</t>
  </si>
  <si>
    <t xml:space="preserve">Initial cheque</t>
  </si>
  <si>
    <t xml:space="preserve">Reserve</t>
  </si>
  <si>
    <t xml:space="preserve">Initial multiple</t>
  </si>
  <si>
    <t xml:space="preserve">Reserve multiple</t>
  </si>
  <si>
    <t xml:space="preserve">Exit year</t>
  </si>
  <si>
    <t xml:space="preserve">Invested</t>
  </si>
  <si>
    <t xml:space="preserve">Proceeds</t>
  </si>
  <si>
    <t xml:space="preserve">Multiple</t>
  </si>
  <si>
    <t xml:space="preserve">Aldwyn</t>
  </si>
  <si>
    <t xml:space="preserve">Brackenhall</t>
  </si>
  <si>
    <t xml:space="preserve">Corriemore</t>
  </si>
  <si>
    <t xml:space="preserve">Dunsyre</t>
  </si>
  <si>
    <t xml:space="preserve">Ellisland</t>
  </si>
  <si>
    <t xml:space="preserve">Fettercairn</t>
  </si>
  <si>
    <t xml:space="preserve">Glenlyon</t>
  </si>
  <si>
    <t xml:space="preserve">Hazelbank</t>
  </si>
  <si>
    <t xml:space="preserve">Inverleith</t>
  </si>
  <si>
    <t xml:space="preserve">Jedburgh</t>
  </si>
  <si>
    <t xml:space="preserve">Kirkliston</t>
  </si>
  <si>
    <t xml:space="preserve">Lauriston</t>
  </si>
  <si>
    <t xml:space="preserve">Morningside</t>
  </si>
  <si>
    <t xml:space="preserve">Newington</t>
  </si>
  <si>
    <t xml:space="preserve">Ochiltree</t>
  </si>
  <si>
    <t xml:space="preserve">Polwarth</t>
  </si>
  <si>
    <t xml:space="preserve">Quothquan</t>
  </si>
  <si>
    <t xml:space="preserve">Restalrig</t>
  </si>
  <si>
    <t xml:space="preserve">Slateford</t>
  </si>
  <si>
    <t xml:space="preserve">Torphichen</t>
  </si>
  <si>
    <t xml:space="preserve">Uddingston</t>
  </si>
  <si>
    <t xml:space="preserve">Viewforth</t>
  </si>
  <si>
    <t xml:space="preserve">Wardieburn</t>
  </si>
  <si>
    <t xml:space="preserve">Xerisburn</t>
  </si>
  <si>
    <t xml:space="preserve">Yarrowford</t>
  </si>
  <si>
    <t xml:space="preserve">Zetlandhaugh</t>
  </si>
  <si>
    <t xml:space="preserve">Abbeyhill</t>
  </si>
  <si>
    <t xml:space="preserve">Blackford</t>
  </si>
  <si>
    <t xml:space="preserve">Total</t>
  </si>
  <si>
    <t xml:space="preserve">Exit year: the year the whole position is realised, initial cheque and reserve together. A line with no reserve takes 0 in columns C and E.</t>
  </si>
  <si>
    <t xml:space="preserve">Change a cheque, a multiple or an exit year and all four workbooks move with it: each carries this same sheet.</t>
  </si>
  <si>
    <t xml:space="preserve">The fund, from the commitment to the bank account</t>
  </si>
  <si>
    <t xml:space="preserve">Fees are called: they sit inside the capital called and are not deducted from proceeds. Carried interest is deducted from distributions.</t>
  </si>
  <si>
    <t xml:space="preserve">The management fee, year by year</t>
  </si>
  <si>
    <t xml:space="preserve">Year</t>
  </si>
  <si>
    <t xml:space="preserve">Cost of positions not yet exited</t>
  </si>
  <si>
    <t xml:space="preserve">Fee</t>
  </si>
  <si>
    <t xml:space="preserve">Total fees</t>
  </si>
  <si>
    <t xml:space="preserve">As a share of the commitment</t>
  </si>
  <si>
    <t xml:space="preserve">Investable capital (commitment less fees)</t>
  </si>
  <si>
    <t xml:space="preserve">Threshold: what that capital must return to give back the commitment</t>
  </si>
  <si>
    <t xml:space="preserve">Convention: the basis after the full-rate years is the cost of every position not yet exited, reserves included, as the fund charged it (Chapter 2).</t>
  </si>
  <si>
    <t xml:space="preserve">The capital and the proceeds</t>
  </si>
  <si>
    <t xml:space="preserve">Initial cheques</t>
  </si>
  <si>
    <t xml:space="preserve">Reserves</t>
  </si>
  <si>
    <t xml:space="preserve">Total invested</t>
  </si>
  <si>
    <t xml:space="preserve">Reserves as a share of the capital invested</t>
  </si>
  <si>
    <t xml:space="preserve">Gross proceeds</t>
  </si>
  <si>
    <t xml:space="preserve">Capital called (invested plus fees)</t>
  </si>
  <si>
    <t xml:space="preserve">The four multiples of the same fund</t>
  </si>
  <si>
    <t xml:space="preserve">1. Multiple on the initial cheques</t>
  </si>
  <si>
    <t xml:space="preserve">2. Gross multiple on the capital invested</t>
  </si>
  <si>
    <t xml:space="preserve">3. Gross multiple on the commitment</t>
  </si>
  <si>
    <t xml:space="preserve">Carried interest (whole-of-fund, commitment threshold, no hurdle)</t>
  </si>
  <si>
    <t xml:space="preserve">Distributed to the limited partners</t>
  </si>
  <si>
    <t xml:space="preserve">4. Net TVPI to the limited partner (distributed over commitment)</t>
  </si>
  <si>
    <t xml:space="preserve">Spread, highest to lowest</t>
  </si>
  <si>
    <t xml:space="preserve">Ratio, highest to lowest</t>
  </si>
  <si>
    <t xml:space="preserve">What the manager takes, and the limited partner's invariant</t>
  </si>
  <si>
    <t xml:space="preserve">Fees plus carried interest</t>
  </si>
  <si>
    <t xml:space="preserve">As a share of gross proceeds</t>
  </si>
  <si>
    <t xml:space="preserve">THE LIMITED PARTNER'S NET GAIN (distributed less called)</t>
  </si>
  <si>
    <t xml:space="preserve">The same gain read on the capital invested (proceeds less fees less carried less invested)</t>
  </si>
  <si>
    <t xml:space="preserve">The two lines above must be equal: that is the invariant. Mixing the two readings counts the fee twice (row 86).</t>
  </si>
  <si>
    <t xml:space="preserve">The fee, read two ways (Chapter 2)</t>
  </si>
  <si>
    <t xml:space="preserve">Fees in the full-rate years</t>
  </si>
  <si>
    <t xml:space="preserve">  as a share of all fees</t>
  </si>
  <si>
    <t xml:space="preserve">Fees as a share of the investable capital: the gain the invested capital needs to bring the limited partner level</t>
  </si>
  <si>
    <t xml:space="preserve">The same fee rate on the commitment for the whole life, no step-down</t>
  </si>
  <si>
    <t xml:space="preserve">  investable capital without the step-down</t>
  </si>
  <si>
    <t xml:space="preserve">  threshold without the step-down</t>
  </si>
  <si>
    <t xml:space="preserve">  the threshold moves by</t>
  </si>
  <si>
    <t xml:space="preserve">What the step-down saves</t>
  </si>
  <si>
    <t xml:space="preserve">  as a share of the commitment</t>
  </si>
  <si>
    <t xml:space="preserve">Recycling (Chapter 3)</t>
  </si>
  <si>
    <t xml:space="preserve">Called above the commitment: the recycled capital</t>
  </si>
  <si>
    <t xml:space="preserve">Invested above the investable capital (the same number)</t>
  </si>
  <si>
    <t xml:space="preserve">The committee's shortcut: gross multiple on invested x investable share of the commitment</t>
  </si>
  <si>
    <t xml:space="preserve">Actual multiple on the commitment less the shortcut</t>
  </si>
  <si>
    <t xml:space="preserve">Direct route: recycled capital earning the gross multiple, over the commitment</t>
  </si>
  <si>
    <t xml:space="preserve">  in proceeds</t>
  </si>
  <si>
    <t xml:space="preserve">Break-even multiple on the capital actually at work</t>
  </si>
  <si>
    <t xml:space="preserve">  against the threshold on investable capital</t>
  </si>
  <si>
    <t xml:space="preserve">Share of the fee drag the recycling restores</t>
  </si>
  <si>
    <t xml:space="preserve">Carried paid on the recycled capital: the threshold is the commitment, not the calls</t>
  </si>
  <si>
    <t xml:space="preserve">Distributions over the capital actually called</t>
  </si>
  <si>
    <t xml:space="preserve">Fee a year on the recycled capital while it is held</t>
  </si>
  <si>
    <t xml:space="preserve">The manager's take, on four bases (Chapter 13)</t>
  </si>
  <si>
    <t xml:space="preserve">As a share of the capital called</t>
  </si>
  <si>
    <t xml:space="preserve">Gain on the capital invested (proceeds less invested)</t>
  </si>
  <si>
    <t xml:space="preserve">  take as a share of it</t>
  </si>
  <si>
    <t xml:space="preserve">Gain over the calls (proceeds less called)</t>
  </si>
  <si>
    <t xml:space="preserve">The two readings mixed: fee deducted twice (wrong, and common)</t>
  </si>
  <si>
    <t xml:space="preserve">Take as a share of the limited partner's net gain</t>
  </si>
  <si>
    <t xml:space="preserve">Carried as a share of the gain on invested</t>
  </si>
  <si>
    <t xml:space="preserve">Carried as a share of the gain over calls</t>
  </si>
  <si>
    <t xml:space="preserve">"Twenty per cent of the gain" on invested, as heard</t>
  </si>
  <si>
    <t xml:space="preserve">  actual take over that</t>
  </si>
  <si>
    <t xml:space="preserve">"Twenty per cent" of the gain over calls</t>
  </si>
  <si>
    <t xml:space="preserve">Fees a year, over the life</t>
  </si>
  <si>
    <t xml:space="preserve">Fees per position</t>
  </si>
  <si>
    <t xml:space="preserve">The like-for-like ladder</t>
  </si>
  <si>
    <t xml:space="preserve">A multiple and a rate compare only on a common denominator.</t>
  </si>
  <si>
    <t xml:space="preserve">Stage</t>
  </si>
  <si>
    <t xml:space="preserve">Capital base</t>
  </si>
  <si>
    <t xml:space="preserve">IRR</t>
  </si>
  <si>
    <t xml:space="preserve">Before fee and carried, on the capital invested</t>
  </si>
  <si>
    <t xml:space="preserve">After fee, before carried, on the capital called</t>
  </si>
  <si>
    <t xml:space="preserve">After fee and carried, on the capital called</t>
  </si>
  <si>
    <t xml:space="preserve">What each step costs</t>
  </si>
  <si>
    <t xml:space="preserve">Share of the multiple</t>
  </si>
  <si>
    <t xml:space="preserve">Share of the IRR</t>
  </si>
  <si>
    <t xml:space="preserve">Points of IRR</t>
  </si>
  <si>
    <t xml:space="preserve">The fee step</t>
  </si>
  <si>
    <t xml:space="preserve">The carried step</t>
  </si>
  <si>
    <t xml:space="preserve">The comparison usually made: 2.6741x to 2.0612x, and gross IRR to net IRR</t>
  </si>
  <si>
    <t xml:space="preserve">Row 14 compares a two-step journey on the multiple with a one-step journey on the rate. Rows 12 and 13 are the like-for-like reading: the rate gives up more, proportionally, at both steps.</t>
  </si>
  <si>
    <t xml:space="preserve">The four numbers, side by side</t>
  </si>
  <si>
    <t xml:space="preserve">The question it answers</t>
  </si>
  <si>
    <t xml:space="preserve">1. Initial cheques alone</t>
  </si>
  <si>
    <t xml:space="preserve">Can this manager price a first round?</t>
  </si>
  <si>
    <t xml:space="preserve">2. Capital invested</t>
  </si>
  <si>
    <t xml:space="preserve">What did the money that reached companies do?</t>
  </si>
  <si>
    <t xml:space="preserve">3. Commitment</t>
  </si>
  <si>
    <t xml:space="preserve">What did the fund do with the money promised?</t>
  </si>
  <si>
    <t xml:space="preserve">4. Net TVPI</t>
  </si>
  <si>
    <t xml:space="preserve">What arrived, after the manager's share of the upside?</t>
  </si>
  <si>
    <t xml:space="preserve">The annual flows behind the rates</t>
  </si>
  <si>
    <t xml:space="preserve">Column B, the investment schedule, is an input: the book's, Chapter 15. It must add up to the capital invested (Checks).</t>
  </si>
  <si>
    <t xml:space="preserve">Called</t>
  </si>
  <si>
    <t xml:space="preserve">Distributed, gross</t>
  </si>
  <si>
    <t xml:space="preserve">Carried in the year</t>
  </si>
  <si>
    <t xml:space="preserve">Net before fee</t>
  </si>
  <si>
    <t xml:space="preserve">Net before carried</t>
  </si>
  <si>
    <t xml:space="preserve">Net to the limited partner</t>
  </si>
  <si>
    <t xml:space="preserve">The first call: the fee as a share of it</t>
  </si>
  <si>
    <t xml:space="preserve">Fees in the full-rate years, as a share of all fees</t>
  </si>
  <si>
    <t xml:space="preserve">Checks</t>
  </si>
  <si>
    <t xml:space="preserve">Each line sets a figure printed in the book beside the value this workbook computes, to the precision printed. The notes say where the book is revised.</t>
  </si>
  <si>
    <t xml:space="preserve">Ch.</t>
  </si>
  <si>
    <t xml:space="preserve">Figure</t>
  </si>
  <si>
    <t xml:space="preserve">The book</t>
  </si>
  <si>
    <t xml:space="preserve">This workbook</t>
  </si>
  <si>
    <t xml:space="preserve">Difference</t>
  </si>
  <si>
    <t xml:space="preserve">Result</t>
  </si>
  <si>
    <t xml:space="preserve">Note</t>
  </si>
  <si>
    <t xml:space="preserve">1</t>
  </si>
  <si>
    <t xml:space="preserve">Multiple on the initial cheques</t>
  </si>
  <si>
    <t xml:space="preserve">Gross multiple on the capital invested</t>
  </si>
  <si>
    <t xml:space="preserve">Gross multiple on the commitment</t>
  </si>
  <si>
    <t xml:space="preserve">Net TVPI to the limited partner</t>
  </si>
  <si>
    <t xml:space="preserve">Spread, highest to lowest, in turns</t>
  </si>
  <si>
    <t xml:space="preserve">Proceeds of the initial cheques</t>
  </si>
  <si>
    <t xml:space="preserve">Commitment less fee, the investable capital</t>
  </si>
  <si>
    <t xml:space="preserve">Proceeds net of everything the manager took (not the bank statement)</t>
  </si>
  <si>
    <t xml:space="preserve">2</t>
  </si>
  <si>
    <t xml:space="preserve">Management fees over ten years</t>
  </si>
  <si>
    <t xml:space="preserve">Fee in year 6, on 104,500,000 of positions not yet exited</t>
  </si>
  <si>
    <t xml:space="preserve">Fee in year 10, two positions left</t>
  </si>
  <si>
    <t xml:space="preserve">Fees in the second five years</t>
  </si>
  <si>
    <t xml:space="preserve">Fees as a share of the commitment</t>
  </si>
  <si>
    <t xml:space="preserve">Share of all fees in the first five years</t>
  </si>
  <si>
    <t xml:space="preserve">The first call: 3,000,000 of 19,000,000</t>
  </si>
  <si>
    <t xml:space="preserve">Threshold multiple on the investable capital</t>
  </si>
  <si>
    <t xml:space="preserve">Fees over the investable capital: the gain needed to be level</t>
  </si>
  <si>
    <t xml:space="preserve">revised: the book prints 16.7042, truncated</t>
  </si>
  <si>
    <t xml:space="preserve">Flat fee for ten years</t>
  </si>
  <si>
    <t xml:space="preserve">Threshold without the step-down</t>
  </si>
  <si>
    <t xml:space="preserve">The threshold moves by</t>
  </si>
  <si>
    <t xml:space="preserve">The 8,530,000 at the gross multiple (an illustration)</t>
  </si>
  <si>
    <t xml:space="preserve">the book prints 22,810,073: 8,530,000 x 2.6741, the rounded multiple</t>
  </si>
  <si>
    <t xml:space="preserve">3</t>
  </si>
  <si>
    <t xml:space="preserve">Capital called</t>
  </si>
  <si>
    <t xml:space="preserve">Capital invested</t>
  </si>
  <si>
    <t xml:space="preserve">Recycled: called above the commitment</t>
  </si>
  <si>
    <t xml:space="preserve">The same excess on the investment side</t>
  </si>
  <si>
    <t xml:space="preserve">calls are investments plus fees</t>
  </si>
  <si>
    <t xml:space="preserve">The committee's shortcut</t>
  </si>
  <si>
    <t xml:space="preserve">revised: the book prints 2.2913, truncated</t>
  </si>
  <si>
    <t xml:space="preserve">Actual less shortcut, in turns</t>
  </si>
  <si>
    <t xml:space="preserve">revised: the book prints 0.0352, from the truncated 2.2913</t>
  </si>
  <si>
    <t xml:space="preserve">Direct route: recycled capital at the gross multiple, over the commitment</t>
  </si>
  <si>
    <t xml:space="preserve">The two routes are one identity</t>
  </si>
  <si>
    <t xml:space="preserve">revised: the book says they disagree in the fourth decimal</t>
  </si>
  <si>
    <t xml:space="preserve">Proceeds from the recycled capital at the gross multiple</t>
  </si>
  <si>
    <t xml:space="preserve">revised: the book prints 5,268,977</t>
  </si>
  <si>
    <t xml:space="preserve">Break-even multiple on the capital at work</t>
  </si>
  <si>
    <t xml:space="preserve">  below the threshold on investable capital by</t>
  </si>
  <si>
    <t xml:space="preserve">Carried paid on the recycled 1,970,000</t>
  </si>
  <si>
    <t xml:space="preserve">Distributions over the capital called</t>
  </si>
  <si>
    <t xml:space="preserve">Fee a year on the recycled capital</t>
  </si>
  <si>
    <t xml:space="preserve">13</t>
  </si>
  <si>
    <t xml:space="preserve">  as a share of gross proceeds</t>
  </si>
  <si>
    <t xml:space="preserve">  as a share of the capital called</t>
  </si>
  <si>
    <t xml:space="preserve">  as a share of the gain on invested capital</t>
  </si>
  <si>
    <t xml:space="preserve">  as a share of the gain over calls</t>
  </si>
  <si>
    <t xml:space="preserve">  as a share of the limited partner's net gain</t>
  </si>
  <si>
    <t xml:space="preserve">Take over "twenty per cent" of the gain on invested</t>
  </si>
  <si>
    <t xml:space="preserve">Take over "twenty per cent" of the gain over calls</t>
  </si>
  <si>
    <t xml:space="preserve">The limited partner's net gain, distributed less called</t>
  </si>
  <si>
    <t xml:space="preserve">The same gain on the capital invested</t>
  </si>
  <si>
    <t xml:space="preserve">The invariant: both readings agree</t>
  </si>
  <si>
    <t xml:space="preserve">any inputs</t>
  </si>
  <si>
    <t xml:space="preserve">The mixed reading understates the gain by exactly the fees</t>
  </si>
  <si>
    <t xml:space="preserve">Table 7, third line</t>
  </si>
  <si>
    <t xml:space="preserve">Fees a year</t>
  </si>
  <si>
    <t xml:space="preserve">15</t>
  </si>
  <si>
    <t xml:space="preserve">Before fee and carried, on invested: IRR</t>
  </si>
  <si>
    <t xml:space="preserve">After fee, before carried: gross IRR</t>
  </si>
  <si>
    <t xml:space="preserve">After fee and carried: net IRR</t>
  </si>
  <si>
    <t xml:space="preserve">Multiple on called, before carried</t>
  </si>
  <si>
    <t xml:space="preserve">Multiple on called, after carried</t>
  </si>
  <si>
    <t xml:space="preserve">Fee step, share of the multiple</t>
  </si>
  <si>
    <t xml:space="preserve">Fee step, share of the IRR</t>
  </si>
  <si>
    <t xml:space="preserve">revised: the book prints 15.5881, from the rounded rates</t>
  </si>
  <si>
    <t xml:space="preserve">Fee step, points of IRR</t>
  </si>
  <si>
    <t xml:space="preserve">Carried step, share of the multiple</t>
  </si>
  <si>
    <t xml:space="preserve">Carried step, share of the IRR</t>
  </si>
  <si>
    <t xml:space="preserve">revised: the book prints 13.9738, from the rounded rates</t>
  </si>
  <si>
    <t xml:space="preserve">Carried step, points of IRR</t>
  </si>
  <si>
    <t xml:space="preserve">2.6741x to 2.0612x, share of the multiple</t>
  </si>
  <si>
    <t xml:space="preserve">revised: the book prints 22.9199 (0.6129 / 2.6741, rounded figures)</t>
  </si>
  <si>
    <t xml:space="preserve">Fall in the multiple, in turns</t>
  </si>
  <si>
    <t xml:space="preserve">Investment schedule adds up to the capital invested</t>
  </si>
  <si>
    <t xml:space="preserve">the schedule is an input, the positions are another</t>
  </si>
  <si>
    <t xml:space="preserve">Calls add up to invested plus fees</t>
  </si>
  <si>
    <t xml:space="preserve">Carried by year adds up to the carried</t>
  </si>
  <si>
    <t xml:space="preserve">Net to the LP totals the limited partner's net gain</t>
  </si>
  <si>
    <t xml:space="preserve">Checks that pass</t>
  </si>
  <si>
    <t xml:space="preserve">Checks that fail</t>
  </si>
  <si>
    <t xml:space="preserve">All checks</t>
  </si>
</sst>
</file>

<file path=xl/styles.xml><?xml version="1.0" encoding="utf-8"?>
<styleSheet xmlns="http://schemas.openxmlformats.org/spreadsheetml/2006/main">
  <numFmts count="10">
    <numFmt numFmtId="164" formatCode="General"/>
    <numFmt numFmtId="165" formatCode="#,##0;\-#,##0"/>
    <numFmt numFmtId="166" formatCode="0.00%"/>
    <numFmt numFmtId="167" formatCode="0"/>
    <numFmt numFmtId="168" formatCode="0.00"/>
    <numFmt numFmtId="169" formatCode="0.0000\x"/>
    <numFmt numFmtId="170" formatCode="0.0000%"/>
    <numFmt numFmtId="171" formatCode="0.0000"/>
    <numFmt numFmtId="172" formatCode="#,##0.00;\-#,##0.00"/>
    <numFmt numFmtId="173" formatCode="0.000000"/>
  </numFmts>
  <fonts count="11">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3">
    <border diagonalUp="false" diagonalDown="false">
      <left/>
      <right/>
      <top/>
      <bottom/>
      <diagonal/>
    </border>
    <border diagonalUp="false" diagonalDown="false">
      <left/>
      <right/>
      <top/>
      <bottom style="thin">
        <color rgb="FF1F4E5F"/>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2" xfId="0" applyFont="true" applyBorder="true" applyAlignment="false" applyProtection="false">
      <alignment horizontal="general"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7" fontId="8"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false" applyProtection="false">
      <alignment horizontal="general" vertical="bottom" textRotation="0" wrapText="false" indent="0" shrinkToFit="false"/>
      <protection locked="true" hidden="false"/>
    </xf>
    <xf numFmtId="168" fontId="8" fillId="2" borderId="2"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72" fontId="8" fillId="2" borderId="2" xfId="0" applyFont="true" applyBorder="tru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3B2"/>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45" hidden="false" customHeight="true" outlineLevel="0" collapsed="false">
      <c r="A7" s="4" t="s">
        <v>3</v>
      </c>
    </row>
    <row r="8" customFormat="false" ht="30" hidden="false" customHeight="true" outlineLevel="0" collapsed="false">
      <c r="A8" s="4" t="s">
        <v>4</v>
      </c>
    </row>
    <row r="10" customFormat="false" ht="15" hidden="false" customHeight="false" outlineLevel="0" collapsed="false">
      <c r="A10" s="3" t="s">
        <v>5</v>
      </c>
    </row>
    <row r="12" customFormat="false" ht="45" hidden="false" customHeight="true" outlineLevel="0" collapsed="false">
      <c r="A12" s="4" t="s">
        <v>6</v>
      </c>
    </row>
    <row r="14" customFormat="false" ht="15" hidden="false" customHeight="false" outlineLevel="0" collapsed="false">
      <c r="A14" s="3" t="s">
        <v>7</v>
      </c>
    </row>
    <row r="16" customFormat="false" ht="60" hidden="false" customHeight="true" outlineLevel="0" collapsed="false">
      <c r="A16" s="4" t="s">
        <v>8</v>
      </c>
    </row>
    <row r="18" customFormat="false" ht="15" hidden="false" customHeight="false" outlineLevel="0" collapsed="false">
      <c r="A18" s="3" t="s">
        <v>9</v>
      </c>
    </row>
    <row r="20" customFormat="false" ht="45" hidden="false" customHeight="true" outlineLevel="0" collapsed="false">
      <c r="A20" s="4" t="s">
        <v>10</v>
      </c>
    </row>
    <row r="22" customFormat="false" ht="15" hidden="false" customHeight="false" outlineLevel="0" collapsed="false">
      <c r="A22" s="3" t="s">
        <v>11</v>
      </c>
    </row>
    <row r="24" customFormat="false" ht="60" hidden="false" customHeight="true" outlineLevel="0" collapsed="false">
      <c r="A24" s="4" t="s">
        <v>12</v>
      </c>
    </row>
    <row r="25" customFormat="false" ht="75" hidden="false" customHeight="true" outlineLevel="0" collapsed="false">
      <c r="A25" s="4" t="s">
        <v>13</v>
      </c>
    </row>
    <row r="26" customFormat="false" ht="30" hidden="false" customHeight="true" outlineLevel="0" collapsed="false">
      <c r="A26"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3" min="2" style="0" width="16"/>
    <col collapsed="false" customWidth="true" hidden="false" outlineLevel="0" max="5" min="4" style="0" width="14"/>
    <col collapsed="false" customWidth="true" hidden="false" outlineLevel="0" max="6" min="6" style="0" width="10"/>
    <col collapsed="false" customWidth="true" hidden="false" outlineLevel="0" max="8" min="7" style="0" width="18"/>
    <col collapsed="false" customWidth="true" hidden="false" outlineLevel="0" max="9" min="9" style="0" width="12"/>
  </cols>
  <sheetData>
    <row r="1" customFormat="false" ht="19.7" hidden="false" customHeight="false" outlineLevel="0" collapsed="false">
      <c r="A1" s="1" t="s">
        <v>15</v>
      </c>
    </row>
    <row r="2" customFormat="false" ht="15" hidden="false" customHeight="false" outlineLevel="0" collapsed="false">
      <c r="A2" s="2" t="s">
        <v>16</v>
      </c>
    </row>
    <row r="5" customFormat="false" ht="15" hidden="false" customHeight="false" outlineLevel="0" collapsed="false">
      <c r="A5" s="3" t="s">
        <v>17</v>
      </c>
    </row>
    <row r="7" customFormat="false" ht="15" hidden="false" customHeight="false" outlineLevel="0" collapsed="false">
      <c r="A7" s="5" t="s">
        <v>18</v>
      </c>
      <c r="B7" s="6" t="n">
        <v>150000000</v>
      </c>
    </row>
    <row r="8" customFormat="false" ht="15" hidden="false" customHeight="false" outlineLevel="0" collapsed="false">
      <c r="A8" s="5" t="s">
        <v>19</v>
      </c>
      <c r="B8" s="7" t="n">
        <v>0.02</v>
      </c>
    </row>
    <row r="9" customFormat="false" ht="15" hidden="false" customHeight="false" outlineLevel="0" collapsed="false">
      <c r="A9" s="5" t="s">
        <v>20</v>
      </c>
      <c r="B9" s="8" t="n">
        <v>5</v>
      </c>
    </row>
    <row r="10" customFormat="false" ht="15" hidden="false" customHeight="false" outlineLevel="0" collapsed="false">
      <c r="A10" s="5" t="s">
        <v>21</v>
      </c>
      <c r="B10" s="7" t="n">
        <v>0.2</v>
      </c>
    </row>
    <row r="11" customFormat="false" ht="15" hidden="false" customHeight="false" outlineLevel="0" collapsed="false">
      <c r="A11" s="5" t="s">
        <v>22</v>
      </c>
      <c r="B11" s="8" t="n">
        <v>10</v>
      </c>
    </row>
    <row r="13" customFormat="false" ht="23.85" hidden="false" customHeight="false" outlineLevel="0" collapsed="false">
      <c r="A13" s="9" t="s">
        <v>23</v>
      </c>
      <c r="B13" s="9" t="s">
        <v>24</v>
      </c>
      <c r="C13" s="9" t="s">
        <v>25</v>
      </c>
      <c r="D13" s="9" t="s">
        <v>26</v>
      </c>
      <c r="E13" s="9" t="s">
        <v>27</v>
      </c>
      <c r="F13" s="9" t="s">
        <v>28</v>
      </c>
      <c r="G13" s="9" t="s">
        <v>29</v>
      </c>
      <c r="H13" s="9" t="s">
        <v>30</v>
      </c>
      <c r="I13" s="9" t="s">
        <v>31</v>
      </c>
    </row>
    <row r="14" customFormat="false" ht="15" hidden="false" customHeight="false" outlineLevel="0" collapsed="false">
      <c r="A14" s="10" t="s">
        <v>32</v>
      </c>
      <c r="B14" s="6" t="n">
        <v>3000000</v>
      </c>
      <c r="C14" s="6" t="n">
        <v>12000000</v>
      </c>
      <c r="D14" s="11" t="n">
        <v>42</v>
      </c>
      <c r="E14" s="11" t="n">
        <v>6</v>
      </c>
      <c r="F14" s="8" t="n">
        <v>9</v>
      </c>
      <c r="G14" s="12" t="n">
        <f aca="false">B14+C14</f>
        <v>15000000</v>
      </c>
      <c r="H14" s="12" t="n">
        <f aca="false">B14*D14+C14*E14</f>
        <v>198000000</v>
      </c>
      <c r="I14" s="13" t="n">
        <f aca="false">IF(G14=0,"",H14/G14)</f>
        <v>13.2</v>
      </c>
    </row>
    <row r="15" customFormat="false" ht="15" hidden="false" customHeight="false" outlineLevel="0" collapsed="false">
      <c r="A15" s="10" t="s">
        <v>33</v>
      </c>
      <c r="B15" s="6" t="n">
        <v>2500000</v>
      </c>
      <c r="C15" s="6" t="n">
        <v>9000000</v>
      </c>
      <c r="D15" s="11" t="n">
        <v>14</v>
      </c>
      <c r="E15" s="11" t="n">
        <v>2</v>
      </c>
      <c r="F15" s="8" t="n">
        <v>8</v>
      </c>
      <c r="G15" s="12" t="n">
        <f aca="false">B15+C15</f>
        <v>11500000</v>
      </c>
      <c r="H15" s="12" t="n">
        <f aca="false">B15*D15+C15*E15</f>
        <v>53000000</v>
      </c>
      <c r="I15" s="13" t="n">
        <f aca="false">IF(G15=0,"",H15/G15)</f>
        <v>4.60869565217391</v>
      </c>
    </row>
    <row r="16" customFormat="false" ht="15" hidden="false" customHeight="false" outlineLevel="0" collapsed="false">
      <c r="A16" s="10" t="s">
        <v>34</v>
      </c>
      <c r="B16" s="6" t="n">
        <v>3000000</v>
      </c>
      <c r="C16" s="6" t="n">
        <v>7500000</v>
      </c>
      <c r="D16" s="11" t="n">
        <v>6.2</v>
      </c>
      <c r="E16" s="11" t="n">
        <v>1.3</v>
      </c>
      <c r="F16" s="8" t="n">
        <v>9</v>
      </c>
      <c r="G16" s="12" t="n">
        <f aca="false">B16+C16</f>
        <v>10500000</v>
      </c>
      <c r="H16" s="12" t="n">
        <f aca="false">B16*D16+C16*E16</f>
        <v>28350000</v>
      </c>
      <c r="I16" s="13" t="n">
        <f aca="false">IF(G16=0,"",H16/G16)</f>
        <v>2.7</v>
      </c>
    </row>
    <row r="17" customFormat="false" ht="15" hidden="false" customHeight="false" outlineLevel="0" collapsed="false">
      <c r="A17" s="10" t="s">
        <v>35</v>
      </c>
      <c r="B17" s="6" t="n">
        <v>2500000</v>
      </c>
      <c r="C17" s="6" t="n">
        <v>6000000</v>
      </c>
      <c r="D17" s="11" t="n">
        <v>4.4</v>
      </c>
      <c r="E17" s="11" t="n">
        <v>1</v>
      </c>
      <c r="F17" s="8" t="n">
        <v>7</v>
      </c>
      <c r="G17" s="12" t="n">
        <f aca="false">B17+C17</f>
        <v>8500000</v>
      </c>
      <c r="H17" s="12" t="n">
        <f aca="false">B17*D17+C17*E17</f>
        <v>17000000</v>
      </c>
      <c r="I17" s="13" t="n">
        <f aca="false">IF(G17=0,"",H17/G17)</f>
        <v>2</v>
      </c>
    </row>
    <row r="18" customFormat="false" ht="15" hidden="false" customHeight="false" outlineLevel="0" collapsed="false">
      <c r="A18" s="10" t="s">
        <v>36</v>
      </c>
      <c r="B18" s="6" t="n">
        <v>2500000</v>
      </c>
      <c r="C18" s="6" t="n">
        <v>5500000</v>
      </c>
      <c r="D18" s="11" t="n">
        <v>3.6</v>
      </c>
      <c r="E18" s="11" t="n">
        <v>0.85</v>
      </c>
      <c r="F18" s="8" t="n">
        <v>8</v>
      </c>
      <c r="G18" s="12" t="n">
        <f aca="false">B18+C18</f>
        <v>8000000</v>
      </c>
      <c r="H18" s="12" t="n">
        <f aca="false">B18*D18+C18*E18</f>
        <v>13675000</v>
      </c>
      <c r="I18" s="13" t="n">
        <f aca="false">IF(G18=0,"",H18/G18)</f>
        <v>1.709375</v>
      </c>
    </row>
    <row r="19" customFormat="false" ht="15" hidden="false" customHeight="false" outlineLevel="0" collapsed="false">
      <c r="A19" s="10" t="s">
        <v>37</v>
      </c>
      <c r="B19" s="6" t="n">
        <v>2500000</v>
      </c>
      <c r="C19" s="6" t="n">
        <v>5000000</v>
      </c>
      <c r="D19" s="11" t="n">
        <v>2.8</v>
      </c>
      <c r="E19" s="11" t="n">
        <v>0.7</v>
      </c>
      <c r="F19" s="8" t="n">
        <v>10</v>
      </c>
      <c r="G19" s="12" t="n">
        <f aca="false">B19+C19</f>
        <v>7500000</v>
      </c>
      <c r="H19" s="12" t="n">
        <f aca="false">B19*D19+C19*E19</f>
        <v>10500000</v>
      </c>
      <c r="I19" s="13" t="n">
        <f aca="false">IF(G19=0,"",H19/G19)</f>
        <v>1.4</v>
      </c>
    </row>
    <row r="20" customFormat="false" ht="15" hidden="false" customHeight="false" outlineLevel="0" collapsed="false">
      <c r="A20" s="10" t="s">
        <v>38</v>
      </c>
      <c r="B20" s="6" t="n">
        <v>2500000</v>
      </c>
      <c r="C20" s="6" t="n">
        <v>4500000</v>
      </c>
      <c r="D20" s="11" t="n">
        <v>2.3</v>
      </c>
      <c r="E20" s="11" t="n">
        <v>0.6</v>
      </c>
      <c r="F20" s="8" t="n">
        <v>7</v>
      </c>
      <c r="G20" s="12" t="n">
        <f aca="false">B20+C20</f>
        <v>7000000</v>
      </c>
      <c r="H20" s="12" t="n">
        <f aca="false">B20*D20+C20*E20</f>
        <v>8450000</v>
      </c>
      <c r="I20" s="13" t="n">
        <f aca="false">IF(G20=0,"",H20/G20)</f>
        <v>1.20714285714286</v>
      </c>
    </row>
    <row r="21" customFormat="false" ht="15" hidden="false" customHeight="false" outlineLevel="0" collapsed="false">
      <c r="A21" s="10" t="s">
        <v>39</v>
      </c>
      <c r="B21" s="6" t="n">
        <v>2500000</v>
      </c>
      <c r="C21" s="6" t="n">
        <v>4000000</v>
      </c>
      <c r="D21" s="11" t="n">
        <v>1.7</v>
      </c>
      <c r="E21" s="11" t="n">
        <v>0.45</v>
      </c>
      <c r="F21" s="8" t="n">
        <v>9</v>
      </c>
      <c r="G21" s="12" t="n">
        <f aca="false">B21+C21</f>
        <v>6500000</v>
      </c>
      <c r="H21" s="12" t="n">
        <f aca="false">B21*D21+C21*E21</f>
        <v>6050000</v>
      </c>
      <c r="I21" s="13" t="n">
        <f aca="false">IF(G21=0,"",H21/G21)</f>
        <v>0.930769230769231</v>
      </c>
    </row>
    <row r="22" customFormat="false" ht="15" hidden="false" customHeight="false" outlineLevel="0" collapsed="false">
      <c r="A22" s="10" t="s">
        <v>40</v>
      </c>
      <c r="B22" s="6" t="n">
        <v>2500000</v>
      </c>
      <c r="C22" s="6" t="n">
        <v>3500000</v>
      </c>
      <c r="D22" s="11" t="n">
        <v>1.3</v>
      </c>
      <c r="E22" s="11" t="n">
        <v>0.35</v>
      </c>
      <c r="F22" s="8" t="n">
        <v>8</v>
      </c>
      <c r="G22" s="12" t="n">
        <f aca="false">B22+C22</f>
        <v>6000000</v>
      </c>
      <c r="H22" s="12" t="n">
        <f aca="false">B22*D22+C22*E22</f>
        <v>4475000</v>
      </c>
      <c r="I22" s="13" t="n">
        <f aca="false">IF(G22=0,"",H22/G22)</f>
        <v>0.745833333333333</v>
      </c>
    </row>
    <row r="23" customFormat="false" ht="15" hidden="false" customHeight="false" outlineLevel="0" collapsed="false">
      <c r="A23" s="10" t="s">
        <v>41</v>
      </c>
      <c r="B23" s="6" t="n">
        <v>2500000</v>
      </c>
      <c r="C23" s="6" t="n">
        <v>3000000</v>
      </c>
      <c r="D23" s="11" t="n">
        <v>1</v>
      </c>
      <c r="E23" s="11" t="n">
        <v>0.3</v>
      </c>
      <c r="F23" s="8" t="n">
        <v>10</v>
      </c>
      <c r="G23" s="12" t="n">
        <f aca="false">B23+C23</f>
        <v>5500000</v>
      </c>
      <c r="H23" s="12" t="n">
        <f aca="false">B23*D23+C23*E23</f>
        <v>3400000</v>
      </c>
      <c r="I23" s="13" t="n">
        <f aca="false">IF(G23=0,"",H23/G23)</f>
        <v>0.618181818181818</v>
      </c>
    </row>
    <row r="24" customFormat="false" ht="15" hidden="false" customHeight="false" outlineLevel="0" collapsed="false">
      <c r="A24" s="10" t="s">
        <v>42</v>
      </c>
      <c r="B24" s="6" t="n">
        <v>2500000</v>
      </c>
      <c r="C24" s="6" t="n">
        <v>2500000</v>
      </c>
      <c r="D24" s="11" t="n">
        <v>0.8</v>
      </c>
      <c r="E24" s="11" t="n">
        <v>0.22</v>
      </c>
      <c r="F24" s="8" t="n">
        <v>6</v>
      </c>
      <c r="G24" s="12" t="n">
        <f aca="false">B24+C24</f>
        <v>5000000</v>
      </c>
      <c r="H24" s="12" t="n">
        <f aca="false">B24*D24+C24*E24</f>
        <v>2550000</v>
      </c>
      <c r="I24" s="13" t="n">
        <f aca="false">IF(G24=0,"",H24/G24)</f>
        <v>0.51</v>
      </c>
    </row>
    <row r="25" customFormat="false" ht="15" hidden="false" customHeight="false" outlineLevel="0" collapsed="false">
      <c r="A25" s="10" t="s">
        <v>43</v>
      </c>
      <c r="B25" s="6" t="n">
        <v>2500000</v>
      </c>
      <c r="C25" s="6" t="n">
        <v>2000000</v>
      </c>
      <c r="D25" s="11" t="n">
        <v>0.55</v>
      </c>
      <c r="E25" s="11" t="n">
        <v>0.15</v>
      </c>
      <c r="F25" s="8" t="n">
        <v>7</v>
      </c>
      <c r="G25" s="12" t="n">
        <f aca="false">B25+C25</f>
        <v>4500000</v>
      </c>
      <c r="H25" s="12" t="n">
        <f aca="false">B25*D25+C25*E25</f>
        <v>1675000</v>
      </c>
      <c r="I25" s="13" t="n">
        <f aca="false">IF(G25=0,"",H25/G25)</f>
        <v>0.372222222222222</v>
      </c>
    </row>
    <row r="26" customFormat="false" ht="15" hidden="false" customHeight="false" outlineLevel="0" collapsed="false">
      <c r="A26" s="10" t="s">
        <v>44</v>
      </c>
      <c r="B26" s="6" t="n">
        <v>2500000</v>
      </c>
      <c r="C26" s="6" t="n">
        <v>1500000</v>
      </c>
      <c r="D26" s="11" t="n">
        <v>0.35</v>
      </c>
      <c r="E26" s="11" t="n">
        <v>0.1</v>
      </c>
      <c r="F26" s="8" t="n">
        <v>6</v>
      </c>
      <c r="G26" s="12" t="n">
        <f aca="false">B26+C26</f>
        <v>4000000</v>
      </c>
      <c r="H26" s="12" t="n">
        <f aca="false">B26*D26+C26*E26</f>
        <v>1025000</v>
      </c>
      <c r="I26" s="13" t="n">
        <f aca="false">IF(G26=0,"",H26/G26)</f>
        <v>0.25625</v>
      </c>
    </row>
    <row r="27" customFormat="false" ht="15" hidden="false" customHeight="false" outlineLevel="0" collapsed="false">
      <c r="A27" s="10" t="s">
        <v>45</v>
      </c>
      <c r="B27" s="6" t="n">
        <v>2500000</v>
      </c>
      <c r="C27" s="6" t="n">
        <v>1000000</v>
      </c>
      <c r="D27" s="11" t="n">
        <v>0.2</v>
      </c>
      <c r="E27" s="11" t="n">
        <v>0.06</v>
      </c>
      <c r="F27" s="8" t="n">
        <v>5</v>
      </c>
      <c r="G27" s="12" t="n">
        <f aca="false">B27+C27</f>
        <v>3500000</v>
      </c>
      <c r="H27" s="12" t="n">
        <f aca="false">B27*D27+C27*E27</f>
        <v>560000</v>
      </c>
      <c r="I27" s="13" t="n">
        <f aca="false">IF(G27=0,"",H27/G27)</f>
        <v>0.16</v>
      </c>
    </row>
    <row r="28" customFormat="false" ht="15" hidden="false" customHeight="false" outlineLevel="0" collapsed="false">
      <c r="A28" s="10" t="s">
        <v>46</v>
      </c>
      <c r="B28" s="6" t="n">
        <v>2500000</v>
      </c>
      <c r="C28" s="6" t="n">
        <v>500000</v>
      </c>
      <c r="D28" s="11" t="n">
        <v>0.1</v>
      </c>
      <c r="E28" s="11" t="n">
        <v>0.03</v>
      </c>
      <c r="F28" s="8" t="n">
        <v>6</v>
      </c>
      <c r="G28" s="12" t="n">
        <f aca="false">B28+C28</f>
        <v>3000000</v>
      </c>
      <c r="H28" s="12" t="n">
        <f aca="false">B28*D28+C28*E28</f>
        <v>265000</v>
      </c>
      <c r="I28" s="13" t="n">
        <f aca="false">IF(G28=0,"",H28/G28)</f>
        <v>0.0883333333333333</v>
      </c>
    </row>
    <row r="29" customFormat="false" ht="15" hidden="false" customHeight="false" outlineLevel="0" collapsed="false">
      <c r="A29" s="10" t="s">
        <v>47</v>
      </c>
      <c r="B29" s="6" t="n">
        <v>2500000</v>
      </c>
      <c r="C29" s="6" t="n">
        <v>500000</v>
      </c>
      <c r="D29" s="11" t="n">
        <v>0</v>
      </c>
      <c r="E29" s="11" t="n">
        <v>0</v>
      </c>
      <c r="F29" s="8" t="n">
        <v>5</v>
      </c>
      <c r="G29" s="12" t="n">
        <f aca="false">B29+C29</f>
        <v>3000000</v>
      </c>
      <c r="H29" s="12" t="n">
        <f aca="false">B29*D29+C29*E29</f>
        <v>0</v>
      </c>
      <c r="I29" s="13" t="n">
        <f aca="false">IF(G29=0,"",H29/G29)</f>
        <v>0</v>
      </c>
    </row>
    <row r="30" customFormat="false" ht="15" hidden="false" customHeight="false" outlineLevel="0" collapsed="false">
      <c r="A30" s="10" t="s">
        <v>48</v>
      </c>
      <c r="B30" s="6" t="n">
        <v>2000000</v>
      </c>
      <c r="C30" s="6" t="n">
        <v>0</v>
      </c>
      <c r="D30" s="11" t="n">
        <v>0</v>
      </c>
      <c r="E30" s="11" t="n">
        <v>0</v>
      </c>
      <c r="F30" s="8" t="n">
        <v>4</v>
      </c>
      <c r="G30" s="12" t="n">
        <f aca="false">B30+C30</f>
        <v>2000000</v>
      </c>
      <c r="H30" s="12" t="n">
        <f aca="false">B30*D30+C30*E30</f>
        <v>0</v>
      </c>
      <c r="I30" s="13" t="n">
        <f aca="false">IF(G30=0,"",H30/G30)</f>
        <v>0</v>
      </c>
    </row>
    <row r="31" customFormat="false" ht="15" hidden="false" customHeight="false" outlineLevel="0" collapsed="false">
      <c r="A31" s="10" t="s">
        <v>49</v>
      </c>
      <c r="B31" s="6" t="n">
        <v>2000000</v>
      </c>
      <c r="C31" s="6" t="n">
        <v>0</v>
      </c>
      <c r="D31" s="11" t="n">
        <v>0</v>
      </c>
      <c r="E31" s="11" t="n">
        <v>0</v>
      </c>
      <c r="F31" s="8" t="n">
        <v>5</v>
      </c>
      <c r="G31" s="12" t="n">
        <f aca="false">B31+C31</f>
        <v>2000000</v>
      </c>
      <c r="H31" s="12" t="n">
        <f aca="false">B31*D31+C31*E31</f>
        <v>0</v>
      </c>
      <c r="I31" s="13" t="n">
        <f aca="false">IF(G31=0,"",H31/G31)</f>
        <v>0</v>
      </c>
    </row>
    <row r="32" customFormat="false" ht="15" hidden="false" customHeight="false" outlineLevel="0" collapsed="false">
      <c r="A32" s="10" t="s">
        <v>50</v>
      </c>
      <c r="B32" s="6" t="n">
        <v>2000000</v>
      </c>
      <c r="C32" s="6" t="n">
        <v>0</v>
      </c>
      <c r="D32" s="11" t="n">
        <v>0</v>
      </c>
      <c r="E32" s="11" t="n">
        <v>0</v>
      </c>
      <c r="F32" s="8" t="n">
        <v>4</v>
      </c>
      <c r="G32" s="12" t="n">
        <f aca="false">B32+C32</f>
        <v>2000000</v>
      </c>
      <c r="H32" s="12" t="n">
        <f aca="false">B32*D32+C32*E32</f>
        <v>0</v>
      </c>
      <c r="I32" s="13" t="n">
        <f aca="false">IF(G32=0,"",H32/G32)</f>
        <v>0</v>
      </c>
    </row>
    <row r="33" customFormat="false" ht="15" hidden="false" customHeight="false" outlineLevel="0" collapsed="false">
      <c r="A33" s="10" t="s">
        <v>51</v>
      </c>
      <c r="B33" s="6" t="n">
        <v>2000000</v>
      </c>
      <c r="C33" s="6" t="n">
        <v>0</v>
      </c>
      <c r="D33" s="11" t="n">
        <v>0</v>
      </c>
      <c r="E33" s="11" t="n">
        <v>0</v>
      </c>
      <c r="F33" s="8" t="n">
        <v>6</v>
      </c>
      <c r="G33" s="12" t="n">
        <f aca="false">B33+C33</f>
        <v>2000000</v>
      </c>
      <c r="H33" s="12" t="n">
        <f aca="false">B33*D33+C33*E33</f>
        <v>0</v>
      </c>
      <c r="I33" s="13" t="n">
        <f aca="false">IF(G33=0,"",H33/G33)</f>
        <v>0</v>
      </c>
    </row>
    <row r="34" customFormat="false" ht="15" hidden="false" customHeight="false" outlineLevel="0" collapsed="false">
      <c r="A34" s="10" t="s">
        <v>52</v>
      </c>
      <c r="B34" s="6" t="n">
        <v>2000000</v>
      </c>
      <c r="C34" s="6" t="n">
        <v>0</v>
      </c>
      <c r="D34" s="11" t="n">
        <v>0</v>
      </c>
      <c r="E34" s="11" t="n">
        <v>0</v>
      </c>
      <c r="F34" s="8" t="n">
        <v>5</v>
      </c>
      <c r="G34" s="12" t="n">
        <f aca="false">B34+C34</f>
        <v>2000000</v>
      </c>
      <c r="H34" s="12" t="n">
        <f aca="false">B34*D34+C34*E34</f>
        <v>0</v>
      </c>
      <c r="I34" s="13" t="n">
        <f aca="false">IF(G34=0,"",H34/G34)</f>
        <v>0</v>
      </c>
    </row>
    <row r="35" customFormat="false" ht="15" hidden="false" customHeight="false" outlineLevel="0" collapsed="false">
      <c r="A35" s="10" t="s">
        <v>53</v>
      </c>
      <c r="B35" s="6" t="n">
        <v>2000000</v>
      </c>
      <c r="C35" s="6" t="n">
        <v>0</v>
      </c>
      <c r="D35" s="11" t="n">
        <v>0</v>
      </c>
      <c r="E35" s="11" t="n">
        <v>0</v>
      </c>
      <c r="F35" s="8" t="n">
        <v>4</v>
      </c>
      <c r="G35" s="12" t="n">
        <f aca="false">B35+C35</f>
        <v>2000000</v>
      </c>
      <c r="H35" s="12" t="n">
        <f aca="false">B35*D35+C35*E35</f>
        <v>0</v>
      </c>
      <c r="I35" s="13" t="n">
        <f aca="false">IF(G35=0,"",H35/G35)</f>
        <v>0</v>
      </c>
    </row>
    <row r="36" customFormat="false" ht="15" hidden="false" customHeight="false" outlineLevel="0" collapsed="false">
      <c r="A36" s="10" t="s">
        <v>54</v>
      </c>
      <c r="B36" s="6" t="n">
        <v>2000000</v>
      </c>
      <c r="C36" s="6" t="n">
        <v>0</v>
      </c>
      <c r="D36" s="11" t="n">
        <v>0</v>
      </c>
      <c r="E36" s="11" t="n">
        <v>0</v>
      </c>
      <c r="F36" s="8" t="n">
        <v>5</v>
      </c>
      <c r="G36" s="12" t="n">
        <f aca="false">B36+C36</f>
        <v>2000000</v>
      </c>
      <c r="H36" s="12" t="n">
        <f aca="false">B36*D36+C36*E36</f>
        <v>0</v>
      </c>
      <c r="I36" s="13" t="n">
        <f aca="false">IF(G36=0,"",H36/G36)</f>
        <v>0</v>
      </c>
    </row>
    <row r="37" customFormat="false" ht="15" hidden="false" customHeight="false" outlineLevel="0" collapsed="false">
      <c r="A37" s="10" t="s">
        <v>55</v>
      </c>
      <c r="B37" s="6" t="n">
        <v>1500000</v>
      </c>
      <c r="C37" s="6" t="n">
        <v>0</v>
      </c>
      <c r="D37" s="11" t="n">
        <v>0</v>
      </c>
      <c r="E37" s="11" t="n">
        <v>0</v>
      </c>
      <c r="F37" s="8" t="n">
        <v>3</v>
      </c>
      <c r="G37" s="12" t="n">
        <f aca="false">B37+C37</f>
        <v>1500000</v>
      </c>
      <c r="H37" s="12" t="n">
        <f aca="false">B37*D37+C37*E37</f>
        <v>0</v>
      </c>
      <c r="I37" s="13" t="n">
        <f aca="false">IF(G37=0,"",H37/G37)</f>
        <v>0</v>
      </c>
    </row>
    <row r="38" customFormat="false" ht="15" hidden="false" customHeight="false" outlineLevel="0" collapsed="false">
      <c r="A38" s="10" t="s">
        <v>56</v>
      </c>
      <c r="B38" s="6" t="n">
        <v>1500000</v>
      </c>
      <c r="C38" s="6" t="n">
        <v>0</v>
      </c>
      <c r="D38" s="11" t="n">
        <v>0</v>
      </c>
      <c r="E38" s="11" t="n">
        <v>0</v>
      </c>
      <c r="F38" s="8" t="n">
        <v>4</v>
      </c>
      <c r="G38" s="12" t="n">
        <f aca="false">B38+C38</f>
        <v>1500000</v>
      </c>
      <c r="H38" s="12" t="n">
        <f aca="false">B38*D38+C38*E38</f>
        <v>0</v>
      </c>
      <c r="I38" s="13" t="n">
        <f aca="false">IF(G38=0,"",H38/G38)</f>
        <v>0</v>
      </c>
    </row>
    <row r="39" customFormat="false" ht="15" hidden="false" customHeight="false" outlineLevel="0" collapsed="false">
      <c r="A39" s="10" t="s">
        <v>57</v>
      </c>
      <c r="B39" s="6" t="n">
        <v>1500000</v>
      </c>
      <c r="C39" s="6" t="n">
        <v>0</v>
      </c>
      <c r="D39" s="11" t="n">
        <v>0</v>
      </c>
      <c r="E39" s="11" t="n">
        <v>0</v>
      </c>
      <c r="F39" s="8" t="n">
        <v>4</v>
      </c>
      <c r="G39" s="12" t="n">
        <f aca="false">B39+C39</f>
        <v>1500000</v>
      </c>
      <c r="H39" s="12" t="n">
        <f aca="false">B39*D39+C39*E39</f>
        <v>0</v>
      </c>
      <c r="I39" s="13" t="n">
        <f aca="false">IF(G39=0,"",H39/G39)</f>
        <v>0</v>
      </c>
    </row>
    <row r="40" customFormat="false" ht="15" hidden="false" customHeight="false" outlineLevel="0" collapsed="false">
      <c r="A40" s="10" t="s">
        <v>58</v>
      </c>
      <c r="B40" s="6" t="n">
        <v>1500000</v>
      </c>
      <c r="C40" s="6" t="n">
        <v>0</v>
      </c>
      <c r="D40" s="11" t="n">
        <v>0</v>
      </c>
      <c r="E40" s="11" t="n">
        <v>0</v>
      </c>
      <c r="F40" s="8" t="n">
        <v>3</v>
      </c>
      <c r="G40" s="12" t="n">
        <f aca="false">B40+C40</f>
        <v>1500000</v>
      </c>
      <c r="H40" s="12" t="n">
        <f aca="false">B40*D40+C40*E40</f>
        <v>0</v>
      </c>
      <c r="I40" s="13" t="n">
        <f aca="false">IF(G40=0,"",H40/G40)</f>
        <v>0</v>
      </c>
    </row>
    <row r="41" customFormat="false" ht="15" hidden="false" customHeight="false" outlineLevel="0" collapsed="false">
      <c r="A41" s="10" t="s">
        <v>59</v>
      </c>
      <c r="B41" s="6" t="n">
        <v>1500000</v>
      </c>
      <c r="C41" s="6" t="n">
        <v>0</v>
      </c>
      <c r="D41" s="11" t="n">
        <v>0</v>
      </c>
      <c r="E41" s="11" t="n">
        <v>0</v>
      </c>
      <c r="F41" s="8" t="n">
        <v>3</v>
      </c>
      <c r="G41" s="12" t="n">
        <f aca="false">B41+C41</f>
        <v>1500000</v>
      </c>
      <c r="H41" s="12" t="n">
        <f aca="false">B41*D41+C41*E41</f>
        <v>0</v>
      </c>
      <c r="I41" s="13" t="n">
        <f aca="false">IF(G41=0,"",H41/G41)</f>
        <v>0</v>
      </c>
    </row>
    <row r="42" customFormat="false" ht="15" hidden="false" customHeight="false" outlineLevel="0" collapsed="false">
      <c r="A42" s="14" t="s">
        <v>60</v>
      </c>
      <c r="B42" s="15" t="n">
        <f aca="false">SUM(B14:B41)</f>
        <v>62500000</v>
      </c>
      <c r="C42" s="15" t="n">
        <f aca="false">SUM(C14:C41)</f>
        <v>68000000</v>
      </c>
      <c r="G42" s="15" t="n">
        <f aca="false">SUM(G14:G41)</f>
        <v>130500000</v>
      </c>
      <c r="H42" s="15" t="n">
        <f aca="false">SUM(H14:H41)</f>
        <v>348975000</v>
      </c>
      <c r="I42" s="16" t="n">
        <f aca="false">IF(G42=0,"",H42/G42)</f>
        <v>2.67413793103448</v>
      </c>
    </row>
    <row r="44" customFormat="false" ht="15" hidden="false" customHeight="false" outlineLevel="0" collapsed="false">
      <c r="A44" s="2" t="s">
        <v>61</v>
      </c>
    </row>
    <row r="45" customFormat="false" ht="15" hidden="false" customHeight="false" outlineLevel="0" collapsed="false">
      <c r="A45" s="2" t="s">
        <v>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4"/>
    <col collapsed="false" customWidth="true" hidden="false" outlineLevel="0" max="3" min="2" style="0" width="20"/>
    <col collapsed="false" customWidth="true" hidden="false" outlineLevel="0" max="4" min="4" style="0" width="18"/>
  </cols>
  <sheetData>
    <row r="1" customFormat="false" ht="19.7" hidden="false" customHeight="false" outlineLevel="0" collapsed="false">
      <c r="A1" s="1" t="s">
        <v>63</v>
      </c>
    </row>
    <row r="2" customFormat="false" ht="15" hidden="false" customHeight="false" outlineLevel="0" collapsed="false">
      <c r="A2" s="2" t="s">
        <v>64</v>
      </c>
    </row>
    <row r="5" customFormat="false" ht="15" hidden="false" customHeight="false" outlineLevel="0" collapsed="false">
      <c r="A5" s="3" t="s">
        <v>65</v>
      </c>
    </row>
    <row r="7" customFormat="false" ht="23.85" hidden="false" customHeight="false" outlineLevel="0" collapsed="false">
      <c r="A7" s="9" t="s">
        <v>66</v>
      </c>
      <c r="B7" s="9" t="s">
        <v>67</v>
      </c>
      <c r="C7" s="9" t="s">
        <v>68</v>
      </c>
    </row>
    <row r="8" customFormat="false" ht="15" hidden="false" customHeight="false" outlineLevel="0" collapsed="false">
      <c r="A8" s="17" t="n">
        <v>1</v>
      </c>
      <c r="B8" s="12" t="n">
        <f aca="false">SUMIF(Inputs!$F$14:$F$41,"&gt;="&amp;A8,Inputs!$G$14:$G$41)</f>
        <v>130500000</v>
      </c>
      <c r="C8" s="12" t="n">
        <f aca="false">IF(A8&lt;=Inputs!$B$9,Inputs!$B$7*Inputs!$B$8,B8*Inputs!$B$8)</f>
        <v>3000000</v>
      </c>
    </row>
    <row r="9" customFormat="false" ht="15" hidden="false" customHeight="false" outlineLevel="0" collapsed="false">
      <c r="A9" s="18" t="n">
        <v>2</v>
      </c>
      <c r="B9" s="19" t="n">
        <f aca="false">SUMIF(Inputs!$F$14:$F$41,"&gt;="&amp;A9,Inputs!$G$14:$G$41)</f>
        <v>130500000</v>
      </c>
      <c r="C9" s="19" t="n">
        <f aca="false">IF(A9&lt;=Inputs!$B$9,Inputs!$B$7*Inputs!$B$8,B9*Inputs!$B$8)</f>
        <v>3000000</v>
      </c>
    </row>
    <row r="10" customFormat="false" ht="15" hidden="false" customHeight="false" outlineLevel="0" collapsed="false">
      <c r="A10" s="17" t="n">
        <v>3</v>
      </c>
      <c r="B10" s="12" t="n">
        <f aca="false">SUMIF(Inputs!$F$14:$F$41,"&gt;="&amp;A10,Inputs!$G$14:$G$41)</f>
        <v>130500000</v>
      </c>
      <c r="C10" s="12" t="n">
        <f aca="false">IF(A10&lt;=Inputs!$B$9,Inputs!$B$7*Inputs!$B$8,B10*Inputs!$B$8)</f>
        <v>3000000</v>
      </c>
    </row>
    <row r="11" customFormat="false" ht="15" hidden="false" customHeight="false" outlineLevel="0" collapsed="false">
      <c r="A11" s="18" t="n">
        <v>4</v>
      </c>
      <c r="B11" s="19" t="n">
        <f aca="false">SUMIF(Inputs!$F$14:$F$41,"&gt;="&amp;A11,Inputs!$G$14:$G$41)</f>
        <v>126000000</v>
      </c>
      <c r="C11" s="19" t="n">
        <f aca="false">IF(A11&lt;=Inputs!$B$9,Inputs!$B$7*Inputs!$B$8,B11*Inputs!$B$8)</f>
        <v>3000000</v>
      </c>
    </row>
    <row r="12" customFormat="false" ht="15" hidden="false" customHeight="false" outlineLevel="0" collapsed="false">
      <c r="A12" s="17" t="n">
        <v>5</v>
      </c>
      <c r="B12" s="12" t="n">
        <f aca="false">SUMIF(Inputs!$F$14:$F$41,"&gt;="&amp;A12,Inputs!$G$14:$G$41)</f>
        <v>117000000</v>
      </c>
      <c r="C12" s="12" t="n">
        <f aca="false">IF(A12&lt;=Inputs!$B$9,Inputs!$B$7*Inputs!$B$8,B12*Inputs!$B$8)</f>
        <v>3000000</v>
      </c>
    </row>
    <row r="13" customFormat="false" ht="15" hidden="false" customHeight="false" outlineLevel="0" collapsed="false">
      <c r="A13" s="18" t="n">
        <v>6</v>
      </c>
      <c r="B13" s="19" t="n">
        <f aca="false">SUMIF(Inputs!$F$14:$F$41,"&gt;="&amp;A13,Inputs!$G$14:$G$41)</f>
        <v>104500000</v>
      </c>
      <c r="C13" s="19" t="n">
        <f aca="false">IF(A13&lt;=Inputs!$B$9,Inputs!$B$7*Inputs!$B$8,B13*Inputs!$B$8)</f>
        <v>2090000</v>
      </c>
    </row>
    <row r="14" customFormat="false" ht="15" hidden="false" customHeight="false" outlineLevel="0" collapsed="false">
      <c r="A14" s="17" t="n">
        <v>7</v>
      </c>
      <c r="B14" s="12" t="n">
        <f aca="false">SUMIF(Inputs!$F$14:$F$41,"&gt;="&amp;A14,Inputs!$G$14:$G$41)</f>
        <v>90500000</v>
      </c>
      <c r="C14" s="12" t="n">
        <f aca="false">IF(A14&lt;=Inputs!$B$9,Inputs!$B$7*Inputs!$B$8,B14*Inputs!$B$8)</f>
        <v>1810000</v>
      </c>
    </row>
    <row r="15" customFormat="false" ht="15" hidden="false" customHeight="false" outlineLevel="0" collapsed="false">
      <c r="A15" s="18" t="n">
        <v>8</v>
      </c>
      <c r="B15" s="19" t="n">
        <f aca="false">SUMIF(Inputs!$F$14:$F$41,"&gt;="&amp;A15,Inputs!$G$14:$G$41)</f>
        <v>70500000</v>
      </c>
      <c r="C15" s="19" t="n">
        <f aca="false">IF(A15&lt;=Inputs!$B$9,Inputs!$B$7*Inputs!$B$8,B15*Inputs!$B$8)</f>
        <v>1410000</v>
      </c>
    </row>
    <row r="16" customFormat="false" ht="15" hidden="false" customHeight="false" outlineLevel="0" collapsed="false">
      <c r="A16" s="17" t="n">
        <v>9</v>
      </c>
      <c r="B16" s="12" t="n">
        <f aca="false">SUMIF(Inputs!$F$14:$F$41,"&gt;="&amp;A16,Inputs!$G$14:$G$41)</f>
        <v>45000000</v>
      </c>
      <c r="C16" s="12" t="n">
        <f aca="false">IF(A16&lt;=Inputs!$B$9,Inputs!$B$7*Inputs!$B$8,B16*Inputs!$B$8)</f>
        <v>900000</v>
      </c>
    </row>
    <row r="17" customFormat="false" ht="15" hidden="false" customHeight="false" outlineLevel="0" collapsed="false">
      <c r="A17" s="18" t="n">
        <v>10</v>
      </c>
      <c r="B17" s="19" t="n">
        <f aca="false">SUMIF(Inputs!$F$14:$F$41,"&gt;="&amp;A17,Inputs!$G$14:$G$41)</f>
        <v>13000000</v>
      </c>
      <c r="C17" s="19" t="n">
        <f aca="false">IF(A17&lt;=Inputs!$B$9,Inputs!$B$7*Inputs!$B$8,B17*Inputs!$B$8)</f>
        <v>260000</v>
      </c>
    </row>
    <row r="18" customFormat="false" ht="15" hidden="false" customHeight="false" outlineLevel="0" collapsed="false">
      <c r="A18" s="14" t="s">
        <v>69</v>
      </c>
      <c r="C18" s="15" t="n">
        <f aca="false">SUM(C8:C17)</f>
        <v>21470000</v>
      </c>
    </row>
    <row r="19" customFormat="false" ht="15" hidden="false" customHeight="false" outlineLevel="0" collapsed="false">
      <c r="A19" s="5" t="s">
        <v>70</v>
      </c>
      <c r="C19" s="20" t="n">
        <f aca="false">C18/Inputs!B7</f>
        <v>0.143133333333333</v>
      </c>
    </row>
    <row r="20" customFormat="false" ht="15" hidden="false" customHeight="false" outlineLevel="0" collapsed="false">
      <c r="A20" s="14" t="s">
        <v>71</v>
      </c>
      <c r="C20" s="15" t="n">
        <f aca="false">Inputs!B7-C18</f>
        <v>128530000</v>
      </c>
    </row>
    <row r="21" customFormat="false" ht="15" hidden="false" customHeight="false" outlineLevel="0" collapsed="false">
      <c r="A21" s="14" t="s">
        <v>72</v>
      </c>
      <c r="C21" s="16" t="n">
        <f aca="false">Inputs!B7/C20</f>
        <v>1.16704271376332</v>
      </c>
    </row>
    <row r="22" customFormat="false" ht="15" hidden="false" customHeight="false" outlineLevel="0" collapsed="false">
      <c r="A22" s="2" t="s">
        <v>73</v>
      </c>
    </row>
    <row r="23" customFormat="false" ht="15" hidden="false" customHeight="false" outlineLevel="0" collapsed="false">
      <c r="A23" s="3" t="s">
        <v>74</v>
      </c>
    </row>
    <row r="25" customFormat="false" ht="15" hidden="false" customHeight="false" outlineLevel="0" collapsed="false">
      <c r="A25" s="5" t="s">
        <v>75</v>
      </c>
      <c r="B25" s="12" t="n">
        <f aca="false">Inputs!B42</f>
        <v>62500000</v>
      </c>
    </row>
    <row r="26" customFormat="false" ht="15" hidden="false" customHeight="false" outlineLevel="0" collapsed="false">
      <c r="A26" s="5" t="s">
        <v>76</v>
      </c>
      <c r="B26" s="12" t="n">
        <f aca="false">Inputs!C42</f>
        <v>68000000</v>
      </c>
    </row>
    <row r="27" customFormat="false" ht="15" hidden="false" customHeight="false" outlineLevel="0" collapsed="false">
      <c r="A27" s="14" t="s">
        <v>77</v>
      </c>
      <c r="B27" s="15" t="n">
        <f aca="false">Inputs!G42</f>
        <v>130500000</v>
      </c>
    </row>
    <row r="28" customFormat="false" ht="15" hidden="false" customHeight="false" outlineLevel="0" collapsed="false">
      <c r="A28" s="5" t="s">
        <v>78</v>
      </c>
      <c r="B28" s="20" t="n">
        <f aca="false">B26/B27</f>
        <v>0.521072796934866</v>
      </c>
    </row>
    <row r="29" customFormat="false" ht="15" hidden="false" customHeight="false" outlineLevel="0" collapsed="false">
      <c r="A29" s="14" t="s">
        <v>79</v>
      </c>
      <c r="B29" s="15" t="n">
        <f aca="false">Inputs!H42</f>
        <v>348975000</v>
      </c>
    </row>
    <row r="30" customFormat="false" ht="15" hidden="false" customHeight="false" outlineLevel="0" collapsed="false">
      <c r="A30" s="14" t="s">
        <v>80</v>
      </c>
      <c r="B30" s="15" t="n">
        <f aca="false">B27+C18</f>
        <v>151970000</v>
      </c>
    </row>
    <row r="32" customFormat="false" ht="15" hidden="false" customHeight="false" outlineLevel="0" collapsed="false">
      <c r="A32" s="3" t="s">
        <v>81</v>
      </c>
    </row>
    <row r="34" customFormat="false" ht="15" hidden="false" customHeight="false" outlineLevel="0" collapsed="false">
      <c r="A34" s="14" t="s">
        <v>82</v>
      </c>
      <c r="B34" s="16" t="n">
        <f aca="false">SUMPRODUCT(Inputs!B14:B41,Inputs!D14:D41)/Inputs!B42</f>
        <v>3.6376</v>
      </c>
    </row>
    <row r="35" customFormat="false" ht="15" hidden="false" customHeight="false" outlineLevel="0" collapsed="false">
      <c r="A35" s="14" t="s">
        <v>83</v>
      </c>
      <c r="B35" s="16" t="n">
        <f aca="false">B29/B27</f>
        <v>2.67413793103448</v>
      </c>
    </row>
    <row r="36" customFormat="false" ht="15" hidden="false" customHeight="false" outlineLevel="0" collapsed="false">
      <c r="A36" s="14" t="s">
        <v>84</v>
      </c>
      <c r="B36" s="16" t="n">
        <f aca="false">B29/Inputs!B7</f>
        <v>2.3265</v>
      </c>
    </row>
    <row r="37" customFormat="false" ht="15" hidden="false" customHeight="false" outlineLevel="0" collapsed="false">
      <c r="A37" s="5" t="s">
        <v>85</v>
      </c>
      <c r="B37" s="12" t="n">
        <f aca="false">MAX(0,B29-Inputs!B7)*Inputs!B10</f>
        <v>39795000</v>
      </c>
    </row>
    <row r="38" customFormat="false" ht="15" hidden="false" customHeight="false" outlineLevel="0" collapsed="false">
      <c r="A38" s="5" t="s">
        <v>86</v>
      </c>
      <c r="B38" s="12" t="n">
        <f aca="false">B29-B37</f>
        <v>309180000</v>
      </c>
    </row>
    <row r="39" customFormat="false" ht="15" hidden="false" customHeight="false" outlineLevel="0" collapsed="false">
      <c r="A39" s="14" t="s">
        <v>87</v>
      </c>
      <c r="B39" s="16" t="n">
        <f aca="false">B38/Inputs!B7</f>
        <v>2.0612</v>
      </c>
    </row>
    <row r="40" customFormat="false" ht="15" hidden="false" customHeight="false" outlineLevel="0" collapsed="false">
      <c r="A40" s="5" t="s">
        <v>88</v>
      </c>
      <c r="B40" s="21" t="n">
        <f aca="false">B34-B39</f>
        <v>1.5764</v>
      </c>
    </row>
    <row r="41" customFormat="false" ht="15" hidden="false" customHeight="false" outlineLevel="0" collapsed="false">
      <c r="A41" s="5" t="s">
        <v>89</v>
      </c>
      <c r="B41" s="21" t="n">
        <f aca="false">B34/B39</f>
        <v>1.76479720551135</v>
      </c>
    </row>
    <row r="43" customFormat="false" ht="15" hidden="false" customHeight="false" outlineLevel="0" collapsed="false">
      <c r="A43" s="3" t="s">
        <v>90</v>
      </c>
    </row>
    <row r="45" customFormat="false" ht="15" hidden="false" customHeight="false" outlineLevel="0" collapsed="false">
      <c r="A45" s="5" t="s">
        <v>91</v>
      </c>
      <c r="B45" s="12" t="n">
        <f aca="false">C18+B37</f>
        <v>61265000</v>
      </c>
    </row>
    <row r="46" customFormat="false" ht="15" hidden="false" customHeight="false" outlineLevel="0" collapsed="false">
      <c r="A46" s="5" t="s">
        <v>92</v>
      </c>
      <c r="B46" s="20" t="n">
        <f aca="false">B45/B29</f>
        <v>0.175556988322946</v>
      </c>
    </row>
    <row r="47" customFormat="false" ht="15" hidden="false" customHeight="false" outlineLevel="0" collapsed="false">
      <c r="A47" s="14" t="s">
        <v>93</v>
      </c>
      <c r="B47" s="15" t="n">
        <f aca="false">B38-B30</f>
        <v>157210000</v>
      </c>
    </row>
    <row r="48" customFormat="false" ht="15" hidden="false" customHeight="false" outlineLevel="0" collapsed="false">
      <c r="A48" s="14" t="s">
        <v>94</v>
      </c>
      <c r="B48" s="15" t="n">
        <f aca="false">B29-C18-B37-B27</f>
        <v>157210000</v>
      </c>
    </row>
    <row r="49" customFormat="false" ht="15" hidden="false" customHeight="false" outlineLevel="0" collapsed="false">
      <c r="A49" s="2" t="s">
        <v>95</v>
      </c>
    </row>
    <row r="51" customFormat="false" ht="15" hidden="false" customHeight="false" outlineLevel="0" collapsed="false">
      <c r="A51" s="3" t="s">
        <v>96</v>
      </c>
    </row>
    <row r="53" customFormat="false" ht="15" hidden="false" customHeight="false" outlineLevel="0" collapsed="false">
      <c r="A53" s="5" t="s">
        <v>97</v>
      </c>
      <c r="B53" s="12" t="n">
        <f aca="false">SUMIF(A8:A17,"&lt;="&amp;Inputs!B9,C8:C17)</f>
        <v>15000000</v>
      </c>
    </row>
    <row r="54" customFormat="false" ht="15" hidden="false" customHeight="false" outlineLevel="0" collapsed="false">
      <c r="A54" s="5" t="s">
        <v>98</v>
      </c>
      <c r="B54" s="20" t="n">
        <f aca="false">B53/C18</f>
        <v>0.698649278062413</v>
      </c>
    </row>
    <row r="55" customFormat="false" ht="15" hidden="false" customHeight="false" outlineLevel="0" collapsed="false">
      <c r="A55" s="14" t="s">
        <v>99</v>
      </c>
      <c r="B55" s="22" t="n">
        <f aca="false">C18/C20</f>
        <v>0.167042713763324</v>
      </c>
    </row>
    <row r="56" customFormat="false" ht="15" hidden="false" customHeight="false" outlineLevel="0" collapsed="false">
      <c r="A56" s="5" t="s">
        <v>100</v>
      </c>
      <c r="B56" s="12" t="n">
        <f aca="false">Inputs!B7*Inputs!B8*Inputs!B11</f>
        <v>30000000</v>
      </c>
    </row>
    <row r="57" customFormat="false" ht="15" hidden="false" customHeight="false" outlineLevel="0" collapsed="false">
      <c r="A57" s="5" t="s">
        <v>101</v>
      </c>
      <c r="B57" s="12" t="n">
        <f aca="false">Inputs!B7-B56</f>
        <v>120000000</v>
      </c>
    </row>
    <row r="58" customFormat="false" ht="15" hidden="false" customHeight="false" outlineLevel="0" collapsed="false">
      <c r="A58" s="5" t="s">
        <v>102</v>
      </c>
      <c r="B58" s="13" t="n">
        <f aca="false">Inputs!B7/B57</f>
        <v>1.25</v>
      </c>
    </row>
    <row r="59" customFormat="false" ht="15" hidden="false" customHeight="false" outlineLevel="0" collapsed="false">
      <c r="A59" s="14" t="s">
        <v>103</v>
      </c>
      <c r="B59" s="23" t="n">
        <f aca="false">B58-C21</f>
        <v>0.0829572862366763</v>
      </c>
    </row>
    <row r="60" customFormat="false" ht="15" hidden="false" customHeight="false" outlineLevel="0" collapsed="false">
      <c r="A60" s="14" t="s">
        <v>104</v>
      </c>
      <c r="B60" s="15" t="n">
        <f aca="false">B56-C18</f>
        <v>8530000</v>
      </c>
    </row>
    <row r="61" customFormat="false" ht="15" hidden="false" customHeight="false" outlineLevel="0" collapsed="false">
      <c r="A61" s="5" t="s">
        <v>105</v>
      </c>
      <c r="B61" s="20" t="n">
        <f aca="false">B60/Inputs!B7</f>
        <v>0.0568666666666667</v>
      </c>
    </row>
    <row r="64" customFormat="false" ht="15" hidden="false" customHeight="false" outlineLevel="0" collapsed="false">
      <c r="A64" s="3" t="s">
        <v>106</v>
      </c>
    </row>
    <row r="66" customFormat="false" ht="15" hidden="false" customHeight="false" outlineLevel="0" collapsed="false">
      <c r="A66" s="14" t="s">
        <v>107</v>
      </c>
      <c r="B66" s="15" t="n">
        <f aca="false">B30-Inputs!B7</f>
        <v>1970000</v>
      </c>
    </row>
    <row r="67" customFormat="false" ht="15" hidden="false" customHeight="false" outlineLevel="0" collapsed="false">
      <c r="A67" s="5" t="s">
        <v>108</v>
      </c>
      <c r="B67" s="12" t="n">
        <f aca="false">B27-C20</f>
        <v>1970000</v>
      </c>
    </row>
    <row r="68" customFormat="false" ht="15" hidden="false" customHeight="false" outlineLevel="0" collapsed="false">
      <c r="A68" s="5" t="s">
        <v>109</v>
      </c>
      <c r="B68" s="13" t="n">
        <f aca="false">B35*C20/Inputs!B7</f>
        <v>2.29137965517241</v>
      </c>
    </row>
    <row r="69" customFormat="false" ht="15" hidden="false" customHeight="false" outlineLevel="0" collapsed="false">
      <c r="A69" s="14" t="s">
        <v>110</v>
      </c>
      <c r="B69" s="23" t="n">
        <f aca="false">B36-B68</f>
        <v>0.0351203448275856</v>
      </c>
    </row>
    <row r="70" customFormat="false" ht="15" hidden="false" customHeight="false" outlineLevel="0" collapsed="false">
      <c r="A70" s="5" t="s">
        <v>111</v>
      </c>
      <c r="B70" s="21" t="n">
        <f aca="false">B66*B35/Inputs!B7</f>
        <v>0.0351203448275862</v>
      </c>
    </row>
    <row r="71" customFormat="false" ht="15" hidden="false" customHeight="false" outlineLevel="0" collapsed="false">
      <c r="A71" s="5" t="s">
        <v>112</v>
      </c>
      <c r="B71" s="12" t="n">
        <f aca="false">B66*B35</f>
        <v>5268051.72413793</v>
      </c>
    </row>
    <row r="72" customFormat="false" ht="15" hidden="false" customHeight="false" outlineLevel="0" collapsed="false">
      <c r="A72" s="5" t="s">
        <v>113</v>
      </c>
      <c r="B72" s="13" t="n">
        <f aca="false">Inputs!B7/B27</f>
        <v>1.14942528735632</v>
      </c>
    </row>
    <row r="73" customFormat="false" ht="15" hidden="false" customHeight="false" outlineLevel="0" collapsed="false">
      <c r="A73" s="5" t="s">
        <v>114</v>
      </c>
      <c r="B73" s="21" t="n">
        <f aca="false">C21-B72</f>
        <v>0.0176174264070019</v>
      </c>
    </row>
    <row r="74" customFormat="false" ht="15" hidden="false" customHeight="false" outlineLevel="0" collapsed="false">
      <c r="A74" s="5" t="s">
        <v>115</v>
      </c>
      <c r="B74" s="20" t="n">
        <f aca="false">B66/C18</f>
        <v>0.0917559385188635</v>
      </c>
    </row>
    <row r="75" customFormat="false" ht="15" hidden="false" customHeight="false" outlineLevel="0" collapsed="false">
      <c r="A75" s="14" t="s">
        <v>116</v>
      </c>
      <c r="B75" s="15" t="n">
        <f aca="false">B37-Inputs!B10*MAX(0,B29-B30)</f>
        <v>394000</v>
      </c>
    </row>
    <row r="76" customFormat="false" ht="15" hidden="false" customHeight="false" outlineLevel="0" collapsed="false">
      <c r="A76" s="5" t="s">
        <v>117</v>
      </c>
      <c r="B76" s="13" t="n">
        <f aca="false">B38/B30</f>
        <v>2.03448048957031</v>
      </c>
    </row>
    <row r="77" customFormat="false" ht="15" hidden="false" customHeight="false" outlineLevel="0" collapsed="false">
      <c r="A77" s="5" t="s">
        <v>118</v>
      </c>
      <c r="B77" s="12" t="n">
        <f aca="false">B66*Inputs!B8</f>
        <v>39400</v>
      </c>
    </row>
    <row r="79" customFormat="false" ht="15" hidden="false" customHeight="false" outlineLevel="0" collapsed="false">
      <c r="A79" s="3" t="s">
        <v>119</v>
      </c>
    </row>
    <row r="81" customFormat="false" ht="15" hidden="false" customHeight="false" outlineLevel="0" collapsed="false">
      <c r="A81" s="5" t="s">
        <v>120</v>
      </c>
      <c r="B81" s="20" t="n">
        <f aca="false">B45/B30</f>
        <v>0.403138777390274</v>
      </c>
    </row>
    <row r="82" customFormat="false" ht="15" hidden="false" customHeight="false" outlineLevel="0" collapsed="false">
      <c r="A82" s="5" t="s">
        <v>121</v>
      </c>
      <c r="B82" s="12" t="n">
        <f aca="false">B29-B27</f>
        <v>218475000</v>
      </c>
    </row>
    <row r="83" customFormat="false" ht="15" hidden="false" customHeight="false" outlineLevel="0" collapsed="false">
      <c r="A83" s="14" t="s">
        <v>122</v>
      </c>
      <c r="B83" s="22" t="n">
        <f aca="false">B45/B82</f>
        <v>0.28042110081245</v>
      </c>
    </row>
    <row r="84" customFormat="false" ht="15" hidden="false" customHeight="false" outlineLevel="0" collapsed="false">
      <c r="A84" s="5" t="s">
        <v>123</v>
      </c>
      <c r="B84" s="12" t="n">
        <f aca="false">B29-B30</f>
        <v>197005000</v>
      </c>
    </row>
    <row r="85" customFormat="false" ht="15" hidden="false" customHeight="false" outlineLevel="0" collapsed="false">
      <c r="A85" s="5" t="s">
        <v>122</v>
      </c>
      <c r="B85" s="20" t="n">
        <f aca="false">B45/B84</f>
        <v>0.310981954772722</v>
      </c>
    </row>
    <row r="86" customFormat="false" ht="15" hidden="false" customHeight="false" outlineLevel="0" collapsed="false">
      <c r="A86" s="5" t="s">
        <v>124</v>
      </c>
      <c r="B86" s="12" t="n">
        <f aca="false">B29-B37-C18-B30</f>
        <v>135740000</v>
      </c>
    </row>
    <row r="87" customFormat="false" ht="15" hidden="false" customHeight="false" outlineLevel="0" collapsed="false">
      <c r="A87" s="5" t="s">
        <v>125</v>
      </c>
      <c r="B87" s="20" t="n">
        <f aca="false">B45/B47</f>
        <v>0.38970167292157</v>
      </c>
    </row>
    <row r="88" customFormat="false" ht="15" hidden="false" customHeight="false" outlineLevel="0" collapsed="false">
      <c r="A88" s="5" t="s">
        <v>126</v>
      </c>
      <c r="B88" s="20" t="n">
        <f aca="false">B37/B82</f>
        <v>0.182148987298318</v>
      </c>
    </row>
    <row r="89" customFormat="false" ht="15" hidden="false" customHeight="false" outlineLevel="0" collapsed="false">
      <c r="A89" s="5" t="s">
        <v>127</v>
      </c>
      <c r="B89" s="20" t="n">
        <f aca="false">B37/B84</f>
        <v>0.201999949239867</v>
      </c>
    </row>
    <row r="90" customFormat="false" ht="15" hidden="false" customHeight="false" outlineLevel="0" collapsed="false">
      <c r="A90" s="5" t="s">
        <v>128</v>
      </c>
      <c r="B90" s="12" t="n">
        <f aca="false">Inputs!B10*B82</f>
        <v>43695000</v>
      </c>
    </row>
    <row r="91" customFormat="false" ht="15" hidden="false" customHeight="false" outlineLevel="0" collapsed="false">
      <c r="A91" s="5" t="s">
        <v>129</v>
      </c>
      <c r="B91" s="21" t="n">
        <f aca="false">B45/B90</f>
        <v>1.40210550406225</v>
      </c>
    </row>
    <row r="92" customFormat="false" ht="15" hidden="false" customHeight="false" outlineLevel="0" collapsed="false">
      <c r="A92" s="5" t="s">
        <v>130</v>
      </c>
      <c r="B92" s="12" t="n">
        <f aca="false">Inputs!B10*B84</f>
        <v>39401000</v>
      </c>
    </row>
    <row r="93" customFormat="false" ht="15" hidden="false" customHeight="false" outlineLevel="0" collapsed="false">
      <c r="A93" s="5" t="s">
        <v>129</v>
      </c>
      <c r="B93" s="21" t="n">
        <f aca="false">B45/B92</f>
        <v>1.55490977386361</v>
      </c>
    </row>
    <row r="94" customFormat="false" ht="15" hidden="false" customHeight="false" outlineLevel="0" collapsed="false">
      <c r="A94" s="5" t="s">
        <v>131</v>
      </c>
      <c r="B94" s="12" t="n">
        <f aca="false">C18/Inputs!B11</f>
        <v>2147000</v>
      </c>
    </row>
    <row r="95" customFormat="false" ht="15" hidden="false" customHeight="false" outlineLevel="0" collapsed="false">
      <c r="A95" s="5" t="s">
        <v>132</v>
      </c>
      <c r="B95" s="12" t="n">
        <f aca="false">C18/COUNTIF(Inputs!G14:G41,"&gt;0")</f>
        <v>766785.714285714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18"/>
    <col collapsed="false" customWidth="true" hidden="false" outlineLevel="0" max="4" min="4" style="0" width="16"/>
    <col collapsed="false" customWidth="true" hidden="false" outlineLevel="0" max="5" min="5" style="0" width="18"/>
    <col collapsed="false" customWidth="true" hidden="false" outlineLevel="0" max="8" min="6" style="0" width="16"/>
    <col collapsed="false" customWidth="true" hidden="false" outlineLevel="0" max="9" min="9" style="0" width="18"/>
  </cols>
  <sheetData>
    <row r="1" customFormat="false" ht="19.7" hidden="false" customHeight="false" outlineLevel="0" collapsed="false">
      <c r="A1" s="1" t="s">
        <v>133</v>
      </c>
    </row>
    <row r="2" customFormat="false" ht="15" hidden="false" customHeight="false" outlineLevel="0" collapsed="false">
      <c r="A2" s="2" t="s">
        <v>134</v>
      </c>
    </row>
    <row r="5" customFormat="false" ht="15" hidden="false" customHeight="false" outlineLevel="0" collapsed="false">
      <c r="A5" s="9" t="s">
        <v>135</v>
      </c>
      <c r="B5" s="9" t="s">
        <v>31</v>
      </c>
      <c r="C5" s="9" t="s">
        <v>136</v>
      </c>
      <c r="D5" s="9" t="s">
        <v>137</v>
      </c>
    </row>
    <row r="6" customFormat="false" ht="15" hidden="false" customHeight="false" outlineLevel="0" collapsed="false">
      <c r="A6" s="5" t="s">
        <v>138</v>
      </c>
      <c r="B6" s="16" t="n">
        <f aca="false">Fund!B35</f>
        <v>2.67413793103448</v>
      </c>
      <c r="C6" s="12" t="n">
        <f aca="false">Fund!B27</f>
        <v>130500000</v>
      </c>
      <c r="D6" s="22" t="n">
        <f aca="false">IRR(G26:G35)</f>
        <v>0.217217025188195</v>
      </c>
    </row>
    <row r="7" customFormat="false" ht="15" hidden="false" customHeight="false" outlineLevel="0" collapsed="false">
      <c r="A7" s="5" t="s">
        <v>139</v>
      </c>
      <c r="B7" s="16" t="n">
        <f aca="false">Fund!B29/Fund!B30</f>
        <v>2.29634138316773</v>
      </c>
      <c r="C7" s="12" t="n">
        <f aca="false">Fund!B30</f>
        <v>151970000</v>
      </c>
      <c r="D7" s="22" t="n">
        <f aca="false">IRR(H26:H35)</f>
        <v>0.18335653757421</v>
      </c>
    </row>
    <row r="8" customFormat="false" ht="15" hidden="false" customHeight="false" outlineLevel="0" collapsed="false">
      <c r="A8" s="5" t="s">
        <v>140</v>
      </c>
      <c r="B8" s="16" t="n">
        <f aca="false">Fund!B38/Fund!B30</f>
        <v>2.03448048957031</v>
      </c>
      <c r="C8" s="12" t="n">
        <f aca="false">Fund!B30</f>
        <v>151970000</v>
      </c>
      <c r="D8" s="22" t="n">
        <f aca="false">IRR(I26:I35)</f>
        <v>0.157734383050326</v>
      </c>
    </row>
    <row r="10" customFormat="false" ht="15" hidden="false" customHeight="false" outlineLevel="0" collapsed="false">
      <c r="A10" s="3" t="s">
        <v>141</v>
      </c>
    </row>
    <row r="11" customFormat="false" ht="15" hidden="false" customHeight="false" outlineLevel="0" collapsed="false">
      <c r="A11" s="9"/>
      <c r="B11" s="9" t="s">
        <v>142</v>
      </c>
      <c r="C11" s="9" t="s">
        <v>143</v>
      </c>
      <c r="D11" s="9" t="s">
        <v>144</v>
      </c>
    </row>
    <row r="12" customFormat="false" ht="15" hidden="false" customHeight="false" outlineLevel="0" collapsed="false">
      <c r="A12" s="5" t="s">
        <v>145</v>
      </c>
      <c r="B12" s="20" t="n">
        <f aca="false">(B6-B7)/B6</f>
        <v>0.141277883792854</v>
      </c>
      <c r="C12" s="20" t="n">
        <f aca="false">(D6-D7)/D6</f>
        <v>0.155883212122296</v>
      </c>
      <c r="D12" s="20" t="n">
        <f aca="false">D6-D7</f>
        <v>0.0338604876139857</v>
      </c>
    </row>
    <row r="13" customFormat="false" ht="15" hidden="false" customHeight="false" outlineLevel="0" collapsed="false">
      <c r="A13" s="5" t="s">
        <v>146</v>
      </c>
      <c r="B13" s="20" t="n">
        <f aca="false">(B7-B8)/B7</f>
        <v>0.114033956587148</v>
      </c>
      <c r="C13" s="20" t="n">
        <f aca="false">(D7-D8)/D7</f>
        <v>0.139739519860389</v>
      </c>
      <c r="D13" s="20" t="n">
        <f aca="false">D7-D8</f>
        <v>0.0256221545238834</v>
      </c>
    </row>
    <row r="14" customFormat="false" ht="15" hidden="false" customHeight="false" outlineLevel="0" collapsed="false">
      <c r="A14" s="5" t="s">
        <v>147</v>
      </c>
      <c r="B14" s="20" t="n">
        <f aca="false">(Fund!B35-Fund!B39)/Fund!B35</f>
        <v>0.229209542230819</v>
      </c>
      <c r="C14" s="20" t="n">
        <f aca="false">(D7-D8)/D7</f>
        <v>0.139739519860389</v>
      </c>
      <c r="D14" s="20" t="n">
        <f aca="false">D7-D8</f>
        <v>0.0256221545238834</v>
      </c>
    </row>
    <row r="15" customFormat="false" ht="15" hidden="false" customHeight="false" outlineLevel="0" collapsed="false">
      <c r="A15" s="2" t="s">
        <v>148</v>
      </c>
    </row>
    <row r="16" customFormat="false" ht="15" hidden="false" customHeight="false" outlineLevel="0" collapsed="false">
      <c r="A16" s="3" t="s">
        <v>149</v>
      </c>
    </row>
    <row r="17" customFormat="false" ht="23.85" hidden="false" customHeight="false" outlineLevel="0" collapsed="false">
      <c r="A17" s="9"/>
      <c r="B17" s="9" t="s">
        <v>31</v>
      </c>
      <c r="C17" s="9" t="s">
        <v>150</v>
      </c>
    </row>
    <row r="18" customFormat="false" ht="15" hidden="false" customHeight="false" outlineLevel="0" collapsed="false">
      <c r="A18" s="5" t="s">
        <v>151</v>
      </c>
      <c r="B18" s="16" t="n">
        <f aca="false">Fund!B34</f>
        <v>3.6376</v>
      </c>
      <c r="C18" s="5" t="s">
        <v>152</v>
      </c>
    </row>
    <row r="19" customFormat="false" ht="15" hidden="false" customHeight="false" outlineLevel="0" collapsed="false">
      <c r="A19" s="5" t="s">
        <v>153</v>
      </c>
      <c r="B19" s="16" t="n">
        <f aca="false">Fund!B35</f>
        <v>2.67413793103448</v>
      </c>
      <c r="C19" s="5" t="s">
        <v>154</v>
      </c>
    </row>
    <row r="20" customFormat="false" ht="15" hidden="false" customHeight="false" outlineLevel="0" collapsed="false">
      <c r="A20" s="5" t="s">
        <v>155</v>
      </c>
      <c r="B20" s="16" t="n">
        <f aca="false">Fund!B36</f>
        <v>2.3265</v>
      </c>
      <c r="C20" s="5" t="s">
        <v>156</v>
      </c>
    </row>
    <row r="21" customFormat="false" ht="15" hidden="false" customHeight="false" outlineLevel="0" collapsed="false">
      <c r="A21" s="5" t="s">
        <v>157</v>
      </c>
      <c r="B21" s="16" t="n">
        <f aca="false">Fund!B39</f>
        <v>2.0612</v>
      </c>
      <c r="C21" s="5" t="s">
        <v>158</v>
      </c>
    </row>
    <row r="23" customFormat="false" ht="15" hidden="false" customHeight="false" outlineLevel="0" collapsed="false">
      <c r="A23" s="3" t="s">
        <v>159</v>
      </c>
    </row>
    <row r="24" customFormat="false" ht="15" hidden="false" customHeight="false" outlineLevel="0" collapsed="false">
      <c r="A24" s="2" t="s">
        <v>160</v>
      </c>
    </row>
    <row r="25" customFormat="false" ht="23.85" hidden="false" customHeight="false" outlineLevel="0" collapsed="false">
      <c r="A25" s="9" t="s">
        <v>66</v>
      </c>
      <c r="B25" s="9" t="s">
        <v>29</v>
      </c>
      <c r="C25" s="9" t="s">
        <v>68</v>
      </c>
      <c r="D25" s="9" t="s">
        <v>161</v>
      </c>
      <c r="E25" s="9" t="s">
        <v>162</v>
      </c>
      <c r="F25" s="9" t="s">
        <v>163</v>
      </c>
      <c r="G25" s="9" t="s">
        <v>164</v>
      </c>
      <c r="H25" s="9" t="s">
        <v>165</v>
      </c>
      <c r="I25" s="9" t="s">
        <v>166</v>
      </c>
    </row>
    <row r="26" customFormat="false" ht="15" hidden="false" customHeight="false" outlineLevel="0" collapsed="false">
      <c r="A26" s="17" t="n">
        <v>1</v>
      </c>
      <c r="B26" s="24" t="n">
        <v>16000000</v>
      </c>
      <c r="C26" s="12" t="n">
        <f aca="false">Fund!C8</f>
        <v>3000000</v>
      </c>
      <c r="D26" s="25" t="n">
        <f aca="false">B26+C26</f>
        <v>19000000</v>
      </c>
      <c r="E26" s="12" t="n">
        <f aca="false">SUMIF(Inputs!$F$14:$F$41,A26,Inputs!$H$14:$H$41)</f>
        <v>0</v>
      </c>
      <c r="F26" s="12" t="n">
        <f aca="false">Inputs!$B$10*MAX(0,SUM($E$26:E26)-Inputs!$B$7)-SUM($F$25:F25)</f>
        <v>0</v>
      </c>
      <c r="G26" s="25" t="n">
        <f aca="false">E26-B26</f>
        <v>-16000000</v>
      </c>
      <c r="H26" s="25" t="n">
        <f aca="false">E26-D26</f>
        <v>-19000000</v>
      </c>
      <c r="I26" s="25" t="n">
        <f aca="false">E26-F26-D26</f>
        <v>-19000000</v>
      </c>
    </row>
    <row r="27" customFormat="false" ht="15" hidden="false" customHeight="false" outlineLevel="0" collapsed="false">
      <c r="A27" s="17" t="n">
        <v>2</v>
      </c>
      <c r="B27" s="24" t="n">
        <v>15500000</v>
      </c>
      <c r="C27" s="12" t="n">
        <f aca="false">Fund!C9</f>
        <v>3000000</v>
      </c>
      <c r="D27" s="25" t="n">
        <f aca="false">B27+C27</f>
        <v>18500000</v>
      </c>
      <c r="E27" s="12" t="n">
        <f aca="false">SUMIF(Inputs!$F$14:$F$41,A27,Inputs!$H$14:$H$41)</f>
        <v>0</v>
      </c>
      <c r="F27" s="12" t="n">
        <f aca="false">Inputs!$B$10*MAX(0,SUM($E$26:E27)-Inputs!$B$7)-SUM($F$25:F26)</f>
        <v>0</v>
      </c>
      <c r="G27" s="25" t="n">
        <f aca="false">E27-B27</f>
        <v>-15500000</v>
      </c>
      <c r="H27" s="25" t="n">
        <f aca="false">E27-D27</f>
        <v>-18500000</v>
      </c>
      <c r="I27" s="25" t="n">
        <f aca="false">E27-F27-D27</f>
        <v>-18500000</v>
      </c>
    </row>
    <row r="28" customFormat="false" ht="15" hidden="false" customHeight="false" outlineLevel="0" collapsed="false">
      <c r="A28" s="17" t="n">
        <v>3</v>
      </c>
      <c r="B28" s="24" t="n">
        <v>23500000</v>
      </c>
      <c r="C28" s="12" t="n">
        <f aca="false">Fund!C10</f>
        <v>3000000</v>
      </c>
      <c r="D28" s="25" t="n">
        <f aca="false">B28+C28</f>
        <v>26500000</v>
      </c>
      <c r="E28" s="12" t="n">
        <f aca="false">SUMIF(Inputs!$F$14:$F$41,A28,Inputs!$H$14:$H$41)</f>
        <v>0</v>
      </c>
      <c r="F28" s="12" t="n">
        <f aca="false">Inputs!$B$10*MAX(0,SUM($E$26:E28)-Inputs!$B$7)-SUM($F$25:F27)</f>
        <v>0</v>
      </c>
      <c r="G28" s="25" t="n">
        <f aca="false">E28-B28</f>
        <v>-23500000</v>
      </c>
      <c r="H28" s="25" t="n">
        <f aca="false">E28-D28</f>
        <v>-26500000</v>
      </c>
      <c r="I28" s="25" t="n">
        <f aca="false">E28-F28-D28</f>
        <v>-26500000</v>
      </c>
    </row>
    <row r="29" customFormat="false" ht="15" hidden="false" customHeight="false" outlineLevel="0" collapsed="false">
      <c r="A29" s="17" t="n">
        <v>4</v>
      </c>
      <c r="B29" s="24" t="n">
        <v>28500000</v>
      </c>
      <c r="C29" s="12" t="n">
        <f aca="false">Fund!C11</f>
        <v>3000000</v>
      </c>
      <c r="D29" s="25" t="n">
        <f aca="false">B29+C29</f>
        <v>31500000</v>
      </c>
      <c r="E29" s="12" t="n">
        <f aca="false">SUMIF(Inputs!$F$14:$F$41,A29,Inputs!$H$14:$H$41)</f>
        <v>0</v>
      </c>
      <c r="F29" s="12" t="n">
        <f aca="false">Inputs!$B$10*MAX(0,SUM($E$26:E29)-Inputs!$B$7)-SUM($F$25:F28)</f>
        <v>0</v>
      </c>
      <c r="G29" s="25" t="n">
        <f aca="false">E29-B29</f>
        <v>-28500000</v>
      </c>
      <c r="H29" s="25" t="n">
        <f aca="false">E29-D29</f>
        <v>-31500000</v>
      </c>
      <c r="I29" s="25" t="n">
        <f aca="false">E29-F29-D29</f>
        <v>-31500000</v>
      </c>
    </row>
    <row r="30" customFormat="false" ht="15" hidden="false" customHeight="false" outlineLevel="0" collapsed="false">
      <c r="A30" s="17" t="n">
        <v>5</v>
      </c>
      <c r="B30" s="24" t="n">
        <v>18500000</v>
      </c>
      <c r="C30" s="12" t="n">
        <f aca="false">Fund!C12</f>
        <v>3000000</v>
      </c>
      <c r="D30" s="25" t="n">
        <f aca="false">B30+C30</f>
        <v>21500000</v>
      </c>
      <c r="E30" s="12" t="n">
        <f aca="false">SUMIF(Inputs!$F$14:$F$41,A30,Inputs!$H$14:$H$41)</f>
        <v>560000</v>
      </c>
      <c r="F30" s="12" t="n">
        <f aca="false">Inputs!$B$10*MAX(0,SUM($E$26:E30)-Inputs!$B$7)-SUM($F$25:F29)</f>
        <v>0</v>
      </c>
      <c r="G30" s="25" t="n">
        <f aca="false">E30-B30</f>
        <v>-17940000</v>
      </c>
      <c r="H30" s="25" t="n">
        <f aca="false">E30-D30</f>
        <v>-20940000</v>
      </c>
      <c r="I30" s="25" t="n">
        <f aca="false">E30-F30-D30</f>
        <v>-20940000</v>
      </c>
    </row>
    <row r="31" customFormat="false" ht="15" hidden="false" customHeight="false" outlineLevel="0" collapsed="false">
      <c r="A31" s="17" t="n">
        <v>6</v>
      </c>
      <c r="B31" s="24" t="n">
        <v>15166666.67</v>
      </c>
      <c r="C31" s="12" t="n">
        <f aca="false">Fund!C13</f>
        <v>2090000</v>
      </c>
      <c r="D31" s="25" t="n">
        <f aca="false">B31+C31</f>
        <v>17256666.67</v>
      </c>
      <c r="E31" s="12" t="n">
        <f aca="false">SUMIF(Inputs!$F$14:$F$41,A31,Inputs!$H$14:$H$41)</f>
        <v>3840000</v>
      </c>
      <c r="F31" s="12" t="n">
        <f aca="false">Inputs!$B$10*MAX(0,SUM($E$26:E31)-Inputs!$B$7)-SUM($F$25:F30)</f>
        <v>0</v>
      </c>
      <c r="G31" s="25" t="n">
        <f aca="false">E31-B31</f>
        <v>-11326666.67</v>
      </c>
      <c r="H31" s="25" t="n">
        <f aca="false">E31-D31</f>
        <v>-13416666.67</v>
      </c>
      <c r="I31" s="25" t="n">
        <f aca="false">E31-F31-D31</f>
        <v>-13416666.67</v>
      </c>
    </row>
    <row r="32" customFormat="false" ht="15" hidden="false" customHeight="false" outlineLevel="0" collapsed="false">
      <c r="A32" s="17" t="n">
        <v>7</v>
      </c>
      <c r="B32" s="24" t="n">
        <v>13333333.33</v>
      </c>
      <c r="C32" s="12" t="n">
        <f aca="false">Fund!C14</f>
        <v>1810000</v>
      </c>
      <c r="D32" s="25" t="n">
        <f aca="false">B32+C32</f>
        <v>15143333.33</v>
      </c>
      <c r="E32" s="12" t="n">
        <f aca="false">SUMIF(Inputs!$F$14:$F$41,A32,Inputs!$H$14:$H$41)</f>
        <v>27125000</v>
      </c>
      <c r="F32" s="12" t="n">
        <f aca="false">Inputs!$B$10*MAX(0,SUM($E$26:E32)-Inputs!$B$7)-SUM($F$25:F31)</f>
        <v>0</v>
      </c>
      <c r="G32" s="25" t="n">
        <f aca="false">E32-B32</f>
        <v>13791666.67</v>
      </c>
      <c r="H32" s="25" t="n">
        <f aca="false">E32-D32</f>
        <v>11981666.67</v>
      </c>
      <c r="I32" s="25" t="n">
        <f aca="false">E32-F32-D32</f>
        <v>11981666.67</v>
      </c>
    </row>
    <row r="33" customFormat="false" ht="15" hidden="false" customHeight="false" outlineLevel="0" collapsed="false">
      <c r="A33" s="17" t="n">
        <v>8</v>
      </c>
      <c r="B33" s="24" t="n">
        <v>0</v>
      </c>
      <c r="C33" s="12" t="n">
        <f aca="false">Fund!C15</f>
        <v>1410000</v>
      </c>
      <c r="D33" s="25" t="n">
        <f aca="false">B33+C33</f>
        <v>1410000</v>
      </c>
      <c r="E33" s="12" t="n">
        <f aca="false">SUMIF(Inputs!$F$14:$F$41,A33,Inputs!$H$14:$H$41)</f>
        <v>71150000</v>
      </c>
      <c r="F33" s="12" t="n">
        <f aca="false">Inputs!$B$10*MAX(0,SUM($E$26:E33)-Inputs!$B$7)-SUM($F$25:F32)</f>
        <v>0</v>
      </c>
      <c r="G33" s="25" t="n">
        <f aca="false">E33-B33</f>
        <v>71150000</v>
      </c>
      <c r="H33" s="25" t="n">
        <f aca="false">E33-D33</f>
        <v>69740000</v>
      </c>
      <c r="I33" s="25" t="n">
        <f aca="false">E33-F33-D33</f>
        <v>69740000</v>
      </c>
    </row>
    <row r="34" customFormat="false" ht="15" hidden="false" customHeight="false" outlineLevel="0" collapsed="false">
      <c r="A34" s="17" t="n">
        <v>9</v>
      </c>
      <c r="B34" s="24" t="n">
        <v>0</v>
      </c>
      <c r="C34" s="12" t="n">
        <f aca="false">Fund!C16</f>
        <v>900000</v>
      </c>
      <c r="D34" s="25" t="n">
        <f aca="false">B34+C34</f>
        <v>900000</v>
      </c>
      <c r="E34" s="12" t="n">
        <f aca="false">SUMIF(Inputs!$F$14:$F$41,A34,Inputs!$H$14:$H$41)</f>
        <v>232400000</v>
      </c>
      <c r="F34" s="12" t="n">
        <f aca="false">Inputs!$B$10*MAX(0,SUM($E$26:E34)-Inputs!$B$7)-SUM($F$25:F33)</f>
        <v>37015000</v>
      </c>
      <c r="G34" s="25" t="n">
        <f aca="false">E34-B34</f>
        <v>232400000</v>
      </c>
      <c r="H34" s="25" t="n">
        <f aca="false">E34-D34</f>
        <v>231500000</v>
      </c>
      <c r="I34" s="25" t="n">
        <f aca="false">E34-F34-D34</f>
        <v>194485000</v>
      </c>
    </row>
    <row r="35" customFormat="false" ht="15" hidden="false" customHeight="false" outlineLevel="0" collapsed="false">
      <c r="A35" s="17" t="n">
        <v>10</v>
      </c>
      <c r="B35" s="24" t="n">
        <v>0</v>
      </c>
      <c r="C35" s="12" t="n">
        <f aca="false">Fund!C17</f>
        <v>260000</v>
      </c>
      <c r="D35" s="25" t="n">
        <f aca="false">B35+C35</f>
        <v>260000</v>
      </c>
      <c r="E35" s="12" t="n">
        <f aca="false">SUMIF(Inputs!$F$14:$F$41,A35,Inputs!$H$14:$H$41)</f>
        <v>13900000</v>
      </c>
      <c r="F35" s="12" t="n">
        <f aca="false">Inputs!$B$10*MAX(0,SUM($E$26:E35)-Inputs!$B$7)-SUM($F$25:F34)</f>
        <v>2780000</v>
      </c>
      <c r="G35" s="25" t="n">
        <f aca="false">E35-B35</f>
        <v>13900000</v>
      </c>
      <c r="H35" s="25" t="n">
        <f aca="false">E35-D35</f>
        <v>13640000</v>
      </c>
      <c r="I35" s="25" t="n">
        <f aca="false">E35-F35-D35</f>
        <v>10860000</v>
      </c>
    </row>
    <row r="36" customFormat="false" ht="15" hidden="false" customHeight="false" outlineLevel="0" collapsed="false">
      <c r="A36" s="14" t="s">
        <v>60</v>
      </c>
      <c r="B36" s="26" t="n">
        <f aca="false">SUM(B26:B35)</f>
        <v>130500000</v>
      </c>
      <c r="C36" s="26" t="n">
        <f aca="false">SUM(C26:C35)</f>
        <v>21470000</v>
      </c>
      <c r="D36" s="26" t="n">
        <f aca="false">SUM(D26:D35)</f>
        <v>151970000</v>
      </c>
      <c r="E36" s="26" t="n">
        <f aca="false">SUM(E26:E35)</f>
        <v>348975000</v>
      </c>
      <c r="F36" s="26" t="n">
        <f aca="false">SUM(F26:F35)</f>
        <v>39795000</v>
      </c>
      <c r="G36" s="26" t="n">
        <f aca="false">SUM(G26:G35)</f>
        <v>218475000</v>
      </c>
      <c r="H36" s="26" t="n">
        <f aca="false">SUM(H26:H35)</f>
        <v>197005000</v>
      </c>
      <c r="I36" s="26" t="n">
        <f aca="false">SUM(I26:I35)</f>
        <v>157210000</v>
      </c>
    </row>
    <row r="38" customFormat="false" ht="15" hidden="false" customHeight="false" outlineLevel="0" collapsed="false">
      <c r="A38" s="5" t="s">
        <v>167</v>
      </c>
      <c r="B38" s="20" t="n">
        <f aca="false">C26/D26</f>
        <v>0.157894736842105</v>
      </c>
    </row>
    <row r="39" customFormat="false" ht="15" hidden="false" customHeight="false" outlineLevel="0" collapsed="false">
      <c r="A39" s="5" t="s">
        <v>168</v>
      </c>
      <c r="B39" s="20" t="n">
        <f aca="false">Fund!B54</f>
        <v>0.698649278062413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0"/>
    <col collapsed="false" customWidth="true" hidden="false" outlineLevel="0" max="4" min="3" style="0" width="18"/>
    <col collapsed="false" customWidth="true" hidden="false" outlineLevel="0" max="5" min="5" style="0" width="12"/>
    <col collapsed="false" customWidth="true" hidden="false" outlineLevel="0" max="6" min="6" style="0" width="10"/>
    <col collapsed="false" customWidth="true" hidden="false" outlineLevel="0" max="7" min="7" style="0" width="58"/>
  </cols>
  <sheetData>
    <row r="1" customFormat="false" ht="19.7" hidden="false" customHeight="false" outlineLevel="0" collapsed="false">
      <c r="A1" s="1" t="s">
        <v>169</v>
      </c>
    </row>
    <row r="2" customFormat="false" ht="15" hidden="false" customHeight="false" outlineLevel="0" collapsed="false">
      <c r="A2" s="2" t="s">
        <v>170</v>
      </c>
    </row>
    <row r="5" customFormat="false" ht="15" hidden="false" customHeight="false" outlineLevel="0" collapsed="false">
      <c r="A5" s="9" t="s">
        <v>171</v>
      </c>
      <c r="B5" s="9" t="s">
        <v>172</v>
      </c>
      <c r="C5" s="9" t="s">
        <v>173</v>
      </c>
      <c r="D5" s="9" t="s">
        <v>174</v>
      </c>
      <c r="E5" s="9" t="s">
        <v>175</v>
      </c>
      <c r="F5" s="9" t="s">
        <v>176</v>
      </c>
      <c r="G5" s="9" t="s">
        <v>177</v>
      </c>
    </row>
    <row r="6" customFormat="false" ht="15" hidden="false" customHeight="false" outlineLevel="0" collapsed="false">
      <c r="A6" s="5" t="s">
        <v>178</v>
      </c>
      <c r="B6" s="4" t="s">
        <v>179</v>
      </c>
      <c r="C6" s="13" t="n">
        <v>3.6376</v>
      </c>
      <c r="D6" s="13" t="n">
        <f aca="false">Fund!B34</f>
        <v>3.6376</v>
      </c>
      <c r="E6" s="27" t="n">
        <f aca="false">IF(ISNUMBER(D6),D6-C6,"")</f>
        <v>0</v>
      </c>
      <c r="F6" s="14" t="str">
        <f aca="false">IF(ISNUMBER(D6),IF(ABS(E6)&lt;=0.00005,"PASS","FAIL"),"FAIL")</f>
        <v>PASS</v>
      </c>
      <c r="G6" s="2"/>
    </row>
    <row r="7" customFormat="false" ht="15" hidden="false" customHeight="false" outlineLevel="0" collapsed="false">
      <c r="A7" s="28" t="s">
        <v>178</v>
      </c>
      <c r="B7" s="29" t="s">
        <v>180</v>
      </c>
      <c r="C7" s="30" t="n">
        <v>2.6741</v>
      </c>
      <c r="D7" s="30" t="n">
        <f aca="false">Fund!B35</f>
        <v>2.67413793103448</v>
      </c>
      <c r="E7" s="31" t="n">
        <f aca="false">IF(ISNUMBER(D7),D7-C7,"")</f>
        <v>3.79310344826855E-005</v>
      </c>
      <c r="F7" s="32" t="str">
        <f aca="false">IF(ISNUMBER(D7),IF(ABS(E7)&lt;=0.00005,"PASS","FAIL"),"FAIL")</f>
        <v>PASS</v>
      </c>
      <c r="G7" s="33"/>
    </row>
    <row r="8" customFormat="false" ht="15" hidden="false" customHeight="false" outlineLevel="0" collapsed="false">
      <c r="A8" s="5" t="s">
        <v>178</v>
      </c>
      <c r="B8" s="4" t="s">
        <v>181</v>
      </c>
      <c r="C8" s="13" t="n">
        <v>2.3265</v>
      </c>
      <c r="D8" s="13" t="n">
        <f aca="false">Fund!B36</f>
        <v>2.3265</v>
      </c>
      <c r="E8" s="27" t="n">
        <f aca="false">IF(ISNUMBER(D8),D8-C8,"")</f>
        <v>0</v>
      </c>
      <c r="F8" s="14" t="str">
        <f aca="false">IF(ISNUMBER(D8),IF(ABS(E8)&lt;=0.00005,"PASS","FAIL"),"FAIL")</f>
        <v>PASS</v>
      </c>
      <c r="G8" s="2"/>
    </row>
    <row r="9" customFormat="false" ht="15" hidden="false" customHeight="false" outlineLevel="0" collapsed="false">
      <c r="A9" s="28" t="s">
        <v>178</v>
      </c>
      <c r="B9" s="29" t="s">
        <v>182</v>
      </c>
      <c r="C9" s="30" t="n">
        <v>2.0612</v>
      </c>
      <c r="D9" s="30" t="n">
        <f aca="false">Fund!B39</f>
        <v>2.0612</v>
      </c>
      <c r="E9" s="31" t="n">
        <f aca="false">IF(ISNUMBER(D9),D9-C9,"")</f>
        <v>0</v>
      </c>
      <c r="F9" s="32" t="str">
        <f aca="false">IF(ISNUMBER(D9),IF(ABS(E9)&lt;=0.00005,"PASS","FAIL"),"FAIL")</f>
        <v>PASS</v>
      </c>
      <c r="G9" s="33"/>
    </row>
    <row r="10" customFormat="false" ht="15" hidden="false" customHeight="false" outlineLevel="0" collapsed="false">
      <c r="A10" s="5" t="s">
        <v>178</v>
      </c>
      <c r="B10" s="4" t="s">
        <v>183</v>
      </c>
      <c r="C10" s="21" t="n">
        <v>1.5764</v>
      </c>
      <c r="D10" s="21" t="n">
        <f aca="false">Fund!B40</f>
        <v>1.5764</v>
      </c>
      <c r="E10" s="27" t="n">
        <f aca="false">IF(ISNUMBER(D10),D10-C10,"")</f>
        <v>0</v>
      </c>
      <c r="F10" s="14" t="str">
        <f aca="false">IF(ISNUMBER(D10),IF(ABS(E10)&lt;=0.00005,"PASS","FAIL"),"FAIL")</f>
        <v>PASS</v>
      </c>
      <c r="G10" s="2"/>
    </row>
    <row r="11" customFormat="false" ht="15" hidden="false" customHeight="false" outlineLevel="0" collapsed="false">
      <c r="A11" s="28" t="s">
        <v>178</v>
      </c>
      <c r="B11" s="29" t="s">
        <v>89</v>
      </c>
      <c r="C11" s="34" t="n">
        <v>1.7648</v>
      </c>
      <c r="D11" s="34" t="n">
        <f aca="false">Fund!B41</f>
        <v>1.76479720551135</v>
      </c>
      <c r="E11" s="31" t="n">
        <f aca="false">IF(ISNUMBER(D11),D11-C11,"")</f>
        <v>-2.79448864737297E-006</v>
      </c>
      <c r="F11" s="32" t="str">
        <f aca="false">IF(ISNUMBER(D11),IF(ABS(E11)&lt;=0.00005,"PASS","FAIL"),"FAIL")</f>
        <v>PASS</v>
      </c>
      <c r="G11" s="33"/>
    </row>
    <row r="12" customFormat="false" ht="15" hidden="false" customHeight="false" outlineLevel="0" collapsed="false">
      <c r="A12" s="5" t="s">
        <v>178</v>
      </c>
      <c r="B12" s="4" t="s">
        <v>75</v>
      </c>
      <c r="C12" s="12" t="n">
        <v>62500000</v>
      </c>
      <c r="D12" s="12" t="n">
        <f aca="false">Fund!B25</f>
        <v>62500000</v>
      </c>
      <c r="E12" s="27" t="n">
        <f aca="false">IF(ISNUMBER(D12),D12-C12,"")</f>
        <v>0</v>
      </c>
      <c r="F12" s="14" t="str">
        <f aca="false">IF(ISNUMBER(D12),IF(ABS(E12)&lt;=0.5,"PASS","FAIL"),"FAIL")</f>
        <v>PASS</v>
      </c>
      <c r="G12" s="2"/>
    </row>
    <row r="13" customFormat="false" ht="15" hidden="false" customHeight="false" outlineLevel="0" collapsed="false">
      <c r="A13" s="28" t="s">
        <v>178</v>
      </c>
      <c r="B13" s="29" t="s">
        <v>76</v>
      </c>
      <c r="C13" s="19" t="n">
        <v>68000000</v>
      </c>
      <c r="D13" s="19" t="n">
        <f aca="false">Fund!B26</f>
        <v>68000000</v>
      </c>
      <c r="E13" s="31" t="n">
        <f aca="false">IF(ISNUMBER(D13),D13-C13,"")</f>
        <v>0</v>
      </c>
      <c r="F13" s="32" t="str">
        <f aca="false">IF(ISNUMBER(D13),IF(ABS(E13)&lt;=0.5,"PASS","FAIL"),"FAIL")</f>
        <v>PASS</v>
      </c>
      <c r="G13" s="33"/>
    </row>
    <row r="14" customFormat="false" ht="15" hidden="false" customHeight="false" outlineLevel="0" collapsed="false">
      <c r="A14" s="5" t="s">
        <v>178</v>
      </c>
      <c r="B14" s="4" t="s">
        <v>184</v>
      </c>
      <c r="C14" s="12" t="n">
        <v>227350000</v>
      </c>
      <c r="D14" s="12" t="n">
        <f aca="false">SUMPRODUCT(Inputs!B14:B41,Inputs!D14:D41)</f>
        <v>227350000</v>
      </c>
      <c r="E14" s="27" t="n">
        <f aca="false">IF(ISNUMBER(D14),D14-C14,"")</f>
        <v>0</v>
      </c>
      <c r="F14" s="14" t="str">
        <f aca="false">IF(ISNUMBER(D14),IF(ABS(E14)&lt;=0.5,"PASS","FAIL"),"FAIL")</f>
        <v>PASS</v>
      </c>
      <c r="G14" s="2"/>
    </row>
    <row r="15" customFormat="false" ht="15" hidden="false" customHeight="false" outlineLevel="0" collapsed="false">
      <c r="A15" s="28" t="s">
        <v>178</v>
      </c>
      <c r="B15" s="29" t="s">
        <v>79</v>
      </c>
      <c r="C15" s="19" t="n">
        <v>348975000</v>
      </c>
      <c r="D15" s="19" t="n">
        <f aca="false">Fund!B29</f>
        <v>348975000</v>
      </c>
      <c r="E15" s="31" t="n">
        <f aca="false">IF(ISNUMBER(D15),D15-C15,"")</f>
        <v>0</v>
      </c>
      <c r="F15" s="32" t="str">
        <f aca="false">IF(ISNUMBER(D15),IF(ABS(E15)&lt;=0.5,"PASS","FAIL"),"FAIL")</f>
        <v>PASS</v>
      </c>
      <c r="G15" s="33"/>
    </row>
    <row r="16" customFormat="false" ht="15" hidden="false" customHeight="false" outlineLevel="0" collapsed="false">
      <c r="A16" s="5" t="s">
        <v>178</v>
      </c>
      <c r="B16" s="4" t="s">
        <v>21</v>
      </c>
      <c r="C16" s="12" t="n">
        <v>39795000</v>
      </c>
      <c r="D16" s="12" t="n">
        <f aca="false">Fund!B37</f>
        <v>39795000</v>
      </c>
      <c r="E16" s="27" t="n">
        <f aca="false">IF(ISNUMBER(D16),D16-C16,"")</f>
        <v>0</v>
      </c>
      <c r="F16" s="14" t="str">
        <f aca="false">IF(ISNUMBER(D16),IF(ABS(E16)&lt;=0.5,"PASS","FAIL"),"FAIL")</f>
        <v>PASS</v>
      </c>
      <c r="G16" s="2"/>
    </row>
    <row r="17" customFormat="false" ht="15" hidden="false" customHeight="false" outlineLevel="0" collapsed="false">
      <c r="A17" s="28" t="s">
        <v>178</v>
      </c>
      <c r="B17" s="29" t="s">
        <v>86</v>
      </c>
      <c r="C17" s="19" t="n">
        <v>309180000</v>
      </c>
      <c r="D17" s="19" t="n">
        <f aca="false">Fund!B38</f>
        <v>309180000</v>
      </c>
      <c r="E17" s="31" t="n">
        <f aca="false">IF(ISNUMBER(D17),D17-C17,"")</f>
        <v>0</v>
      </c>
      <c r="F17" s="32" t="str">
        <f aca="false">IF(ISNUMBER(D17),IF(ABS(E17)&lt;=0.5,"PASS","FAIL"),"FAIL")</f>
        <v>PASS</v>
      </c>
      <c r="G17" s="33"/>
    </row>
    <row r="18" customFormat="false" ht="15" hidden="false" customHeight="false" outlineLevel="0" collapsed="false">
      <c r="A18" s="5" t="s">
        <v>178</v>
      </c>
      <c r="B18" s="4" t="s">
        <v>185</v>
      </c>
      <c r="C18" s="12" t="n">
        <v>128530000</v>
      </c>
      <c r="D18" s="12" t="n">
        <f aca="false">Fund!C20</f>
        <v>128530000</v>
      </c>
      <c r="E18" s="27" t="n">
        <f aca="false">IF(ISNUMBER(D18),D18-C18,"")</f>
        <v>0</v>
      </c>
      <c r="F18" s="14" t="str">
        <f aca="false">IF(ISNUMBER(D18),IF(ABS(E18)&lt;=0.5,"PASS","FAIL"),"FAIL")</f>
        <v>PASS</v>
      </c>
      <c r="G18" s="2"/>
    </row>
    <row r="19" customFormat="false" ht="15" hidden="false" customHeight="false" outlineLevel="0" collapsed="false">
      <c r="A19" s="28" t="s">
        <v>178</v>
      </c>
      <c r="B19" s="29" t="s">
        <v>186</v>
      </c>
      <c r="C19" s="19" t="n">
        <v>287710000</v>
      </c>
      <c r="D19" s="19" t="n">
        <f aca="false">Fund!B29-Fund!B45</f>
        <v>287710000</v>
      </c>
      <c r="E19" s="31" t="n">
        <f aca="false">IF(ISNUMBER(D19),D19-C19,"")</f>
        <v>0</v>
      </c>
      <c r="F19" s="32" t="str">
        <f aca="false">IF(ISNUMBER(D19),IF(ABS(E19)&lt;=0.5,"PASS","FAIL"),"FAIL")</f>
        <v>PASS</v>
      </c>
      <c r="G19" s="33"/>
    </row>
    <row r="20" customFormat="false" ht="15" hidden="false" customHeight="false" outlineLevel="0" collapsed="false">
      <c r="A20" s="5" t="s">
        <v>187</v>
      </c>
      <c r="B20" s="4" t="s">
        <v>188</v>
      </c>
      <c r="C20" s="12" t="n">
        <v>21470000</v>
      </c>
      <c r="D20" s="12" t="n">
        <f aca="false">Fund!C18</f>
        <v>21470000</v>
      </c>
      <c r="E20" s="27" t="n">
        <f aca="false">IF(ISNUMBER(D20),D20-C20,"")</f>
        <v>0</v>
      </c>
      <c r="F20" s="14" t="str">
        <f aca="false">IF(ISNUMBER(D20),IF(ABS(E20)&lt;=0.5,"PASS","FAIL"),"FAIL")</f>
        <v>PASS</v>
      </c>
      <c r="G20" s="2"/>
    </row>
    <row r="21" customFormat="false" ht="15" hidden="false" customHeight="false" outlineLevel="0" collapsed="false">
      <c r="A21" s="28" t="s">
        <v>187</v>
      </c>
      <c r="B21" s="29" t="s">
        <v>189</v>
      </c>
      <c r="C21" s="19" t="n">
        <v>2090000</v>
      </c>
      <c r="D21" s="19" t="n">
        <f aca="false">Fund!C13</f>
        <v>2090000</v>
      </c>
      <c r="E21" s="31" t="n">
        <f aca="false">IF(ISNUMBER(D21),D21-C21,"")</f>
        <v>0</v>
      </c>
      <c r="F21" s="32" t="str">
        <f aca="false">IF(ISNUMBER(D21),IF(ABS(E21)&lt;=0.5,"PASS","FAIL"),"FAIL")</f>
        <v>PASS</v>
      </c>
      <c r="G21" s="33"/>
    </row>
    <row r="22" customFormat="false" ht="15" hidden="false" customHeight="false" outlineLevel="0" collapsed="false">
      <c r="A22" s="5" t="s">
        <v>187</v>
      </c>
      <c r="B22" s="4" t="s">
        <v>190</v>
      </c>
      <c r="C22" s="12" t="n">
        <v>260000</v>
      </c>
      <c r="D22" s="12" t="n">
        <f aca="false">Fund!C17</f>
        <v>260000</v>
      </c>
      <c r="E22" s="27" t="n">
        <f aca="false">IF(ISNUMBER(D22),D22-C22,"")</f>
        <v>0</v>
      </c>
      <c r="F22" s="14" t="str">
        <f aca="false">IF(ISNUMBER(D22),IF(ABS(E22)&lt;=0.5,"PASS","FAIL"),"FAIL")</f>
        <v>PASS</v>
      </c>
      <c r="G22" s="2"/>
    </row>
    <row r="23" customFormat="false" ht="15" hidden="false" customHeight="false" outlineLevel="0" collapsed="false">
      <c r="A23" s="28" t="s">
        <v>187</v>
      </c>
      <c r="B23" s="29" t="s">
        <v>191</v>
      </c>
      <c r="C23" s="19" t="n">
        <v>6470000</v>
      </c>
      <c r="D23" s="19" t="n">
        <f aca="false">Fund!C18-Fund!B53</f>
        <v>6470000</v>
      </c>
      <c r="E23" s="31" t="n">
        <f aca="false">IF(ISNUMBER(D23),D23-C23,"")</f>
        <v>0</v>
      </c>
      <c r="F23" s="32" t="str">
        <f aca="false">IF(ISNUMBER(D23),IF(ABS(E23)&lt;=0.5,"PASS","FAIL"),"FAIL")</f>
        <v>PASS</v>
      </c>
      <c r="G23" s="33"/>
    </row>
    <row r="24" customFormat="false" ht="15" hidden="false" customHeight="false" outlineLevel="0" collapsed="false">
      <c r="A24" s="5" t="s">
        <v>187</v>
      </c>
      <c r="B24" s="4" t="s">
        <v>192</v>
      </c>
      <c r="C24" s="20" t="n">
        <v>0.143133</v>
      </c>
      <c r="D24" s="20" t="n">
        <f aca="false">Fund!C19</f>
        <v>0.143133333333333</v>
      </c>
      <c r="E24" s="27" t="n">
        <f aca="false">IF(ISNUMBER(D24),D24-C24,"")</f>
        <v>3.33333333324415E-007</v>
      </c>
      <c r="F24" s="14" t="str">
        <f aca="false">IF(ISNUMBER(D24),IF(ABS(E24)&lt;=0.0000005,"PASS","FAIL"),"FAIL")</f>
        <v>PASS</v>
      </c>
      <c r="G24" s="2"/>
    </row>
    <row r="25" customFormat="false" ht="15" hidden="false" customHeight="false" outlineLevel="0" collapsed="false">
      <c r="A25" s="28" t="s">
        <v>187</v>
      </c>
      <c r="B25" s="29" t="s">
        <v>193</v>
      </c>
      <c r="C25" s="35" t="n">
        <v>0.698649</v>
      </c>
      <c r="D25" s="35" t="n">
        <f aca="false">Fund!B54</f>
        <v>0.698649278062413</v>
      </c>
      <c r="E25" s="31" t="n">
        <f aca="false">IF(ISNUMBER(D25),D25-C25,"")</f>
        <v>2.78062412650826E-007</v>
      </c>
      <c r="F25" s="32" t="str">
        <f aca="false">IF(ISNUMBER(D25),IF(ABS(E25)&lt;=0.0000005,"PASS","FAIL"),"FAIL")</f>
        <v>PASS</v>
      </c>
      <c r="G25" s="33"/>
    </row>
    <row r="26" customFormat="false" ht="15" hidden="false" customHeight="false" outlineLevel="0" collapsed="false">
      <c r="A26" s="5" t="s">
        <v>187</v>
      </c>
      <c r="B26" s="4" t="s">
        <v>194</v>
      </c>
      <c r="C26" s="20" t="n">
        <v>0.157895</v>
      </c>
      <c r="D26" s="20" t="n">
        <f aca="false">Ladder!B38</f>
        <v>0.157894736842105</v>
      </c>
      <c r="E26" s="27" t="n">
        <f aca="false">IF(ISNUMBER(D26),D26-C26,"")</f>
        <v>-2.63157894753174E-007</v>
      </c>
      <c r="F26" s="14" t="str">
        <f aca="false">IF(ISNUMBER(D26),IF(ABS(E26)&lt;=0.0000005,"PASS","FAIL"),"FAIL")</f>
        <v>PASS</v>
      </c>
      <c r="G26" s="2"/>
    </row>
    <row r="27" customFormat="false" ht="15" hidden="false" customHeight="false" outlineLevel="0" collapsed="false">
      <c r="A27" s="28" t="s">
        <v>187</v>
      </c>
      <c r="B27" s="29" t="s">
        <v>195</v>
      </c>
      <c r="C27" s="30" t="n">
        <v>1.167</v>
      </c>
      <c r="D27" s="30" t="n">
        <f aca="false">Fund!C21</f>
        <v>1.16704271376332</v>
      </c>
      <c r="E27" s="31" t="n">
        <f aca="false">IF(ISNUMBER(D27),D27-C27,"")</f>
        <v>4.27137633236541E-005</v>
      </c>
      <c r="F27" s="32" t="str">
        <f aca="false">IF(ISNUMBER(D27),IF(ABS(E27)&lt;=0.00005,"PASS","FAIL"),"FAIL")</f>
        <v>PASS</v>
      </c>
      <c r="G27" s="33"/>
    </row>
    <row r="28" customFormat="false" ht="15" hidden="false" customHeight="false" outlineLevel="0" collapsed="false">
      <c r="A28" s="5" t="s">
        <v>187</v>
      </c>
      <c r="B28" s="4" t="s">
        <v>196</v>
      </c>
      <c r="C28" s="20" t="n">
        <v>0.167043</v>
      </c>
      <c r="D28" s="20" t="n">
        <f aca="false">Fund!B55</f>
        <v>0.167042713763324</v>
      </c>
      <c r="E28" s="27" t="n">
        <f aca="false">IF(ISNUMBER(D28),D28-C28,"")</f>
        <v>-2.86236676250162E-007</v>
      </c>
      <c r="F28" s="14" t="str">
        <f aca="false">IF(ISNUMBER(D28),IF(ABS(E28)&lt;=0.0000005,"PASS","FAIL"),"FAIL")</f>
        <v>PASS</v>
      </c>
      <c r="G28" s="2" t="s">
        <v>197</v>
      </c>
    </row>
    <row r="29" customFormat="false" ht="15" hidden="false" customHeight="false" outlineLevel="0" collapsed="false">
      <c r="A29" s="28" t="s">
        <v>187</v>
      </c>
      <c r="B29" s="29" t="s">
        <v>198</v>
      </c>
      <c r="C29" s="19" t="n">
        <v>30000000</v>
      </c>
      <c r="D29" s="19" t="n">
        <f aca="false">Fund!B56</f>
        <v>30000000</v>
      </c>
      <c r="E29" s="31" t="n">
        <f aca="false">IF(ISNUMBER(D29),D29-C29,"")</f>
        <v>0</v>
      </c>
      <c r="F29" s="32" t="str">
        <f aca="false">IF(ISNUMBER(D29),IF(ABS(E29)&lt;=0.5,"PASS","FAIL"),"FAIL")</f>
        <v>PASS</v>
      </c>
      <c r="G29" s="33"/>
    </row>
    <row r="30" customFormat="false" ht="15" hidden="false" customHeight="false" outlineLevel="0" collapsed="false">
      <c r="A30" s="5" t="s">
        <v>187</v>
      </c>
      <c r="B30" s="4" t="s">
        <v>199</v>
      </c>
      <c r="C30" s="13" t="n">
        <v>1.25</v>
      </c>
      <c r="D30" s="13" t="n">
        <f aca="false">Fund!B58</f>
        <v>1.25</v>
      </c>
      <c r="E30" s="27" t="n">
        <f aca="false">IF(ISNUMBER(D30),D30-C30,"")</f>
        <v>0</v>
      </c>
      <c r="F30" s="14" t="str">
        <f aca="false">IF(ISNUMBER(D30),IF(ABS(E30)&lt;=0.00005,"PASS","FAIL"),"FAIL")</f>
        <v>PASS</v>
      </c>
      <c r="G30" s="2"/>
    </row>
    <row r="31" customFormat="false" ht="15" hidden="false" customHeight="false" outlineLevel="0" collapsed="false">
      <c r="A31" s="28" t="s">
        <v>187</v>
      </c>
      <c r="B31" s="29" t="s">
        <v>200</v>
      </c>
      <c r="C31" s="34" t="n">
        <v>0.083</v>
      </c>
      <c r="D31" s="34" t="n">
        <f aca="false">Fund!B59</f>
        <v>0.0829572862366763</v>
      </c>
      <c r="E31" s="31" t="n">
        <f aca="false">IF(ISNUMBER(D31),D31-C31,"")</f>
        <v>-4.27137633236957E-005</v>
      </c>
      <c r="F31" s="32" t="str">
        <f aca="false">IF(ISNUMBER(D31),IF(ABS(E31)&lt;=0.00005,"PASS","FAIL"),"FAIL")</f>
        <v>PASS</v>
      </c>
      <c r="G31" s="33"/>
    </row>
    <row r="32" customFormat="false" ht="15" hidden="false" customHeight="false" outlineLevel="0" collapsed="false">
      <c r="A32" s="5" t="s">
        <v>187</v>
      </c>
      <c r="B32" s="4" t="s">
        <v>104</v>
      </c>
      <c r="C32" s="12" t="n">
        <v>8530000</v>
      </c>
      <c r="D32" s="12" t="n">
        <f aca="false">Fund!B60</f>
        <v>8530000</v>
      </c>
      <c r="E32" s="27" t="n">
        <f aca="false">IF(ISNUMBER(D32),D32-C32,"")</f>
        <v>0</v>
      </c>
      <c r="F32" s="14" t="str">
        <f aca="false">IF(ISNUMBER(D32),IF(ABS(E32)&lt;=0.5,"PASS","FAIL"),"FAIL")</f>
        <v>PASS</v>
      </c>
      <c r="G32" s="2"/>
    </row>
    <row r="33" customFormat="false" ht="15" hidden="false" customHeight="false" outlineLevel="0" collapsed="false">
      <c r="A33" s="28" t="s">
        <v>187</v>
      </c>
      <c r="B33" s="29" t="s">
        <v>105</v>
      </c>
      <c r="C33" s="35" t="n">
        <v>0.056867</v>
      </c>
      <c r="D33" s="35" t="n">
        <f aca="false">Fund!B61</f>
        <v>0.0568666666666667</v>
      </c>
      <c r="E33" s="31" t="n">
        <f aca="false">IF(ISNUMBER(D33),D33-C33,"")</f>
        <v>-3.33333333331354E-007</v>
      </c>
      <c r="F33" s="32" t="str">
        <f aca="false">IF(ISNUMBER(D33),IF(ABS(E33)&lt;=0.0000005,"PASS","FAIL"),"FAIL")</f>
        <v>PASS</v>
      </c>
      <c r="G33" s="33"/>
    </row>
    <row r="34" customFormat="false" ht="15" hidden="false" customHeight="false" outlineLevel="0" collapsed="false">
      <c r="A34" s="5" t="s">
        <v>187</v>
      </c>
      <c r="B34" s="4" t="s">
        <v>201</v>
      </c>
      <c r="C34" s="12" t="n">
        <v>22810397</v>
      </c>
      <c r="D34" s="12" t="n">
        <f aca="false">Fund!B60*Fund!B35</f>
        <v>22810396.5517241</v>
      </c>
      <c r="E34" s="27" t="n">
        <f aca="false">IF(ISNUMBER(D34),D34-C34,"")</f>
        <v>-0.448275860399008</v>
      </c>
      <c r="F34" s="14" t="str">
        <f aca="false">IF(ISNUMBER(D34),IF(ABS(E34)&lt;=0.5,"PASS","FAIL"),"FAIL")</f>
        <v>PASS</v>
      </c>
      <c r="G34" s="2" t="s">
        <v>202</v>
      </c>
    </row>
    <row r="35" customFormat="false" ht="15" hidden="false" customHeight="false" outlineLevel="0" collapsed="false">
      <c r="A35" s="28" t="s">
        <v>203</v>
      </c>
      <c r="B35" s="29" t="s">
        <v>204</v>
      </c>
      <c r="C35" s="19" t="n">
        <v>151970000</v>
      </c>
      <c r="D35" s="19" t="n">
        <f aca="false">Fund!B30</f>
        <v>151970000</v>
      </c>
      <c r="E35" s="31" t="n">
        <f aca="false">IF(ISNUMBER(D35),D35-C35,"")</f>
        <v>0</v>
      </c>
      <c r="F35" s="32" t="str">
        <f aca="false">IF(ISNUMBER(D35),IF(ABS(E35)&lt;=0.5,"PASS","FAIL"),"FAIL")</f>
        <v>PASS</v>
      </c>
      <c r="G35" s="33"/>
    </row>
    <row r="36" customFormat="false" ht="15" hidden="false" customHeight="false" outlineLevel="0" collapsed="false">
      <c r="A36" s="5" t="s">
        <v>203</v>
      </c>
      <c r="B36" s="4" t="s">
        <v>205</v>
      </c>
      <c r="C36" s="12" t="n">
        <v>130500000</v>
      </c>
      <c r="D36" s="12" t="n">
        <f aca="false">Fund!B27</f>
        <v>130500000</v>
      </c>
      <c r="E36" s="27" t="n">
        <f aca="false">IF(ISNUMBER(D36),D36-C36,"")</f>
        <v>0</v>
      </c>
      <c r="F36" s="14" t="str">
        <f aca="false">IF(ISNUMBER(D36),IF(ABS(E36)&lt;=0.5,"PASS","FAIL"),"FAIL")</f>
        <v>PASS</v>
      </c>
      <c r="G36" s="2"/>
    </row>
    <row r="37" customFormat="false" ht="15" hidden="false" customHeight="false" outlineLevel="0" collapsed="false">
      <c r="A37" s="28" t="s">
        <v>203</v>
      </c>
      <c r="B37" s="29" t="s">
        <v>206</v>
      </c>
      <c r="C37" s="19" t="n">
        <v>1970000</v>
      </c>
      <c r="D37" s="19" t="n">
        <f aca="false">Fund!B66</f>
        <v>1970000</v>
      </c>
      <c r="E37" s="31" t="n">
        <f aca="false">IF(ISNUMBER(D37),D37-C37,"")</f>
        <v>0</v>
      </c>
      <c r="F37" s="32" t="str">
        <f aca="false">IF(ISNUMBER(D37),IF(ABS(E37)&lt;=0.5,"PASS","FAIL"),"FAIL")</f>
        <v>PASS</v>
      </c>
      <c r="G37" s="33"/>
    </row>
    <row r="38" customFormat="false" ht="15" hidden="false" customHeight="false" outlineLevel="0" collapsed="false">
      <c r="A38" s="5" t="s">
        <v>203</v>
      </c>
      <c r="B38" s="4" t="s">
        <v>207</v>
      </c>
      <c r="D38" s="5" t="str">
        <f aca="false">IF(ABS(Fund!B67-Fund!B66)&lt;0.000001,"holds","does not hold")</f>
        <v>holds</v>
      </c>
      <c r="F38" s="14" t="str">
        <f aca="false">IF(D38="holds","PASS","FAIL")</f>
        <v>PASS</v>
      </c>
      <c r="G38" s="2" t="s">
        <v>208</v>
      </c>
    </row>
    <row r="39" customFormat="false" ht="15" hidden="false" customHeight="false" outlineLevel="0" collapsed="false">
      <c r="A39" s="28" t="s">
        <v>203</v>
      </c>
      <c r="B39" s="29" t="s">
        <v>209</v>
      </c>
      <c r="C39" s="30" t="n">
        <v>2.2914</v>
      </c>
      <c r="D39" s="30" t="n">
        <f aca="false">Fund!B68</f>
        <v>2.29137965517241</v>
      </c>
      <c r="E39" s="31" t="n">
        <f aca="false">IF(ISNUMBER(D39),D39-C39,"")</f>
        <v>-2.03448275857276E-005</v>
      </c>
      <c r="F39" s="32" t="str">
        <f aca="false">IF(ISNUMBER(D39),IF(ABS(E39)&lt;=0.00005,"PASS","FAIL"),"FAIL")</f>
        <v>PASS</v>
      </c>
      <c r="G39" s="33" t="s">
        <v>210</v>
      </c>
    </row>
    <row r="40" customFormat="false" ht="15" hidden="false" customHeight="false" outlineLevel="0" collapsed="false">
      <c r="A40" s="5" t="s">
        <v>203</v>
      </c>
      <c r="B40" s="4" t="s">
        <v>211</v>
      </c>
      <c r="C40" s="21" t="n">
        <v>0.0351</v>
      </c>
      <c r="D40" s="21" t="n">
        <f aca="false">Fund!B69</f>
        <v>0.0351203448275856</v>
      </c>
      <c r="E40" s="27" t="n">
        <f aca="false">IF(ISNUMBER(D40),D40-C40,"")</f>
        <v>2.03448275856374E-005</v>
      </c>
      <c r="F40" s="14" t="str">
        <f aca="false">IF(ISNUMBER(D40),IF(ABS(E40)&lt;=0.00005,"PASS","FAIL"),"FAIL")</f>
        <v>PASS</v>
      </c>
      <c r="G40" s="2" t="s">
        <v>212</v>
      </c>
    </row>
    <row r="41" customFormat="false" ht="15" hidden="false" customHeight="false" outlineLevel="0" collapsed="false">
      <c r="A41" s="28" t="s">
        <v>203</v>
      </c>
      <c r="B41" s="29" t="s">
        <v>213</v>
      </c>
      <c r="C41" s="34" t="n">
        <v>0.0351</v>
      </c>
      <c r="D41" s="34" t="n">
        <f aca="false">Fund!B70</f>
        <v>0.0351203448275862</v>
      </c>
      <c r="E41" s="31" t="n">
        <f aca="false">IF(ISNUMBER(D41),D41-C41,"")</f>
        <v>2.03448275862064E-005</v>
      </c>
      <c r="F41" s="32" t="str">
        <f aca="false">IF(ISNUMBER(D41),IF(ABS(E41)&lt;=0.00005,"PASS","FAIL"),"FAIL")</f>
        <v>PASS</v>
      </c>
      <c r="G41" s="33"/>
    </row>
    <row r="42" customFormat="false" ht="15" hidden="false" customHeight="false" outlineLevel="0" collapsed="false">
      <c r="A42" s="5" t="s">
        <v>203</v>
      </c>
      <c r="B42" s="4" t="s">
        <v>214</v>
      </c>
      <c r="D42" s="5" t="str">
        <f aca="false">IF(ABS(Fund!B69-Fund!B70)&lt;0.000000000001,"holds","does not hold")</f>
        <v>holds</v>
      </c>
      <c r="F42" s="14" t="str">
        <f aca="false">IF(D42="holds","PASS","FAIL")</f>
        <v>PASS</v>
      </c>
      <c r="G42" s="2" t="s">
        <v>215</v>
      </c>
    </row>
    <row r="43" customFormat="false" ht="15" hidden="false" customHeight="false" outlineLevel="0" collapsed="false">
      <c r="A43" s="28" t="s">
        <v>203</v>
      </c>
      <c r="B43" s="29" t="s">
        <v>216</v>
      </c>
      <c r="C43" s="19" t="n">
        <v>5268052</v>
      </c>
      <c r="D43" s="19" t="n">
        <f aca="false">Fund!B71</f>
        <v>5268051.72413793</v>
      </c>
      <c r="E43" s="31" t="n">
        <f aca="false">IF(ISNUMBER(D43),D43-C43,"")</f>
        <v>-0.275862068869174</v>
      </c>
      <c r="F43" s="32" t="str">
        <f aca="false">IF(ISNUMBER(D43),IF(ABS(E43)&lt;=0.5,"PASS","FAIL"),"FAIL")</f>
        <v>PASS</v>
      </c>
      <c r="G43" s="33" t="s">
        <v>217</v>
      </c>
    </row>
    <row r="44" customFormat="false" ht="15" hidden="false" customHeight="false" outlineLevel="0" collapsed="false">
      <c r="A44" s="5" t="s">
        <v>203</v>
      </c>
      <c r="B44" s="4" t="s">
        <v>218</v>
      </c>
      <c r="C44" s="13" t="n">
        <v>1.1494</v>
      </c>
      <c r="D44" s="13" t="n">
        <f aca="false">Fund!B72</f>
        <v>1.14942528735632</v>
      </c>
      <c r="E44" s="27" t="n">
        <f aca="false">IF(ISNUMBER(D44),D44-C44,"")</f>
        <v>2.52873563217904E-005</v>
      </c>
      <c r="F44" s="14" t="str">
        <f aca="false">IF(ISNUMBER(D44),IF(ABS(E44)&lt;=0.00005,"PASS","FAIL"),"FAIL")</f>
        <v>PASS</v>
      </c>
      <c r="G44" s="2"/>
    </row>
    <row r="45" customFormat="false" ht="15" hidden="false" customHeight="false" outlineLevel="0" collapsed="false">
      <c r="A45" s="28" t="s">
        <v>203</v>
      </c>
      <c r="B45" s="29" t="s">
        <v>219</v>
      </c>
      <c r="C45" s="34" t="n">
        <v>0.0176</v>
      </c>
      <c r="D45" s="34" t="n">
        <f aca="false">Fund!B73</f>
        <v>0.0176174264070019</v>
      </c>
      <c r="E45" s="31" t="n">
        <f aca="false">IF(ISNUMBER(D45),D45-C45,"")</f>
        <v>1.74264070019227E-005</v>
      </c>
      <c r="F45" s="32" t="str">
        <f aca="false">IF(ISNUMBER(D45),IF(ABS(E45)&lt;=0.00005,"PASS","FAIL"),"FAIL")</f>
        <v>PASS</v>
      </c>
      <c r="G45" s="33"/>
    </row>
    <row r="46" customFormat="false" ht="15" hidden="false" customHeight="false" outlineLevel="0" collapsed="false">
      <c r="A46" s="5" t="s">
        <v>203</v>
      </c>
      <c r="B46" s="4" t="s">
        <v>115</v>
      </c>
      <c r="C46" s="20" t="n">
        <v>0.091756</v>
      </c>
      <c r="D46" s="20" t="n">
        <f aca="false">Fund!B74</f>
        <v>0.0917559385188635</v>
      </c>
      <c r="E46" s="27" t="n">
        <f aca="false">IF(ISNUMBER(D46),D46-C46,"")</f>
        <v>-6.1481136473529E-008</v>
      </c>
      <c r="F46" s="14" t="str">
        <f aca="false">IF(ISNUMBER(D46),IF(ABS(E46)&lt;=0.0000005,"PASS","FAIL"),"FAIL")</f>
        <v>PASS</v>
      </c>
      <c r="G46" s="2"/>
    </row>
    <row r="47" customFormat="false" ht="15" hidden="false" customHeight="false" outlineLevel="0" collapsed="false">
      <c r="A47" s="28" t="s">
        <v>203</v>
      </c>
      <c r="B47" s="29" t="s">
        <v>220</v>
      </c>
      <c r="C47" s="19" t="n">
        <v>394000</v>
      </c>
      <c r="D47" s="19" t="n">
        <f aca="false">Fund!B75</f>
        <v>394000</v>
      </c>
      <c r="E47" s="31" t="n">
        <f aca="false">IF(ISNUMBER(D47),D47-C47,"")</f>
        <v>0</v>
      </c>
      <c r="F47" s="32" t="str">
        <f aca="false">IF(ISNUMBER(D47),IF(ABS(E47)&lt;=0.5,"PASS","FAIL"),"FAIL")</f>
        <v>PASS</v>
      </c>
      <c r="G47" s="33"/>
    </row>
    <row r="48" customFormat="false" ht="15" hidden="false" customHeight="false" outlineLevel="0" collapsed="false">
      <c r="A48" s="5" t="s">
        <v>203</v>
      </c>
      <c r="B48" s="4" t="s">
        <v>221</v>
      </c>
      <c r="C48" s="13" t="n">
        <v>2.0345</v>
      </c>
      <c r="D48" s="13" t="n">
        <f aca="false">Fund!B76</f>
        <v>2.03448048957031</v>
      </c>
      <c r="E48" s="27" t="n">
        <f aca="false">IF(ISNUMBER(D48),D48-C48,"")</f>
        <v>-1.95104296900617E-005</v>
      </c>
      <c r="F48" s="14" t="str">
        <f aca="false">IF(ISNUMBER(D48),IF(ABS(E48)&lt;=0.00005,"PASS","FAIL"),"FAIL")</f>
        <v>PASS</v>
      </c>
      <c r="G48" s="2"/>
    </row>
    <row r="49" customFormat="false" ht="15" hidden="false" customHeight="false" outlineLevel="0" collapsed="false">
      <c r="A49" s="28" t="s">
        <v>203</v>
      </c>
      <c r="B49" s="29" t="s">
        <v>222</v>
      </c>
      <c r="C49" s="19" t="n">
        <v>39400</v>
      </c>
      <c r="D49" s="19" t="n">
        <f aca="false">Fund!B77</f>
        <v>39400</v>
      </c>
      <c r="E49" s="31" t="n">
        <f aca="false">IF(ISNUMBER(D49),D49-C49,"")</f>
        <v>0</v>
      </c>
      <c r="F49" s="32" t="str">
        <f aca="false">IF(ISNUMBER(D49),IF(ABS(E49)&lt;=0.5,"PASS","FAIL"),"FAIL")</f>
        <v>PASS</v>
      </c>
      <c r="G49" s="33"/>
    </row>
    <row r="50" customFormat="false" ht="15" hidden="false" customHeight="false" outlineLevel="0" collapsed="false">
      <c r="A50" s="5" t="s">
        <v>223</v>
      </c>
      <c r="B50" s="4" t="s">
        <v>91</v>
      </c>
      <c r="C50" s="12" t="n">
        <v>61265000</v>
      </c>
      <c r="D50" s="12" t="n">
        <f aca="false">Fund!B45</f>
        <v>61265000</v>
      </c>
      <c r="E50" s="27" t="n">
        <f aca="false">IF(ISNUMBER(D50),D50-C50,"")</f>
        <v>0</v>
      </c>
      <c r="F50" s="14" t="str">
        <f aca="false">IF(ISNUMBER(D50),IF(ABS(E50)&lt;=0.5,"PASS","FAIL"),"FAIL")</f>
        <v>PASS</v>
      </c>
      <c r="G50" s="2"/>
    </row>
    <row r="51" customFormat="false" ht="15" hidden="false" customHeight="false" outlineLevel="0" collapsed="false">
      <c r="A51" s="28" t="s">
        <v>223</v>
      </c>
      <c r="B51" s="29" t="s">
        <v>224</v>
      </c>
      <c r="C51" s="35" t="n">
        <v>0.175557</v>
      </c>
      <c r="D51" s="35" t="n">
        <f aca="false">Fund!B46</f>
        <v>0.175556988322946</v>
      </c>
      <c r="E51" s="31" t="n">
        <f aca="false">IF(ISNUMBER(D51),D51-C51,"")</f>
        <v>-1.16770542124556E-008</v>
      </c>
      <c r="F51" s="32" t="str">
        <f aca="false">IF(ISNUMBER(D51),IF(ABS(E51)&lt;=0.0000005,"PASS","FAIL"),"FAIL")</f>
        <v>PASS</v>
      </c>
      <c r="G51" s="33"/>
    </row>
    <row r="52" customFormat="false" ht="15" hidden="false" customHeight="false" outlineLevel="0" collapsed="false">
      <c r="A52" s="5" t="s">
        <v>223</v>
      </c>
      <c r="B52" s="4" t="s">
        <v>225</v>
      </c>
      <c r="C52" s="20" t="n">
        <v>0.403139</v>
      </c>
      <c r="D52" s="20" t="n">
        <f aca="false">Fund!B81</f>
        <v>0.403138777390274</v>
      </c>
      <c r="E52" s="27" t="n">
        <f aca="false">IF(ISNUMBER(D52),D52-C52,"")</f>
        <v>-2.22609725653022E-007</v>
      </c>
      <c r="F52" s="14" t="str">
        <f aca="false">IF(ISNUMBER(D52),IF(ABS(E52)&lt;=0.0000005,"PASS","FAIL"),"FAIL")</f>
        <v>PASS</v>
      </c>
      <c r="G52" s="2"/>
    </row>
    <row r="53" customFormat="false" ht="15" hidden="false" customHeight="false" outlineLevel="0" collapsed="false">
      <c r="A53" s="28" t="s">
        <v>223</v>
      </c>
      <c r="B53" s="29" t="s">
        <v>226</v>
      </c>
      <c r="C53" s="35" t="n">
        <v>0.280421</v>
      </c>
      <c r="D53" s="35" t="n">
        <f aca="false">Fund!B83</f>
        <v>0.28042110081245</v>
      </c>
      <c r="E53" s="31" t="n">
        <f aca="false">IF(ISNUMBER(D53),D53-C53,"")</f>
        <v>1.00812449943533E-007</v>
      </c>
      <c r="F53" s="32" t="str">
        <f aca="false">IF(ISNUMBER(D53),IF(ABS(E53)&lt;=0.0000005,"PASS","FAIL"),"FAIL")</f>
        <v>PASS</v>
      </c>
      <c r="G53" s="33"/>
    </row>
    <row r="54" customFormat="false" ht="15" hidden="false" customHeight="false" outlineLevel="0" collapsed="false">
      <c r="A54" s="5" t="s">
        <v>223</v>
      </c>
      <c r="B54" s="4" t="s">
        <v>227</v>
      </c>
      <c r="C54" s="20" t="n">
        <v>0.310982</v>
      </c>
      <c r="D54" s="20" t="n">
        <f aca="false">Fund!B85</f>
        <v>0.310981954772722</v>
      </c>
      <c r="E54" s="27" t="n">
        <f aca="false">IF(ISNUMBER(D54),D54-C54,"")</f>
        <v>-4.52272784778884E-008</v>
      </c>
      <c r="F54" s="14" t="str">
        <f aca="false">IF(ISNUMBER(D54),IF(ABS(E54)&lt;=0.0000005,"PASS","FAIL"),"FAIL")</f>
        <v>PASS</v>
      </c>
      <c r="G54" s="2"/>
    </row>
    <row r="55" customFormat="false" ht="15" hidden="false" customHeight="false" outlineLevel="0" collapsed="false">
      <c r="A55" s="28" t="s">
        <v>223</v>
      </c>
      <c r="B55" s="29" t="s">
        <v>228</v>
      </c>
      <c r="C55" s="35" t="n">
        <v>0.389702</v>
      </c>
      <c r="D55" s="35" t="n">
        <f aca="false">Fund!B87</f>
        <v>0.38970167292157</v>
      </c>
      <c r="E55" s="31" t="n">
        <f aca="false">IF(ISNUMBER(D55),D55-C55,"")</f>
        <v>-3.27078430117922E-007</v>
      </c>
      <c r="F55" s="32" t="str">
        <f aca="false">IF(ISNUMBER(D55),IF(ABS(E55)&lt;=0.0000005,"PASS","FAIL"),"FAIL")</f>
        <v>PASS</v>
      </c>
      <c r="G55" s="33"/>
    </row>
    <row r="56" customFormat="false" ht="15" hidden="false" customHeight="false" outlineLevel="0" collapsed="false">
      <c r="A56" s="5" t="s">
        <v>223</v>
      </c>
      <c r="B56" s="4" t="s">
        <v>126</v>
      </c>
      <c r="C56" s="20" t="n">
        <v>0.182149</v>
      </c>
      <c r="D56" s="20" t="n">
        <f aca="false">Fund!B88</f>
        <v>0.182148987298318</v>
      </c>
      <c r="E56" s="27" t="n">
        <f aca="false">IF(ISNUMBER(D56),D56-C56,"")</f>
        <v>-1.2701682122751E-008</v>
      </c>
      <c r="F56" s="14" t="str">
        <f aca="false">IF(ISNUMBER(D56),IF(ABS(E56)&lt;=0.0000005,"PASS","FAIL"),"FAIL")</f>
        <v>PASS</v>
      </c>
      <c r="G56" s="2"/>
    </row>
    <row r="57" customFormat="false" ht="15" hidden="false" customHeight="false" outlineLevel="0" collapsed="false">
      <c r="A57" s="28" t="s">
        <v>223</v>
      </c>
      <c r="B57" s="29" t="s">
        <v>127</v>
      </c>
      <c r="C57" s="35" t="n">
        <v>0.202</v>
      </c>
      <c r="D57" s="35" t="n">
        <f aca="false">Fund!B89</f>
        <v>0.201999949239867</v>
      </c>
      <c r="E57" s="31" t="n">
        <f aca="false">IF(ISNUMBER(D57),D57-C57,"")</f>
        <v>-5.07601330135277E-008</v>
      </c>
      <c r="F57" s="32" t="str">
        <f aca="false">IF(ISNUMBER(D57),IF(ABS(E57)&lt;=0.0000005,"PASS","FAIL"),"FAIL")</f>
        <v>PASS</v>
      </c>
      <c r="G57" s="33"/>
    </row>
    <row r="58" customFormat="false" ht="15" hidden="false" customHeight="false" outlineLevel="0" collapsed="false">
      <c r="A58" s="5" t="s">
        <v>223</v>
      </c>
      <c r="B58" s="4" t="s">
        <v>229</v>
      </c>
      <c r="C58" s="21" t="n">
        <v>1.4021</v>
      </c>
      <c r="D58" s="21" t="n">
        <f aca="false">Fund!B91</f>
        <v>1.40210550406225</v>
      </c>
      <c r="E58" s="27" t="n">
        <f aca="false">IF(ISNUMBER(D58),D58-C58,"")</f>
        <v>5.50406224975042E-006</v>
      </c>
      <c r="F58" s="14" t="str">
        <f aca="false">IF(ISNUMBER(D58),IF(ABS(E58)&lt;=0.00005,"PASS","FAIL"),"FAIL")</f>
        <v>PASS</v>
      </c>
      <c r="G58" s="2"/>
    </row>
    <row r="59" customFormat="false" ht="15" hidden="false" customHeight="false" outlineLevel="0" collapsed="false">
      <c r="A59" s="28" t="s">
        <v>223</v>
      </c>
      <c r="B59" s="29" t="s">
        <v>230</v>
      </c>
      <c r="C59" s="34" t="n">
        <v>1.5549</v>
      </c>
      <c r="D59" s="34" t="n">
        <f aca="false">Fund!B93</f>
        <v>1.55490977386361</v>
      </c>
      <c r="E59" s="31" t="n">
        <f aca="false">IF(ISNUMBER(D59),D59-C59,"")</f>
        <v>9.77386360756505E-006</v>
      </c>
      <c r="F59" s="32" t="str">
        <f aca="false">IF(ISNUMBER(D59),IF(ABS(E59)&lt;=0.00005,"PASS","FAIL"),"FAIL")</f>
        <v>PASS</v>
      </c>
      <c r="G59" s="33"/>
    </row>
    <row r="60" customFormat="false" ht="15" hidden="false" customHeight="false" outlineLevel="0" collapsed="false">
      <c r="A60" s="5" t="s">
        <v>223</v>
      </c>
      <c r="B60" s="4" t="s">
        <v>231</v>
      </c>
      <c r="C60" s="12" t="n">
        <v>157210000</v>
      </c>
      <c r="D60" s="12" t="n">
        <f aca="false">Fund!B47</f>
        <v>157210000</v>
      </c>
      <c r="E60" s="27" t="n">
        <f aca="false">IF(ISNUMBER(D60),D60-C60,"")</f>
        <v>0</v>
      </c>
      <c r="F60" s="14" t="str">
        <f aca="false">IF(ISNUMBER(D60),IF(ABS(E60)&lt;=0.5,"PASS","FAIL"),"FAIL")</f>
        <v>PASS</v>
      </c>
      <c r="G60" s="2"/>
    </row>
    <row r="61" customFormat="false" ht="15" hidden="false" customHeight="false" outlineLevel="0" collapsed="false">
      <c r="A61" s="28" t="s">
        <v>223</v>
      </c>
      <c r="B61" s="29" t="s">
        <v>232</v>
      </c>
      <c r="C61" s="19" t="n">
        <v>157210000</v>
      </c>
      <c r="D61" s="19" t="n">
        <f aca="false">Fund!B48</f>
        <v>157210000</v>
      </c>
      <c r="E61" s="31" t="n">
        <f aca="false">IF(ISNUMBER(D61),D61-C61,"")</f>
        <v>0</v>
      </c>
      <c r="F61" s="32" t="str">
        <f aca="false">IF(ISNUMBER(D61),IF(ABS(E61)&lt;=0.5,"PASS","FAIL"),"FAIL")</f>
        <v>PASS</v>
      </c>
      <c r="G61" s="33"/>
    </row>
    <row r="62" customFormat="false" ht="15" hidden="false" customHeight="false" outlineLevel="0" collapsed="false">
      <c r="A62" s="5" t="s">
        <v>223</v>
      </c>
      <c r="B62" s="4" t="s">
        <v>233</v>
      </c>
      <c r="D62" s="5" t="str">
        <f aca="false">IF(ABS(Fund!B47-Fund!B48)&lt;0.000001,"holds","does not hold")</f>
        <v>holds</v>
      </c>
      <c r="F62" s="14" t="str">
        <f aca="false">IF(D62="holds","PASS","FAIL")</f>
        <v>PASS</v>
      </c>
      <c r="G62" s="2" t="s">
        <v>234</v>
      </c>
    </row>
    <row r="63" customFormat="false" ht="15" hidden="false" customHeight="false" outlineLevel="0" collapsed="false">
      <c r="A63" s="28" t="s">
        <v>223</v>
      </c>
      <c r="B63" s="29" t="s">
        <v>235</v>
      </c>
      <c r="C63" s="19" t="n">
        <v>135740000</v>
      </c>
      <c r="D63" s="19" t="n">
        <f aca="false">Fund!B86</f>
        <v>135740000</v>
      </c>
      <c r="E63" s="31" t="n">
        <f aca="false">IF(ISNUMBER(D63),D63-C63,"")</f>
        <v>0</v>
      </c>
      <c r="F63" s="32" t="str">
        <f aca="false">IF(ISNUMBER(D63),IF(ABS(E63)&lt;=0.5,"PASS","FAIL"),"FAIL")</f>
        <v>PASS</v>
      </c>
      <c r="G63" s="33" t="s">
        <v>236</v>
      </c>
    </row>
    <row r="64" customFormat="false" ht="15" hidden="false" customHeight="false" outlineLevel="0" collapsed="false">
      <c r="A64" s="5" t="s">
        <v>223</v>
      </c>
      <c r="B64" s="4" t="s">
        <v>237</v>
      </c>
      <c r="C64" s="12" t="n">
        <v>2147000</v>
      </c>
      <c r="D64" s="12" t="n">
        <f aca="false">Fund!B94</f>
        <v>2147000</v>
      </c>
      <c r="E64" s="27" t="n">
        <f aca="false">IF(ISNUMBER(D64),D64-C64,"")</f>
        <v>0</v>
      </c>
      <c r="F64" s="14" t="str">
        <f aca="false">IF(ISNUMBER(D64),IF(ABS(E64)&lt;=0.5,"PASS","FAIL"),"FAIL")</f>
        <v>PASS</v>
      </c>
      <c r="G64" s="2"/>
    </row>
    <row r="65" customFormat="false" ht="15" hidden="false" customHeight="false" outlineLevel="0" collapsed="false">
      <c r="A65" s="28" t="s">
        <v>223</v>
      </c>
      <c r="B65" s="29" t="s">
        <v>132</v>
      </c>
      <c r="C65" s="19" t="n">
        <v>766786</v>
      </c>
      <c r="D65" s="19" t="n">
        <f aca="false">Fund!B95</f>
        <v>766785.714285714</v>
      </c>
      <c r="E65" s="31" t="n">
        <f aca="false">IF(ISNUMBER(D65),D65-C65,"")</f>
        <v>-0.285714285681024</v>
      </c>
      <c r="F65" s="32" t="str">
        <f aca="false">IF(ISNUMBER(D65),IF(ABS(E65)&lt;=0.5,"PASS","FAIL"),"FAIL")</f>
        <v>PASS</v>
      </c>
      <c r="G65" s="33"/>
    </row>
    <row r="66" customFormat="false" ht="15" hidden="false" customHeight="false" outlineLevel="0" collapsed="false">
      <c r="A66" s="5" t="s">
        <v>238</v>
      </c>
      <c r="B66" s="4" t="s">
        <v>239</v>
      </c>
      <c r="C66" s="20" t="n">
        <v>0.217217</v>
      </c>
      <c r="D66" s="20" t="n">
        <f aca="false">Ladder!D6</f>
        <v>0.217217025188195</v>
      </c>
      <c r="E66" s="27" t="n">
        <f aca="false">IF(ISNUMBER(D66),D66-C66,"")</f>
        <v>2.51881953905464E-008</v>
      </c>
      <c r="F66" s="14" t="str">
        <f aca="false">IF(ISNUMBER(D66),IF(ABS(E66)&lt;=0.0000005,"PASS","FAIL"),"FAIL")</f>
        <v>PASS</v>
      </c>
      <c r="G66" s="2"/>
    </row>
    <row r="67" customFormat="false" ht="15" hidden="false" customHeight="false" outlineLevel="0" collapsed="false">
      <c r="A67" s="28" t="s">
        <v>238</v>
      </c>
      <c r="B67" s="29" t="s">
        <v>240</v>
      </c>
      <c r="C67" s="35" t="n">
        <v>0.183357</v>
      </c>
      <c r="D67" s="35" t="n">
        <f aca="false">Ladder!D7</f>
        <v>0.18335653757421</v>
      </c>
      <c r="E67" s="31" t="n">
        <f aca="false">IF(ISNUMBER(D67),D67-C67,"")</f>
        <v>-4.62425790270782E-007</v>
      </c>
      <c r="F67" s="32" t="str">
        <f aca="false">IF(ISNUMBER(D67),IF(ABS(E67)&lt;=0.0000005,"PASS","FAIL"),"FAIL")</f>
        <v>PASS</v>
      </c>
      <c r="G67" s="33"/>
    </row>
    <row r="68" customFormat="false" ht="15" hidden="false" customHeight="false" outlineLevel="0" collapsed="false">
      <c r="A68" s="5" t="s">
        <v>238</v>
      </c>
      <c r="B68" s="4" t="s">
        <v>241</v>
      </c>
      <c r="C68" s="20" t="n">
        <v>0.157734</v>
      </c>
      <c r="D68" s="20" t="n">
        <f aca="false">Ladder!D8</f>
        <v>0.157734383050326</v>
      </c>
      <c r="E68" s="27" t="n">
        <f aca="false">IF(ISNUMBER(D68),D68-C68,"")</f>
        <v>3.83050326291379E-007</v>
      </c>
      <c r="F68" s="14" t="str">
        <f aca="false">IF(ISNUMBER(D68),IF(ABS(E68)&lt;=0.0000005,"PASS","FAIL"),"FAIL")</f>
        <v>PASS</v>
      </c>
      <c r="G68" s="2"/>
    </row>
    <row r="69" customFormat="false" ht="15" hidden="false" customHeight="false" outlineLevel="0" collapsed="false">
      <c r="A69" s="28" t="s">
        <v>238</v>
      </c>
      <c r="B69" s="29" t="s">
        <v>242</v>
      </c>
      <c r="C69" s="30" t="n">
        <v>2.2963</v>
      </c>
      <c r="D69" s="30" t="n">
        <f aca="false">Ladder!B7</f>
        <v>2.29634138316773</v>
      </c>
      <c r="E69" s="31" t="n">
        <f aca="false">IF(ISNUMBER(D69),D69-C69,"")</f>
        <v>4.13831677303911E-005</v>
      </c>
      <c r="F69" s="32" t="str">
        <f aca="false">IF(ISNUMBER(D69),IF(ABS(E69)&lt;=0.00005,"PASS","FAIL"),"FAIL")</f>
        <v>PASS</v>
      </c>
      <c r="G69" s="33"/>
    </row>
    <row r="70" customFormat="false" ht="15" hidden="false" customHeight="false" outlineLevel="0" collapsed="false">
      <c r="A70" s="5" t="s">
        <v>238</v>
      </c>
      <c r="B70" s="4" t="s">
        <v>243</v>
      </c>
      <c r="C70" s="13" t="n">
        <v>2.0345</v>
      </c>
      <c r="D70" s="13" t="n">
        <f aca="false">Ladder!B8</f>
        <v>2.03448048957031</v>
      </c>
      <c r="E70" s="27" t="n">
        <f aca="false">IF(ISNUMBER(D70),D70-C70,"")</f>
        <v>-1.95104296900617E-005</v>
      </c>
      <c r="F70" s="14" t="str">
        <f aca="false">IF(ISNUMBER(D70),IF(ABS(E70)&lt;=0.00005,"PASS","FAIL"),"FAIL")</f>
        <v>PASS</v>
      </c>
      <c r="G70" s="2"/>
    </row>
    <row r="71" customFormat="false" ht="15" hidden="false" customHeight="false" outlineLevel="0" collapsed="false">
      <c r="A71" s="28" t="s">
        <v>238</v>
      </c>
      <c r="B71" s="29" t="s">
        <v>244</v>
      </c>
      <c r="C71" s="35" t="n">
        <v>0.141278</v>
      </c>
      <c r="D71" s="35" t="n">
        <f aca="false">Ladder!B12</f>
        <v>0.141277883792854</v>
      </c>
      <c r="E71" s="31" t="n">
        <f aca="false">IF(ISNUMBER(D71),D71-C71,"")</f>
        <v>-1.16207146072522E-007</v>
      </c>
      <c r="F71" s="32" t="str">
        <f aca="false">IF(ISNUMBER(D71),IF(ABS(E71)&lt;=0.0000005,"PASS","FAIL"),"FAIL")</f>
        <v>PASS</v>
      </c>
      <c r="G71" s="33"/>
    </row>
    <row r="72" customFormat="false" ht="15" hidden="false" customHeight="false" outlineLevel="0" collapsed="false">
      <c r="A72" s="5" t="s">
        <v>238</v>
      </c>
      <c r="B72" s="4" t="s">
        <v>245</v>
      </c>
      <c r="C72" s="20" t="n">
        <v>0.155883</v>
      </c>
      <c r="D72" s="20" t="n">
        <f aca="false">Ladder!C12</f>
        <v>0.155883212122296</v>
      </c>
      <c r="E72" s="27" t="n">
        <f aca="false">IF(ISNUMBER(D72),D72-C72,"")</f>
        <v>2.12122296422423E-007</v>
      </c>
      <c r="F72" s="14" t="str">
        <f aca="false">IF(ISNUMBER(D72),IF(ABS(E72)&lt;=0.0000005,"PASS","FAIL"),"FAIL")</f>
        <v>PASS</v>
      </c>
      <c r="G72" s="2" t="s">
        <v>246</v>
      </c>
    </row>
    <row r="73" customFormat="false" ht="15" hidden="false" customHeight="false" outlineLevel="0" collapsed="false">
      <c r="A73" s="28" t="s">
        <v>238</v>
      </c>
      <c r="B73" s="29" t="s">
        <v>247</v>
      </c>
      <c r="C73" s="35" t="n">
        <v>0.03386</v>
      </c>
      <c r="D73" s="35" t="n">
        <f aca="false">Ladder!D12</f>
        <v>0.0338604876139857</v>
      </c>
      <c r="E73" s="31" t="n">
        <f aca="false">IF(ISNUMBER(D73),D73-C73,"")</f>
        <v>4.87613985661328E-007</v>
      </c>
      <c r="F73" s="32" t="str">
        <f aca="false">IF(ISNUMBER(D73),IF(ABS(E73)&lt;=0.0000005,"PASS","FAIL"),"FAIL")</f>
        <v>PASS</v>
      </c>
      <c r="G73" s="33"/>
    </row>
    <row r="74" customFormat="false" ht="15" hidden="false" customHeight="false" outlineLevel="0" collapsed="false">
      <c r="A74" s="5" t="s">
        <v>238</v>
      </c>
      <c r="B74" s="4" t="s">
        <v>248</v>
      </c>
      <c r="C74" s="20" t="n">
        <v>0.114034</v>
      </c>
      <c r="D74" s="20" t="n">
        <f aca="false">Ladder!B13</f>
        <v>0.114033956587148</v>
      </c>
      <c r="E74" s="27" t="n">
        <f aca="false">IF(ISNUMBER(D74),D74-C74,"")</f>
        <v>-4.34128519383181E-008</v>
      </c>
      <c r="F74" s="14" t="str">
        <f aca="false">IF(ISNUMBER(D74),IF(ABS(E74)&lt;=0.0000005,"PASS","FAIL"),"FAIL")</f>
        <v>PASS</v>
      </c>
      <c r="G74" s="2"/>
    </row>
    <row r="75" customFormat="false" ht="15" hidden="false" customHeight="false" outlineLevel="0" collapsed="false">
      <c r="A75" s="28" t="s">
        <v>238</v>
      </c>
      <c r="B75" s="29" t="s">
        <v>249</v>
      </c>
      <c r="C75" s="35" t="n">
        <v>0.13974</v>
      </c>
      <c r="D75" s="35" t="n">
        <f aca="false">Ladder!C13</f>
        <v>0.139739519860389</v>
      </c>
      <c r="E75" s="31" t="n">
        <f aca="false">IF(ISNUMBER(D75),D75-C75,"")</f>
        <v>-4.80139611125363E-007</v>
      </c>
      <c r="F75" s="32" t="str">
        <f aca="false">IF(ISNUMBER(D75),IF(ABS(E75)&lt;=0.0000005,"PASS","FAIL"),"FAIL")</f>
        <v>PASS</v>
      </c>
      <c r="G75" s="33" t="s">
        <v>250</v>
      </c>
    </row>
    <row r="76" customFormat="false" ht="15" hidden="false" customHeight="false" outlineLevel="0" collapsed="false">
      <c r="A76" s="5" t="s">
        <v>238</v>
      </c>
      <c r="B76" s="4" t="s">
        <v>251</v>
      </c>
      <c r="C76" s="20" t="n">
        <v>0.025622</v>
      </c>
      <c r="D76" s="20" t="n">
        <f aca="false">Ladder!D13</f>
        <v>0.0256221545238834</v>
      </c>
      <c r="E76" s="27" t="n">
        <f aca="false">IF(ISNUMBER(D76),D76-C76,"")</f>
        <v>1.54523883418023E-007</v>
      </c>
      <c r="F76" s="14" t="str">
        <f aca="false">IF(ISNUMBER(D76),IF(ABS(E76)&lt;=0.0000005,"PASS","FAIL"),"FAIL")</f>
        <v>PASS</v>
      </c>
      <c r="G76" s="2"/>
    </row>
    <row r="77" customFormat="false" ht="15" hidden="false" customHeight="false" outlineLevel="0" collapsed="false">
      <c r="A77" s="28" t="s">
        <v>238</v>
      </c>
      <c r="B77" s="29" t="s">
        <v>252</v>
      </c>
      <c r="C77" s="35" t="n">
        <v>0.22921</v>
      </c>
      <c r="D77" s="35" t="n">
        <f aca="false">Ladder!B14</f>
        <v>0.229209542230819</v>
      </c>
      <c r="E77" s="31" t="n">
        <f aca="false">IF(ISNUMBER(D77),D77-C77,"")</f>
        <v>-4.57769181116952E-007</v>
      </c>
      <c r="F77" s="32" t="str">
        <f aca="false">IF(ISNUMBER(D77),IF(ABS(E77)&lt;=0.0000005,"PASS","FAIL"),"FAIL")</f>
        <v>PASS</v>
      </c>
      <c r="G77" s="33" t="s">
        <v>253</v>
      </c>
    </row>
    <row r="78" customFormat="false" ht="15" hidden="false" customHeight="false" outlineLevel="0" collapsed="false">
      <c r="A78" s="5" t="s">
        <v>238</v>
      </c>
      <c r="B78" s="4" t="s">
        <v>254</v>
      </c>
      <c r="C78" s="21" t="n">
        <v>0.6129</v>
      </c>
      <c r="D78" s="21" t="n">
        <f aca="false">Fund!B35-Fund!B39</f>
        <v>0.612937931034483</v>
      </c>
      <c r="E78" s="27" t="n">
        <f aca="false">IF(ISNUMBER(D78),D78-C78,"")</f>
        <v>3.79310344829076E-005</v>
      </c>
      <c r="F78" s="14" t="str">
        <f aca="false">IF(ISNUMBER(D78),IF(ABS(E78)&lt;=0.00005,"PASS","FAIL"),"FAIL")</f>
        <v>PASS</v>
      </c>
      <c r="G78" s="2"/>
    </row>
    <row r="79" customFormat="false" ht="15" hidden="false" customHeight="false" outlineLevel="0" collapsed="false">
      <c r="A79" s="28" t="s">
        <v>238</v>
      </c>
      <c r="B79" s="29" t="s">
        <v>255</v>
      </c>
      <c r="C79" s="36"/>
      <c r="D79" s="28" t="str">
        <f aca="false">IF(ABS(Ladder!B36-Fund!B27)&lt;0.01,"holds","does not hold")</f>
        <v>holds</v>
      </c>
      <c r="E79" s="36"/>
      <c r="F79" s="32" t="str">
        <f aca="false">IF(D79="holds","PASS","FAIL")</f>
        <v>PASS</v>
      </c>
      <c r="G79" s="33" t="s">
        <v>256</v>
      </c>
    </row>
    <row r="80" customFormat="false" ht="15" hidden="false" customHeight="false" outlineLevel="0" collapsed="false">
      <c r="A80" s="5" t="s">
        <v>238</v>
      </c>
      <c r="B80" s="4" t="s">
        <v>257</v>
      </c>
      <c r="D80" s="5" t="str">
        <f aca="false">IF(ABS(Ladder!D36-Fund!B30)&lt;0.01,"holds","does not hold")</f>
        <v>holds</v>
      </c>
      <c r="F80" s="14" t="str">
        <f aca="false">IF(D80="holds","PASS","FAIL")</f>
        <v>PASS</v>
      </c>
      <c r="G80" s="2"/>
    </row>
    <row r="81" customFormat="false" ht="15" hidden="false" customHeight="false" outlineLevel="0" collapsed="false">
      <c r="A81" s="28" t="s">
        <v>238</v>
      </c>
      <c r="B81" s="29" t="s">
        <v>258</v>
      </c>
      <c r="C81" s="36"/>
      <c r="D81" s="28" t="str">
        <f aca="false">IF(ABS(Ladder!F36-Fund!B37)&lt;0.01,"holds","does not hold")</f>
        <v>holds</v>
      </c>
      <c r="E81" s="36"/>
      <c r="F81" s="32" t="str">
        <f aca="false">IF(D81="holds","PASS","FAIL")</f>
        <v>PASS</v>
      </c>
      <c r="G81" s="33"/>
    </row>
    <row r="82" customFormat="false" ht="15" hidden="false" customHeight="false" outlineLevel="0" collapsed="false">
      <c r="A82" s="5" t="s">
        <v>238</v>
      </c>
      <c r="B82" s="4" t="s">
        <v>259</v>
      </c>
      <c r="C82" s="12" t="n">
        <v>157210000</v>
      </c>
      <c r="D82" s="12" t="n">
        <f aca="false">Ladder!I36</f>
        <v>157210000</v>
      </c>
      <c r="E82" s="27" t="n">
        <f aca="false">IF(ISNUMBER(D82),D82-C82,"")</f>
        <v>0</v>
      </c>
      <c r="F82" s="14" t="str">
        <f aca="false">IF(ISNUMBER(D82),IF(ABS(E82)&lt;=0.005,"PASS","FAIL"),"FAIL")</f>
        <v>PASS</v>
      </c>
      <c r="G82" s="2"/>
    </row>
    <row r="84" customFormat="false" ht="15" hidden="false" customHeight="false" outlineLevel="0" collapsed="false">
      <c r="B84" s="14" t="s">
        <v>260</v>
      </c>
      <c r="C84" s="37" t="n">
        <f aca="false">COUNTIF(F6:F82,"PASS")</f>
        <v>77</v>
      </c>
    </row>
    <row r="85" customFormat="false" ht="15" hidden="false" customHeight="false" outlineLevel="0" collapsed="false">
      <c r="B85" s="14" t="s">
        <v>261</v>
      </c>
      <c r="C85" s="37" t="n">
        <f aca="false">COUNTIF(F6:F82,"FAIL")</f>
        <v>0</v>
      </c>
    </row>
    <row r="86" customFormat="false" ht="15" hidden="false" customHeight="false" outlineLevel="0" collapsed="false">
      <c r="B86" s="14" t="s">
        <v>262</v>
      </c>
      <c r="C86" s="14" t="str">
        <f aca="false">IF(C84=77,"ALL OK",C85&amp;"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2026-09-24T01:20:16Z</dcterms:created>
  <dc:creator>openpyxl</dc:creator>
  <dc:description/>
  <dc:language>en-US</dc:language>
  <cp:lastModifiedBy/>
  <dcterms:modified xsi:type="dcterms:W3CDTF">2026-09-24T01:20:16Z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