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Fund" sheetId="3" state="visible" r:id="rId5"/>
    <sheet name="Power" sheetId="4" state="visible" r:id="rId6"/>
    <sheet name="Check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<sst xmlns="http://schemas.openxmlformats.org/spreadsheetml/2006/main" count="359" uniqueCount="276">
  <si>
    <t xml:space="preserve">The Power Law</t>
  </si>
  <si>
    <t xml:space="preserve">Companion workbook 2 of Venture Capital, by Julian R. Sterling. julianrsterling.com/venture</t>
  </si>
  <si>
    <t xml:space="preserve">What this workbook does</t>
  </si>
  <si>
    <t xml:space="preserve">The Power sheet ranks the twenty-eight lines by proceeds, whatever order they are typed in on the Inputs sheet, with each line's share of the proceeds and the running total. Concentration, the median, the mean and the fund without its best lines are measured rather than asserted.</t>
  </si>
  <si>
    <t xml:space="preserve">Rows 93 to 109 finish the arithmetic to the bank statement: what the limited partner receives without the best line, on the conventions the book states.</t>
  </si>
  <si>
    <t xml:space="preserve">The experiment to run first</t>
  </si>
  <si>
    <t xml:space="preserve">On the Power sheet, set the tick in column G to 0 for the first line, Aldwyn. The fund on row 39 falls from 2.6741x to 1.3071x. Set the next two to 0 as well and it falls to 0.7447x: twenty-five decisions out of twenty-eight, and the result is a loss. Put the ticks back to 1.</t>
  </si>
  <si>
    <t xml:space="preserve">Two conventions</t>
  </si>
  <si>
    <t xml:space="preserve">The median of twenty-eight lines has no single middle: row 63 takes the upper of the two central values (0.1600x), row 64 their average (0.1242x). The book uses the first and prints both.</t>
  </si>
  <si>
    <t xml:space="preserve">Fees are called and sit inside the capital called; carried interest comes out of distributions. The first version of Chapter 5 deducted the fee from proceeds as well and divided by the commitment, which counts it twice (row 109).</t>
  </si>
  <si>
    <t xml:space="preserve">The checks</t>
  </si>
  <si>
    <t xml:space="preserve">The Checks sheet sets each figure the book prints beside the value computed here, to the precision printed. With the book's inputs and every tick at 1, every check passes.</t>
  </si>
  <si>
    <t xml:space="preserve">Revised 24 September 2026.</t>
  </si>
  <si>
    <t xml:space="preserve">The workbook is now in English, like the book, and the Power sheet ranks the lines itself (columns K to N are working columns). The median pound, the fund without its zeros or its smallest cheques, the twenty-ninth line and the bank-statement reading of Chapter 5 are new.</t>
  </si>
  <si>
    <t xml:space="preserve">Chapter 5 is corrected. Without Aldwyn the limited partner receives 150,780,000 after 195,000 of carried: 1.0052x the commitment, 0.9922x the 151,970,000 called if Aldwyn is written off, and 1.1106x the 135,770,000 called if it was never backed. The book printed 0.8621x and 0.8701x, deducting the fee twice. The conclusion softens to "about level", not "eighty-seven pence".</t>
  </si>
  <si>
    <t xml:space="preserve">Two more: without the five 1,500,000 cheques the fund returns 2.8372x (the book prints 2.8371); without the best three, 69,625,000 over the calls is 0.4581x (Chapter 18 prints 0.4582).</t>
  </si>
  <si>
    <t xml:space="preserve">Kelvinside Ventures Fund III: the twenty-eight lines</t>
  </si>
  <si>
    <t xml:space="preserve">Blue on pale yellow: inputs. Everything else is a formula.</t>
  </si>
  <si>
    <t xml:space="preserve">The terms of the fund</t>
  </si>
  <si>
    <t xml:space="preserve">Commitment</t>
  </si>
  <si>
    <t xml:space="preserve">Management fee, a year</t>
  </si>
  <si>
    <t xml:space="preserve">Years at the full rate on the commitment</t>
  </si>
  <si>
    <t xml:space="preserve">Carried interest</t>
  </si>
  <si>
    <t xml:space="preserve">Fund life, years</t>
  </si>
  <si>
    <t xml:space="preserve">Company</t>
  </si>
  <si>
    <t xml:space="preserve">Initial cheque</t>
  </si>
  <si>
    <t xml:space="preserve">Reserve</t>
  </si>
  <si>
    <t xml:space="preserve">Initial multiple</t>
  </si>
  <si>
    <t xml:space="preserve">Reserve multiple</t>
  </si>
  <si>
    <t xml:space="preserve">Exit year</t>
  </si>
  <si>
    <t xml:space="preserve">Invested</t>
  </si>
  <si>
    <t xml:space="preserve">Proceeds</t>
  </si>
  <si>
    <t xml:space="preserve">Multiple</t>
  </si>
  <si>
    <t xml:space="preserve">Aldwyn</t>
  </si>
  <si>
    <t xml:space="preserve">Brackenhall</t>
  </si>
  <si>
    <t xml:space="preserve">Corriemore</t>
  </si>
  <si>
    <t xml:space="preserve">Dunsyre</t>
  </si>
  <si>
    <t xml:space="preserve">Ellisland</t>
  </si>
  <si>
    <t xml:space="preserve">Fettercairn</t>
  </si>
  <si>
    <t xml:space="preserve">Glenlyon</t>
  </si>
  <si>
    <t xml:space="preserve">Hazelbank</t>
  </si>
  <si>
    <t xml:space="preserve">Inverleith</t>
  </si>
  <si>
    <t xml:space="preserve">Jedburgh</t>
  </si>
  <si>
    <t xml:space="preserve">Kirkliston</t>
  </si>
  <si>
    <t xml:space="preserve">Lauriston</t>
  </si>
  <si>
    <t xml:space="preserve">Morningside</t>
  </si>
  <si>
    <t xml:space="preserve">Newington</t>
  </si>
  <si>
    <t xml:space="preserve">Ochiltree</t>
  </si>
  <si>
    <t xml:space="preserve">Polwarth</t>
  </si>
  <si>
    <t xml:space="preserve">Quothquan</t>
  </si>
  <si>
    <t xml:space="preserve">Restalrig</t>
  </si>
  <si>
    <t xml:space="preserve">Slateford</t>
  </si>
  <si>
    <t xml:space="preserve">Torphichen</t>
  </si>
  <si>
    <t xml:space="preserve">Uddingston</t>
  </si>
  <si>
    <t xml:space="preserve">Viewforth</t>
  </si>
  <si>
    <t xml:space="preserve">Wardieburn</t>
  </si>
  <si>
    <t xml:space="preserve">Xerisburn</t>
  </si>
  <si>
    <t xml:space="preserve">Yarrowford</t>
  </si>
  <si>
    <t xml:space="preserve">Zetlandhaugh</t>
  </si>
  <si>
    <t xml:space="preserve">Abbeyhill</t>
  </si>
  <si>
    <t xml:space="preserve">Blackford</t>
  </si>
  <si>
    <t xml:space="preserve">Total</t>
  </si>
  <si>
    <t xml:space="preserve">Exit year: the year the whole position is realised, initial cheque and reserve together. A line with no reserve takes 0 in columns C and E.</t>
  </si>
  <si>
    <t xml:space="preserve">Change a cheque, a multiple or an exit year and all four workbooks move with it: each carries this same sheet.</t>
  </si>
  <si>
    <t xml:space="preserve">The fund, from the commitment to the bank account</t>
  </si>
  <si>
    <t xml:space="preserve">Fees are called: they sit inside the capital called and are not deducted from proceeds. Carried interest is deducted from distributions.</t>
  </si>
  <si>
    <t xml:space="preserve">The management fee, year by year</t>
  </si>
  <si>
    <t xml:space="preserve">Year</t>
  </si>
  <si>
    <t xml:space="preserve">Cost of positions not yet exited</t>
  </si>
  <si>
    <t xml:space="preserve">Fee</t>
  </si>
  <si>
    <t xml:space="preserve">Total fees</t>
  </si>
  <si>
    <t xml:space="preserve">As a share of the commitment</t>
  </si>
  <si>
    <t xml:space="preserve">Investable capital (commitment less fees)</t>
  </si>
  <si>
    <t xml:space="preserve">Threshold: what that capital must return to give back the commitment</t>
  </si>
  <si>
    <t xml:space="preserve">Convention: the basis after the full-rate years is the cost of every position not yet exited, reserves included, as the fund charged it (Chapter 2).</t>
  </si>
  <si>
    <t xml:space="preserve">The capital and the proceeds</t>
  </si>
  <si>
    <t xml:space="preserve">Initial cheques</t>
  </si>
  <si>
    <t xml:space="preserve">Reserves</t>
  </si>
  <si>
    <t xml:space="preserve">Total invested</t>
  </si>
  <si>
    <t xml:space="preserve">Reserves as a share of the capital invested</t>
  </si>
  <si>
    <t xml:space="preserve">Gross proceeds</t>
  </si>
  <si>
    <t xml:space="preserve">Capital called (invested plus fees)</t>
  </si>
  <si>
    <t xml:space="preserve">The four multiples of the same fund</t>
  </si>
  <si>
    <t xml:space="preserve">1. Multiple on the initial cheques</t>
  </si>
  <si>
    <t xml:space="preserve">2. Gross multiple on the capital invested</t>
  </si>
  <si>
    <t xml:space="preserve">3. Gross multiple on the commitment</t>
  </si>
  <si>
    <t xml:space="preserve">Carried interest (whole-of-fund, commitment threshold, no hurdle)</t>
  </si>
  <si>
    <t xml:space="preserve">Distributed to the limited partners</t>
  </si>
  <si>
    <t xml:space="preserve">4. Net TVPI to the limited partner (distributed over commitment)</t>
  </si>
  <si>
    <t xml:space="preserve">Spread, highest to lowest</t>
  </si>
  <si>
    <t xml:space="preserve">Ratio, highest to lowest</t>
  </si>
  <si>
    <t xml:space="preserve">What the manager takes, and the limited partner's invariant</t>
  </si>
  <si>
    <t xml:space="preserve">Fees plus carried interest</t>
  </si>
  <si>
    <t xml:space="preserve">As a share of gross proceeds</t>
  </si>
  <si>
    <t xml:space="preserve">THE LIMITED PARTNER'S NET GAIN (distributed less called)</t>
  </si>
  <si>
    <t xml:space="preserve">The same gain read on the capital invested (proceeds less fees less carried less invested)</t>
  </si>
  <si>
    <t xml:space="preserve">The two lines above must be equal: that is the invariant. Mixing the two readings counts the fee twice (row 86).</t>
  </si>
  <si>
    <t xml:space="preserve">The fee, read two ways (Chapter 2)</t>
  </si>
  <si>
    <t xml:space="preserve">Fees in the full-rate years</t>
  </si>
  <si>
    <t xml:space="preserve">  as a share of all fees</t>
  </si>
  <si>
    <t xml:space="preserve">Fees as a share of the investable capital: the gain the invested capital needs to bring the limited partner level</t>
  </si>
  <si>
    <t xml:space="preserve">The same fee rate on the commitment for the whole life, no step-down</t>
  </si>
  <si>
    <t xml:space="preserve">  investable capital without the step-down</t>
  </si>
  <si>
    <t xml:space="preserve">  threshold without the step-down</t>
  </si>
  <si>
    <t xml:space="preserve">  the threshold moves by</t>
  </si>
  <si>
    <t xml:space="preserve">What the step-down saves</t>
  </si>
  <si>
    <t xml:space="preserve">  as a share of the commitment</t>
  </si>
  <si>
    <t xml:space="preserve">Recycling (Chapter 3)</t>
  </si>
  <si>
    <t xml:space="preserve">Called above the commitment: the recycled capital</t>
  </si>
  <si>
    <t xml:space="preserve">Invested above the investable capital (the same number)</t>
  </si>
  <si>
    <t xml:space="preserve">The committee's shortcut: gross multiple on invested x investable share of the commitment</t>
  </si>
  <si>
    <t xml:space="preserve">Actual multiple on the commitment less the shortcut</t>
  </si>
  <si>
    <t xml:space="preserve">Direct route: recycled capital earning the gross multiple, over the commitment</t>
  </si>
  <si>
    <t xml:space="preserve">  in proceeds</t>
  </si>
  <si>
    <t xml:space="preserve">Break-even multiple on the capital actually at work</t>
  </si>
  <si>
    <t xml:space="preserve">  against the threshold on investable capital</t>
  </si>
  <si>
    <t xml:space="preserve">Share of the fee drag the recycling restores</t>
  </si>
  <si>
    <t xml:space="preserve">Carried paid on the recycled capital: the threshold is the commitment, not the calls</t>
  </si>
  <si>
    <t xml:space="preserve">Distributions over the capital actually called</t>
  </si>
  <si>
    <t xml:space="preserve">Fee a year on the recycled capital while it is held</t>
  </si>
  <si>
    <t xml:space="preserve">The manager's take, on four bases (Chapter 13)</t>
  </si>
  <si>
    <t xml:space="preserve">As a share of the capital called</t>
  </si>
  <si>
    <t xml:space="preserve">Gain on the capital invested (proceeds less invested)</t>
  </si>
  <si>
    <t xml:space="preserve">  take as a share of it</t>
  </si>
  <si>
    <t xml:space="preserve">Gain over the calls (proceeds less called)</t>
  </si>
  <si>
    <t xml:space="preserve">The two readings mixed: fee deducted twice (wrong, and common)</t>
  </si>
  <si>
    <t xml:space="preserve">Take as a share of the limited partner's net gain</t>
  </si>
  <si>
    <t xml:space="preserve">Carried as a share of the gain on invested</t>
  </si>
  <si>
    <t xml:space="preserve">Carried as a share of the gain over calls</t>
  </si>
  <si>
    <t xml:space="preserve">"Twenty per cent of the gain" on invested, as heard</t>
  </si>
  <si>
    <t xml:space="preserve">  actual take over that</t>
  </si>
  <si>
    <t xml:space="preserve">"Twenty per cent" of the gain over calls</t>
  </si>
  <si>
    <t xml:space="preserve">Fees a year, over the life</t>
  </si>
  <si>
    <t xml:space="preserve">Fees per position</t>
  </si>
  <si>
    <t xml:space="preserve">The power law, measured</t>
  </si>
  <si>
    <t xml:space="preserve">Each line ranked by proceeds, its share and the running total, and the fund without it. One tick box per line: 1 keeps it, 0 removes it.</t>
  </si>
  <si>
    <t xml:space="preserve">Company, ranked by proceeds</t>
  </si>
  <si>
    <t xml:space="preserve">Share of proceeds</t>
  </si>
  <si>
    <t xml:space="preserve">Cumulative share</t>
  </si>
  <si>
    <t xml:space="preserve">Kept</t>
  </si>
  <si>
    <t xml:space="preserve">Rank key</t>
  </si>
  <si>
    <t xml:space="preserve">Row</t>
  </si>
  <si>
    <t xml:space="preserve">Cost at or above this multiple</t>
  </si>
  <si>
    <t xml:space="preserve">Median pound</t>
  </si>
  <si>
    <t xml:space="preserve">The fund rebuilt on the lines kept</t>
  </si>
  <si>
    <t xml:space="preserve">Capital of the lines kept</t>
  </si>
  <si>
    <t xml:space="preserve">Proceeds of the lines kept</t>
  </si>
  <si>
    <t xml:space="preserve">MULTIPLE OF THE FUND SO REBUILT</t>
  </si>
  <si>
    <t xml:space="preserve">Lines kept</t>
  </si>
  <si>
    <t xml:space="preserve">Concentration</t>
  </si>
  <si>
    <t xml:space="preserve">Share of proceeds: the first line</t>
  </si>
  <si>
    <t xml:space="preserve">  the first two</t>
  </si>
  <si>
    <t xml:space="preserve">  the first three</t>
  </si>
  <si>
    <t xml:space="preserve">  the first five</t>
  </si>
  <si>
    <t xml:space="preserve">  the first ten</t>
  </si>
  <si>
    <t xml:space="preserve">  the other lines together</t>
  </si>
  <si>
    <t xml:space="preserve">Proceeds of the first line over the whole commitment</t>
  </si>
  <si>
    <t xml:space="preserve">Capital share of the first three</t>
  </si>
  <si>
    <t xml:space="preserve">Capital share of the first line</t>
  </si>
  <si>
    <t xml:space="preserve">The best three alone</t>
  </si>
  <si>
    <t xml:space="preserve">Other lines' capital share, and their share of proceeds</t>
  </si>
  <si>
    <t xml:space="preserve">The distribution of outcomes</t>
  </si>
  <si>
    <t xml:space="preserve">Lines that returned nothing</t>
  </si>
  <si>
    <t xml:space="preserve">Lines that returned less than their cost</t>
  </si>
  <si>
    <t xml:space="preserve">Capital in those lines</t>
  </si>
  <si>
    <t xml:space="preserve">  as a share of the capital invested</t>
  </si>
  <si>
    <t xml:space="preserve">  their proceeds</t>
  </si>
  <si>
    <t xml:space="preserve">  their multiple</t>
  </si>
  <si>
    <t xml:space="preserve">Capital in the lines that returned nothing</t>
  </si>
  <si>
    <t xml:space="preserve">MEDIAN LINE (upper of the two central values)</t>
  </si>
  <si>
    <t xml:space="preserve">Median, average of the two central values</t>
  </si>
  <si>
    <t xml:space="preserve">Unweighted mean of the multiples</t>
  </si>
  <si>
    <t xml:space="preserve">Sum of the multiples</t>
  </si>
  <si>
    <t xml:space="preserve">  the largest multiple's share of that sum</t>
  </si>
  <si>
    <t xml:space="preserve">Fund multiple, weighted by capital</t>
  </si>
  <si>
    <t xml:space="preserve">MEDIAN POUND: the line holding the halfway pound, ranked by multiple</t>
  </si>
  <si>
    <t xml:space="preserve">Lines that returned nothing, as a share of the lines</t>
  </si>
  <si>
    <t xml:space="preserve">Lines below cost, as a share of the lines</t>
  </si>
  <si>
    <t xml:space="preserve">Gain of the largest line over the losses of every losing line</t>
  </si>
  <si>
    <t xml:space="preserve">Removals that do not depend on the ticks</t>
  </si>
  <si>
    <t xml:space="preserve">Without the first line</t>
  </si>
  <si>
    <t xml:space="preserve">Without the first three</t>
  </si>
  <si>
    <t xml:space="preserve">Without every line that returned nothing</t>
  </si>
  <si>
    <t xml:space="preserve">The smallest cheque size</t>
  </si>
  <si>
    <t xml:space="preserve">  lines of that size</t>
  </si>
  <si>
    <t xml:space="preserve">Without them</t>
  </si>
  <si>
    <t xml:space="preserve">Without the first line, gross, over the commitment</t>
  </si>
  <si>
    <t xml:space="preserve">The first line over the capital called</t>
  </si>
  <si>
    <t xml:space="preserve">Without the first line, over the capital called</t>
  </si>
  <si>
    <t xml:space="preserve">Without the first three, over the capital called</t>
  </si>
  <si>
    <t xml:space="preserve">A twenty-ninth line (Chapter 7)</t>
  </si>
  <si>
    <t xml:space="preserve">Size of the added line (a step, not data)</t>
  </si>
  <si>
    <t xml:space="preserve">Outcome A: the multiple of the lines outside the first three</t>
  </si>
  <si>
    <t xml:space="preserve">  fund with it</t>
  </si>
  <si>
    <t xml:space="preserve">  share of proceeds still from the first three</t>
  </si>
  <si>
    <t xml:space="preserve">Outcome B: the first line's reserve multiple, a later round of a known winner</t>
  </si>
  <si>
    <t xml:space="preserve">To the bank statement (Chapter 5, corrected)</t>
  </si>
  <si>
    <t xml:space="preserve">The lines kept (ticks)</t>
  </si>
  <si>
    <t xml:space="preserve">Capital invested</t>
  </si>
  <si>
    <t xml:space="preserve">Gross multiple on invested</t>
  </si>
  <si>
    <t xml:space="preserve">Gross multiple on the commitment</t>
  </si>
  <si>
    <t xml:space="preserve">Carried interest (whole-of-fund, commitment threshold)</t>
  </si>
  <si>
    <t xml:space="preserve">Distributed to the limited partner</t>
  </si>
  <si>
    <t xml:space="preserve">On the commitment: the basis of the 2.0612x</t>
  </si>
  <si>
    <t xml:space="preserve">Reading 1, the removed lines written off: over the capital called as it happened</t>
  </si>
  <si>
    <t xml:space="preserve">  limited partner's net gain</t>
  </si>
  <si>
    <t xml:space="preserve">Reading 2, the removed lines never backed: fees without their cost in the basis</t>
  </si>
  <si>
    <t xml:space="preserve">  capital called</t>
  </si>
  <si>
    <t xml:space="preserve">  distributed over called</t>
  </si>
  <si>
    <t xml:space="preserve">Share of the fund's carried interest that goes with the removed lines</t>
  </si>
  <si>
    <t xml:space="preserve">The first edition's reading: fee deducted from proceeds and inside the commitment (counts it twice; do not use)</t>
  </si>
  <si>
    <t xml:space="preserve">Reading 2 recomputes the fee on the positions left: with every tick at 1, column C returns the fund's own 21,470,000 (Checks).</t>
  </si>
  <si>
    <t xml:space="preserve">Checks</t>
  </si>
  <si>
    <t xml:space="preserve">Each line sets a figure printed in the book beside the value this workbook computes, to the precision printed. Every tick on the Power sheet must be at 1.</t>
  </si>
  <si>
    <t xml:space="preserve">Ch.</t>
  </si>
  <si>
    <t xml:space="preserve">Figure</t>
  </si>
  <si>
    <t xml:space="preserve">The book</t>
  </si>
  <si>
    <t xml:space="preserve">This workbook</t>
  </si>
  <si>
    <t xml:space="preserve">Difference</t>
  </si>
  <si>
    <t xml:space="preserve">Result</t>
  </si>
  <si>
    <t xml:space="preserve">Note</t>
  </si>
  <si>
    <t xml:space="preserve">4</t>
  </si>
  <si>
    <t xml:space="preserve">The seven winners: multiple</t>
  </si>
  <si>
    <t xml:space="preserve">Capital in the zeros</t>
  </si>
  <si>
    <t xml:space="preserve">  share of the capital invested</t>
  </si>
  <si>
    <t xml:space="preserve">Share of proceeds, the first line</t>
  </si>
  <si>
    <t xml:space="preserve">  the other eighteen</t>
  </si>
  <si>
    <t xml:space="preserve">Gain of the first line over all the losses</t>
  </si>
  <si>
    <t xml:space="preserve">Without the thirteen zeros</t>
  </si>
  <si>
    <t xml:space="preserve">5</t>
  </si>
  <si>
    <t xml:space="preserve">The first line over the whole commitment</t>
  </si>
  <si>
    <t xml:space="preserve">The first line's share of the capital invested</t>
  </si>
  <si>
    <t xml:space="preserve">Without the first line, gross over the commitment</t>
  </si>
  <si>
    <t xml:space="preserve">  carried interest</t>
  </si>
  <si>
    <t xml:space="preserve">  share of the fund's carried that goes with the first line</t>
  </si>
  <si>
    <t xml:space="preserve">  distributed to the limited partner</t>
  </si>
  <si>
    <t xml:space="preserve">  on the commitment (the basis of 2.0612x)</t>
  </si>
  <si>
    <t xml:space="preserve">revised: Chapter 5 printed 0.8621x, deducting the fee twice</t>
  </si>
  <si>
    <t xml:space="preserve">  over the 151,970,000 called, Aldwyn written off</t>
  </si>
  <si>
    <t xml:space="preserve">Chapter 18 prints this figure</t>
  </si>
  <si>
    <t xml:space="preserve">  limited partner's net gain, written off</t>
  </si>
  <si>
    <t xml:space="preserve">  fees if Aldwyn was never backed</t>
  </si>
  <si>
    <t xml:space="preserve">Chapter 5: 1,200,000 less</t>
  </si>
  <si>
    <t xml:space="preserve">  capital called if never backed</t>
  </si>
  <si>
    <t xml:space="preserve">  over the capital called, never backed</t>
  </si>
  <si>
    <t xml:space="preserve">revised: Chapter 5 printed 0.8701x, deducting the fee twice</t>
  </si>
  <si>
    <t xml:space="preserve">  limited partner's net gain, never backed</t>
  </si>
  <si>
    <t xml:space="preserve">The first edition's double-counted figure, for the record</t>
  </si>
  <si>
    <t xml:space="preserve">the reading Table 7 calls the most common error</t>
  </si>
  <si>
    <t xml:space="preserve">Ticks all at 1: the fee recomputed on the lines kept is the fund's fee</t>
  </si>
  <si>
    <t xml:space="preserve">any inputs</t>
  </si>
  <si>
    <t xml:space="preserve">6</t>
  </si>
  <si>
    <t xml:space="preserve">Median line, upper of the two central values</t>
  </si>
  <si>
    <t xml:space="preserve">  the largest multiple's share of it</t>
  </si>
  <si>
    <t xml:space="preserve">Fund multiple, weighted</t>
  </si>
  <si>
    <t xml:space="preserve">The median pound</t>
  </si>
  <si>
    <t xml:space="preserve">Share of lines at zero</t>
  </si>
  <si>
    <t xml:space="preserve">Share of lines below cost</t>
  </si>
  <si>
    <t xml:space="preserve">7</t>
  </si>
  <si>
    <t xml:space="preserve">Every tick at 1: the rebuilt fund is the fund</t>
  </si>
  <si>
    <t xml:space="preserve">Capital share of the best three</t>
  </si>
  <si>
    <t xml:space="preserve">Capital and proceeds share of the other twenty-five</t>
  </si>
  <si>
    <t xml:space="preserve">  their share of proceeds</t>
  </si>
  <si>
    <t xml:space="preserve">Without the best three, over the capital called</t>
  </si>
  <si>
    <t xml:space="preserve">Chapter 7 prints 0.4581; Chapter 18 prints 0.4582</t>
  </si>
  <si>
    <t xml:space="preserve">Without Aldwyn, over the capital called</t>
  </si>
  <si>
    <t xml:space="preserve">A twenty-ninth line at the rest of the portfolio's multiple: the fund</t>
  </si>
  <si>
    <t xml:space="preserve">  share still from the first three</t>
  </si>
  <si>
    <t xml:space="preserve">The same 2,000,000 in the winner's later round: the fund</t>
  </si>
  <si>
    <t xml:space="preserve">Without the five 1,500,000 cheques</t>
  </si>
  <si>
    <t xml:space="preserve">revised: the book prints 2.8371</t>
  </si>
  <si>
    <t xml:space="preserve">Lines of the smallest size</t>
  </si>
  <si>
    <t xml:space="preserve">The ranking is complete: every row of Inputs appears once</t>
  </si>
  <si>
    <t xml:space="preserve">Checks that pass</t>
  </si>
  <si>
    <t xml:space="preserve">Checks that fail</t>
  </si>
  <si>
    <t xml:space="preserve">All checks</t>
  </si>
</sst>
</file>

<file path=xl/styles.xml><?xml version="1.0" encoding="utf-8"?>
<styleSheet xmlns="http://schemas.openxmlformats.org/spreadsheetml/2006/main">
  <numFmts count="9">
    <numFmt numFmtId="164" formatCode="General"/>
    <numFmt numFmtId="165" formatCode="#,##0;\-#,##0"/>
    <numFmt numFmtId="166" formatCode="0.00%"/>
    <numFmt numFmtId="167" formatCode="0"/>
    <numFmt numFmtId="168" formatCode="0.00"/>
    <numFmt numFmtId="169" formatCode="0.0000\x"/>
    <numFmt numFmtId="170" formatCode="0.0000%"/>
    <numFmt numFmtId="171" formatCode="0.0000"/>
    <numFmt numFmtId="172" formatCode="0.000000"/>
  </numFmts>
  <fonts count="11">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b val="true"/>
      <sz val="11"/>
      <color rgb="FF1A1A1A"/>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3">
    <border diagonalUp="false" diagonalDown="false">
      <left/>
      <right/>
      <top/>
      <bottom/>
      <diagonal/>
    </border>
    <border diagonalUp="false" diagonalDown="false">
      <left/>
      <right/>
      <top/>
      <bottom style="thin">
        <color rgb="FF1F4E5F"/>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2" xfId="0" applyFont="true" applyBorder="true" applyAlignment="false" applyProtection="false">
      <alignment horizontal="general" vertical="bottom" textRotation="0" wrapText="false" indent="0" shrinkToFit="false"/>
      <protection locked="true" hidden="false"/>
    </xf>
    <xf numFmtId="166" fontId="8" fillId="2" borderId="2" xfId="0" applyFont="true" applyBorder="true" applyAlignment="false" applyProtection="false">
      <alignment horizontal="general" vertical="bottom" textRotation="0" wrapText="false" indent="0" shrinkToFit="false"/>
      <protection locked="true" hidden="false"/>
    </xf>
    <xf numFmtId="167" fontId="8" fillId="2" borderId="2" xfId="0" applyFont="true" applyBorder="true" applyAlignment="false" applyProtection="false">
      <alignment horizontal="general" vertical="bottom" textRotation="0" wrapText="false" indent="0" shrinkToFit="false"/>
      <protection locked="true" hidden="false"/>
    </xf>
    <xf numFmtId="164" fontId="9" fillId="3" borderId="2" xfId="0" applyFont="true" applyBorder="true" applyAlignment="true" applyProtection="false">
      <alignment horizontal="general" vertical="center" textRotation="0" wrapText="true" indent="0" shrinkToFit="false"/>
      <protection locked="true" hidden="false"/>
    </xf>
    <xf numFmtId="164" fontId="8" fillId="2" borderId="2" xfId="0" applyFont="true" applyBorder="true" applyAlignment="false" applyProtection="false">
      <alignment horizontal="general" vertical="bottom" textRotation="0" wrapText="false" indent="0" shrinkToFit="false"/>
      <protection locked="true" hidden="false"/>
    </xf>
    <xf numFmtId="168" fontId="8" fillId="2" borderId="2" xfId="0" applyFont="true" applyBorder="tru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1" fontId="10"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true" applyProtection="false">
      <alignment horizontal="general" vertical="top" textRotation="0" wrapText="tru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4" fontId="5"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69"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AA3B2"/>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19.7" hidden="false" customHeight="false" outlineLevel="0" collapsed="false">
      <c r="A1" s="1" t="s">
        <v>0</v>
      </c>
    </row>
    <row r="2" customFormat="false" ht="15" hidden="false" customHeight="false" outlineLevel="0" collapsed="false">
      <c r="A2" s="2" t="s">
        <v>1</v>
      </c>
    </row>
    <row r="5" customFormat="false" ht="15" hidden="false" customHeight="false" outlineLevel="0" collapsed="false">
      <c r="A5" s="3" t="s">
        <v>2</v>
      </c>
    </row>
    <row r="7" customFormat="false" ht="45" hidden="false" customHeight="true" outlineLevel="0" collapsed="false">
      <c r="A7" s="4" t="s">
        <v>3</v>
      </c>
    </row>
    <row r="8" customFormat="false" ht="30" hidden="false" customHeight="true" outlineLevel="0" collapsed="false">
      <c r="A8" s="4" t="s">
        <v>4</v>
      </c>
    </row>
    <row r="10" customFormat="false" ht="15" hidden="false" customHeight="false" outlineLevel="0" collapsed="false">
      <c r="A10" s="3" t="s">
        <v>5</v>
      </c>
    </row>
    <row r="12" customFormat="false" ht="45" hidden="false" customHeight="true" outlineLevel="0" collapsed="false">
      <c r="A12" s="4" t="s">
        <v>6</v>
      </c>
    </row>
    <row r="14" customFormat="false" ht="15" hidden="false" customHeight="false" outlineLevel="0" collapsed="false">
      <c r="A14" s="3" t="s">
        <v>7</v>
      </c>
    </row>
    <row r="16" customFormat="false" ht="30" hidden="false" customHeight="true" outlineLevel="0" collapsed="false">
      <c r="A16" s="4" t="s">
        <v>8</v>
      </c>
    </row>
    <row r="17" customFormat="false" ht="45" hidden="false" customHeight="true" outlineLevel="0" collapsed="false">
      <c r="A17" s="4" t="s">
        <v>9</v>
      </c>
    </row>
    <row r="19" customFormat="false" ht="15" hidden="false" customHeight="false" outlineLevel="0" collapsed="false">
      <c r="A19" s="3" t="s">
        <v>10</v>
      </c>
    </row>
    <row r="21" customFormat="false" ht="30" hidden="false" customHeight="true" outlineLevel="0" collapsed="false">
      <c r="A21" s="4" t="s">
        <v>11</v>
      </c>
    </row>
    <row r="23" customFormat="false" ht="15" hidden="false" customHeight="false" outlineLevel="0" collapsed="false">
      <c r="A23" s="3" t="s">
        <v>12</v>
      </c>
    </row>
    <row r="25" customFormat="false" ht="45" hidden="false" customHeight="true" outlineLevel="0" collapsed="false">
      <c r="A25" s="4" t="s">
        <v>13</v>
      </c>
    </row>
    <row r="26" customFormat="false" ht="60" hidden="false" customHeight="true" outlineLevel="0" collapsed="false">
      <c r="A26" s="4" t="s">
        <v>14</v>
      </c>
    </row>
    <row r="27" customFormat="false" ht="30" hidden="false" customHeight="true" outlineLevel="0" collapsed="false">
      <c r="A27" s="4"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 collapsed="false" customWidth="true" hidden="false" outlineLevel="0" max="3" min="2" style="0" width="16"/>
    <col collapsed="false" customWidth="true" hidden="false" outlineLevel="0" max="5" min="4" style="0" width="14"/>
    <col collapsed="false" customWidth="true" hidden="false" outlineLevel="0" max="6" min="6" style="0" width="10"/>
    <col collapsed="false" customWidth="true" hidden="false" outlineLevel="0" max="8" min="7" style="0" width="18"/>
    <col collapsed="false" customWidth="true" hidden="false" outlineLevel="0" max="9" min="9" style="0" width="12"/>
  </cols>
  <sheetData>
    <row r="1" customFormat="false" ht="19.7" hidden="false" customHeight="false" outlineLevel="0" collapsed="false">
      <c r="A1" s="1" t="s">
        <v>16</v>
      </c>
    </row>
    <row r="2" customFormat="false" ht="15" hidden="false" customHeight="false" outlineLevel="0" collapsed="false">
      <c r="A2" s="2" t="s">
        <v>17</v>
      </c>
    </row>
    <row r="5" customFormat="false" ht="15" hidden="false" customHeight="false" outlineLevel="0" collapsed="false">
      <c r="A5" s="3" t="s">
        <v>18</v>
      </c>
    </row>
    <row r="7" customFormat="false" ht="15" hidden="false" customHeight="false" outlineLevel="0" collapsed="false">
      <c r="A7" s="5" t="s">
        <v>19</v>
      </c>
      <c r="B7" s="6" t="n">
        <v>150000000</v>
      </c>
    </row>
    <row r="8" customFormat="false" ht="15" hidden="false" customHeight="false" outlineLevel="0" collapsed="false">
      <c r="A8" s="5" t="s">
        <v>20</v>
      </c>
      <c r="B8" s="7" t="n">
        <v>0.02</v>
      </c>
    </row>
    <row r="9" customFormat="false" ht="15" hidden="false" customHeight="false" outlineLevel="0" collapsed="false">
      <c r="A9" s="5" t="s">
        <v>21</v>
      </c>
      <c r="B9" s="8" t="n">
        <v>5</v>
      </c>
    </row>
    <row r="10" customFormat="false" ht="15" hidden="false" customHeight="false" outlineLevel="0" collapsed="false">
      <c r="A10" s="5" t="s">
        <v>22</v>
      </c>
      <c r="B10" s="7" t="n">
        <v>0.2</v>
      </c>
    </row>
    <row r="11" customFormat="false" ht="15" hidden="false" customHeight="false" outlineLevel="0" collapsed="false">
      <c r="A11" s="5" t="s">
        <v>23</v>
      </c>
      <c r="B11" s="8" t="n">
        <v>10</v>
      </c>
    </row>
    <row r="13" customFormat="false" ht="23.85" hidden="false" customHeight="false" outlineLevel="0" collapsed="false">
      <c r="A13" s="9" t="s">
        <v>24</v>
      </c>
      <c r="B13" s="9" t="s">
        <v>25</v>
      </c>
      <c r="C13" s="9" t="s">
        <v>26</v>
      </c>
      <c r="D13" s="9" t="s">
        <v>27</v>
      </c>
      <c r="E13" s="9" t="s">
        <v>28</v>
      </c>
      <c r="F13" s="9" t="s">
        <v>29</v>
      </c>
      <c r="G13" s="9" t="s">
        <v>30</v>
      </c>
      <c r="H13" s="9" t="s">
        <v>31</v>
      </c>
      <c r="I13" s="9" t="s">
        <v>32</v>
      </c>
    </row>
    <row r="14" customFormat="false" ht="15" hidden="false" customHeight="false" outlineLevel="0" collapsed="false">
      <c r="A14" s="10" t="s">
        <v>33</v>
      </c>
      <c r="B14" s="6" t="n">
        <v>3000000</v>
      </c>
      <c r="C14" s="6" t="n">
        <v>12000000</v>
      </c>
      <c r="D14" s="11" t="n">
        <v>42</v>
      </c>
      <c r="E14" s="11" t="n">
        <v>6</v>
      </c>
      <c r="F14" s="8" t="n">
        <v>9</v>
      </c>
      <c r="G14" s="12" t="n">
        <f aca="false">B14+C14</f>
        <v>15000000</v>
      </c>
      <c r="H14" s="12" t="n">
        <f aca="false">B14*D14+C14*E14</f>
        <v>198000000</v>
      </c>
      <c r="I14" s="13" t="n">
        <f aca="false">IF(G14=0,"",H14/G14)</f>
        <v>13.2</v>
      </c>
    </row>
    <row r="15" customFormat="false" ht="15" hidden="false" customHeight="false" outlineLevel="0" collapsed="false">
      <c r="A15" s="10" t="s">
        <v>34</v>
      </c>
      <c r="B15" s="6" t="n">
        <v>2500000</v>
      </c>
      <c r="C15" s="6" t="n">
        <v>9000000</v>
      </c>
      <c r="D15" s="11" t="n">
        <v>14</v>
      </c>
      <c r="E15" s="11" t="n">
        <v>2</v>
      </c>
      <c r="F15" s="8" t="n">
        <v>8</v>
      </c>
      <c r="G15" s="12" t="n">
        <f aca="false">B15+C15</f>
        <v>11500000</v>
      </c>
      <c r="H15" s="12" t="n">
        <f aca="false">B15*D15+C15*E15</f>
        <v>53000000</v>
      </c>
      <c r="I15" s="13" t="n">
        <f aca="false">IF(G15=0,"",H15/G15)</f>
        <v>4.60869565217391</v>
      </c>
    </row>
    <row r="16" customFormat="false" ht="15" hidden="false" customHeight="false" outlineLevel="0" collapsed="false">
      <c r="A16" s="10" t="s">
        <v>35</v>
      </c>
      <c r="B16" s="6" t="n">
        <v>3000000</v>
      </c>
      <c r="C16" s="6" t="n">
        <v>7500000</v>
      </c>
      <c r="D16" s="11" t="n">
        <v>6.2</v>
      </c>
      <c r="E16" s="11" t="n">
        <v>1.3</v>
      </c>
      <c r="F16" s="8" t="n">
        <v>9</v>
      </c>
      <c r="G16" s="12" t="n">
        <f aca="false">B16+C16</f>
        <v>10500000</v>
      </c>
      <c r="H16" s="12" t="n">
        <f aca="false">B16*D16+C16*E16</f>
        <v>28350000</v>
      </c>
      <c r="I16" s="13" t="n">
        <f aca="false">IF(G16=0,"",H16/G16)</f>
        <v>2.7</v>
      </c>
    </row>
    <row r="17" customFormat="false" ht="15" hidden="false" customHeight="false" outlineLevel="0" collapsed="false">
      <c r="A17" s="10" t="s">
        <v>36</v>
      </c>
      <c r="B17" s="6" t="n">
        <v>2500000</v>
      </c>
      <c r="C17" s="6" t="n">
        <v>6000000</v>
      </c>
      <c r="D17" s="11" t="n">
        <v>4.4</v>
      </c>
      <c r="E17" s="11" t="n">
        <v>1</v>
      </c>
      <c r="F17" s="8" t="n">
        <v>7</v>
      </c>
      <c r="G17" s="12" t="n">
        <f aca="false">B17+C17</f>
        <v>8500000</v>
      </c>
      <c r="H17" s="12" t="n">
        <f aca="false">B17*D17+C17*E17</f>
        <v>17000000</v>
      </c>
      <c r="I17" s="13" t="n">
        <f aca="false">IF(G17=0,"",H17/G17)</f>
        <v>2</v>
      </c>
    </row>
    <row r="18" customFormat="false" ht="15" hidden="false" customHeight="false" outlineLevel="0" collapsed="false">
      <c r="A18" s="10" t="s">
        <v>37</v>
      </c>
      <c r="B18" s="6" t="n">
        <v>2500000</v>
      </c>
      <c r="C18" s="6" t="n">
        <v>5500000</v>
      </c>
      <c r="D18" s="11" t="n">
        <v>3.6</v>
      </c>
      <c r="E18" s="11" t="n">
        <v>0.85</v>
      </c>
      <c r="F18" s="8" t="n">
        <v>8</v>
      </c>
      <c r="G18" s="12" t="n">
        <f aca="false">B18+C18</f>
        <v>8000000</v>
      </c>
      <c r="H18" s="12" t="n">
        <f aca="false">B18*D18+C18*E18</f>
        <v>13675000</v>
      </c>
      <c r="I18" s="13" t="n">
        <f aca="false">IF(G18=0,"",H18/G18)</f>
        <v>1.709375</v>
      </c>
    </row>
    <row r="19" customFormat="false" ht="15" hidden="false" customHeight="false" outlineLevel="0" collapsed="false">
      <c r="A19" s="10" t="s">
        <v>38</v>
      </c>
      <c r="B19" s="6" t="n">
        <v>2500000</v>
      </c>
      <c r="C19" s="6" t="n">
        <v>5000000</v>
      </c>
      <c r="D19" s="11" t="n">
        <v>2.8</v>
      </c>
      <c r="E19" s="11" t="n">
        <v>0.7</v>
      </c>
      <c r="F19" s="8" t="n">
        <v>10</v>
      </c>
      <c r="G19" s="12" t="n">
        <f aca="false">B19+C19</f>
        <v>7500000</v>
      </c>
      <c r="H19" s="12" t="n">
        <f aca="false">B19*D19+C19*E19</f>
        <v>10500000</v>
      </c>
      <c r="I19" s="13" t="n">
        <f aca="false">IF(G19=0,"",H19/G19)</f>
        <v>1.4</v>
      </c>
    </row>
    <row r="20" customFormat="false" ht="15" hidden="false" customHeight="false" outlineLevel="0" collapsed="false">
      <c r="A20" s="10" t="s">
        <v>39</v>
      </c>
      <c r="B20" s="6" t="n">
        <v>2500000</v>
      </c>
      <c r="C20" s="6" t="n">
        <v>4500000</v>
      </c>
      <c r="D20" s="11" t="n">
        <v>2.3</v>
      </c>
      <c r="E20" s="11" t="n">
        <v>0.6</v>
      </c>
      <c r="F20" s="8" t="n">
        <v>7</v>
      </c>
      <c r="G20" s="12" t="n">
        <f aca="false">B20+C20</f>
        <v>7000000</v>
      </c>
      <c r="H20" s="12" t="n">
        <f aca="false">B20*D20+C20*E20</f>
        <v>8450000</v>
      </c>
      <c r="I20" s="13" t="n">
        <f aca="false">IF(G20=0,"",H20/G20)</f>
        <v>1.20714285714286</v>
      </c>
    </row>
    <row r="21" customFormat="false" ht="15" hidden="false" customHeight="false" outlineLevel="0" collapsed="false">
      <c r="A21" s="10" t="s">
        <v>40</v>
      </c>
      <c r="B21" s="6" t="n">
        <v>2500000</v>
      </c>
      <c r="C21" s="6" t="n">
        <v>4000000</v>
      </c>
      <c r="D21" s="11" t="n">
        <v>1.7</v>
      </c>
      <c r="E21" s="11" t="n">
        <v>0.45</v>
      </c>
      <c r="F21" s="8" t="n">
        <v>9</v>
      </c>
      <c r="G21" s="12" t="n">
        <f aca="false">B21+C21</f>
        <v>6500000</v>
      </c>
      <c r="H21" s="12" t="n">
        <f aca="false">B21*D21+C21*E21</f>
        <v>6050000</v>
      </c>
      <c r="I21" s="13" t="n">
        <f aca="false">IF(G21=0,"",H21/G21)</f>
        <v>0.930769230769231</v>
      </c>
    </row>
    <row r="22" customFormat="false" ht="15" hidden="false" customHeight="false" outlineLevel="0" collapsed="false">
      <c r="A22" s="10" t="s">
        <v>41</v>
      </c>
      <c r="B22" s="6" t="n">
        <v>2500000</v>
      </c>
      <c r="C22" s="6" t="n">
        <v>3500000</v>
      </c>
      <c r="D22" s="11" t="n">
        <v>1.3</v>
      </c>
      <c r="E22" s="11" t="n">
        <v>0.35</v>
      </c>
      <c r="F22" s="8" t="n">
        <v>8</v>
      </c>
      <c r="G22" s="12" t="n">
        <f aca="false">B22+C22</f>
        <v>6000000</v>
      </c>
      <c r="H22" s="12" t="n">
        <f aca="false">B22*D22+C22*E22</f>
        <v>4475000</v>
      </c>
      <c r="I22" s="13" t="n">
        <f aca="false">IF(G22=0,"",H22/G22)</f>
        <v>0.745833333333333</v>
      </c>
    </row>
    <row r="23" customFormat="false" ht="15" hidden="false" customHeight="false" outlineLevel="0" collapsed="false">
      <c r="A23" s="10" t="s">
        <v>42</v>
      </c>
      <c r="B23" s="6" t="n">
        <v>2500000</v>
      </c>
      <c r="C23" s="6" t="n">
        <v>3000000</v>
      </c>
      <c r="D23" s="11" t="n">
        <v>1</v>
      </c>
      <c r="E23" s="11" t="n">
        <v>0.3</v>
      </c>
      <c r="F23" s="8" t="n">
        <v>10</v>
      </c>
      <c r="G23" s="12" t="n">
        <f aca="false">B23+C23</f>
        <v>5500000</v>
      </c>
      <c r="H23" s="12" t="n">
        <f aca="false">B23*D23+C23*E23</f>
        <v>3400000</v>
      </c>
      <c r="I23" s="13" t="n">
        <f aca="false">IF(G23=0,"",H23/G23)</f>
        <v>0.618181818181818</v>
      </c>
    </row>
    <row r="24" customFormat="false" ht="15" hidden="false" customHeight="false" outlineLevel="0" collapsed="false">
      <c r="A24" s="10" t="s">
        <v>43</v>
      </c>
      <c r="B24" s="6" t="n">
        <v>2500000</v>
      </c>
      <c r="C24" s="6" t="n">
        <v>2500000</v>
      </c>
      <c r="D24" s="11" t="n">
        <v>0.8</v>
      </c>
      <c r="E24" s="11" t="n">
        <v>0.22</v>
      </c>
      <c r="F24" s="8" t="n">
        <v>6</v>
      </c>
      <c r="G24" s="12" t="n">
        <f aca="false">B24+C24</f>
        <v>5000000</v>
      </c>
      <c r="H24" s="12" t="n">
        <f aca="false">B24*D24+C24*E24</f>
        <v>2550000</v>
      </c>
      <c r="I24" s="13" t="n">
        <f aca="false">IF(G24=0,"",H24/G24)</f>
        <v>0.51</v>
      </c>
    </row>
    <row r="25" customFormat="false" ht="15" hidden="false" customHeight="false" outlineLevel="0" collapsed="false">
      <c r="A25" s="10" t="s">
        <v>44</v>
      </c>
      <c r="B25" s="6" t="n">
        <v>2500000</v>
      </c>
      <c r="C25" s="6" t="n">
        <v>2000000</v>
      </c>
      <c r="D25" s="11" t="n">
        <v>0.55</v>
      </c>
      <c r="E25" s="11" t="n">
        <v>0.15</v>
      </c>
      <c r="F25" s="8" t="n">
        <v>7</v>
      </c>
      <c r="G25" s="12" t="n">
        <f aca="false">B25+C25</f>
        <v>4500000</v>
      </c>
      <c r="H25" s="12" t="n">
        <f aca="false">B25*D25+C25*E25</f>
        <v>1675000</v>
      </c>
      <c r="I25" s="13" t="n">
        <f aca="false">IF(G25=0,"",H25/G25)</f>
        <v>0.372222222222222</v>
      </c>
    </row>
    <row r="26" customFormat="false" ht="15" hidden="false" customHeight="false" outlineLevel="0" collapsed="false">
      <c r="A26" s="10" t="s">
        <v>45</v>
      </c>
      <c r="B26" s="6" t="n">
        <v>2500000</v>
      </c>
      <c r="C26" s="6" t="n">
        <v>1500000</v>
      </c>
      <c r="D26" s="11" t="n">
        <v>0.35</v>
      </c>
      <c r="E26" s="11" t="n">
        <v>0.1</v>
      </c>
      <c r="F26" s="8" t="n">
        <v>6</v>
      </c>
      <c r="G26" s="12" t="n">
        <f aca="false">B26+C26</f>
        <v>4000000</v>
      </c>
      <c r="H26" s="12" t="n">
        <f aca="false">B26*D26+C26*E26</f>
        <v>1025000</v>
      </c>
      <c r="I26" s="13" t="n">
        <f aca="false">IF(G26=0,"",H26/G26)</f>
        <v>0.25625</v>
      </c>
    </row>
    <row r="27" customFormat="false" ht="15" hidden="false" customHeight="false" outlineLevel="0" collapsed="false">
      <c r="A27" s="10" t="s">
        <v>46</v>
      </c>
      <c r="B27" s="6" t="n">
        <v>2500000</v>
      </c>
      <c r="C27" s="6" t="n">
        <v>1000000</v>
      </c>
      <c r="D27" s="11" t="n">
        <v>0.2</v>
      </c>
      <c r="E27" s="11" t="n">
        <v>0.06</v>
      </c>
      <c r="F27" s="8" t="n">
        <v>5</v>
      </c>
      <c r="G27" s="12" t="n">
        <f aca="false">B27+C27</f>
        <v>3500000</v>
      </c>
      <c r="H27" s="12" t="n">
        <f aca="false">B27*D27+C27*E27</f>
        <v>560000</v>
      </c>
      <c r="I27" s="13" t="n">
        <f aca="false">IF(G27=0,"",H27/G27)</f>
        <v>0.16</v>
      </c>
    </row>
    <row r="28" customFormat="false" ht="15" hidden="false" customHeight="false" outlineLevel="0" collapsed="false">
      <c r="A28" s="10" t="s">
        <v>47</v>
      </c>
      <c r="B28" s="6" t="n">
        <v>2500000</v>
      </c>
      <c r="C28" s="6" t="n">
        <v>500000</v>
      </c>
      <c r="D28" s="11" t="n">
        <v>0.1</v>
      </c>
      <c r="E28" s="11" t="n">
        <v>0.03</v>
      </c>
      <c r="F28" s="8" t="n">
        <v>6</v>
      </c>
      <c r="G28" s="12" t="n">
        <f aca="false">B28+C28</f>
        <v>3000000</v>
      </c>
      <c r="H28" s="12" t="n">
        <f aca="false">B28*D28+C28*E28</f>
        <v>265000</v>
      </c>
      <c r="I28" s="13" t="n">
        <f aca="false">IF(G28=0,"",H28/G28)</f>
        <v>0.0883333333333333</v>
      </c>
    </row>
    <row r="29" customFormat="false" ht="15" hidden="false" customHeight="false" outlineLevel="0" collapsed="false">
      <c r="A29" s="10" t="s">
        <v>48</v>
      </c>
      <c r="B29" s="6" t="n">
        <v>2500000</v>
      </c>
      <c r="C29" s="6" t="n">
        <v>500000</v>
      </c>
      <c r="D29" s="11" t="n">
        <v>0</v>
      </c>
      <c r="E29" s="11" t="n">
        <v>0</v>
      </c>
      <c r="F29" s="8" t="n">
        <v>5</v>
      </c>
      <c r="G29" s="12" t="n">
        <f aca="false">B29+C29</f>
        <v>3000000</v>
      </c>
      <c r="H29" s="12" t="n">
        <f aca="false">B29*D29+C29*E29</f>
        <v>0</v>
      </c>
      <c r="I29" s="13" t="n">
        <f aca="false">IF(G29=0,"",H29/G29)</f>
        <v>0</v>
      </c>
    </row>
    <row r="30" customFormat="false" ht="15" hidden="false" customHeight="false" outlineLevel="0" collapsed="false">
      <c r="A30" s="10" t="s">
        <v>49</v>
      </c>
      <c r="B30" s="6" t="n">
        <v>2000000</v>
      </c>
      <c r="C30" s="6" t="n">
        <v>0</v>
      </c>
      <c r="D30" s="11" t="n">
        <v>0</v>
      </c>
      <c r="E30" s="11" t="n">
        <v>0</v>
      </c>
      <c r="F30" s="8" t="n">
        <v>4</v>
      </c>
      <c r="G30" s="12" t="n">
        <f aca="false">B30+C30</f>
        <v>2000000</v>
      </c>
      <c r="H30" s="12" t="n">
        <f aca="false">B30*D30+C30*E30</f>
        <v>0</v>
      </c>
      <c r="I30" s="13" t="n">
        <f aca="false">IF(G30=0,"",H30/G30)</f>
        <v>0</v>
      </c>
    </row>
    <row r="31" customFormat="false" ht="15" hidden="false" customHeight="false" outlineLevel="0" collapsed="false">
      <c r="A31" s="10" t="s">
        <v>50</v>
      </c>
      <c r="B31" s="6" t="n">
        <v>2000000</v>
      </c>
      <c r="C31" s="6" t="n">
        <v>0</v>
      </c>
      <c r="D31" s="11" t="n">
        <v>0</v>
      </c>
      <c r="E31" s="11" t="n">
        <v>0</v>
      </c>
      <c r="F31" s="8" t="n">
        <v>5</v>
      </c>
      <c r="G31" s="12" t="n">
        <f aca="false">B31+C31</f>
        <v>2000000</v>
      </c>
      <c r="H31" s="12" t="n">
        <f aca="false">B31*D31+C31*E31</f>
        <v>0</v>
      </c>
      <c r="I31" s="13" t="n">
        <f aca="false">IF(G31=0,"",H31/G31)</f>
        <v>0</v>
      </c>
    </row>
    <row r="32" customFormat="false" ht="15" hidden="false" customHeight="false" outlineLevel="0" collapsed="false">
      <c r="A32" s="10" t="s">
        <v>51</v>
      </c>
      <c r="B32" s="6" t="n">
        <v>2000000</v>
      </c>
      <c r="C32" s="6" t="n">
        <v>0</v>
      </c>
      <c r="D32" s="11" t="n">
        <v>0</v>
      </c>
      <c r="E32" s="11" t="n">
        <v>0</v>
      </c>
      <c r="F32" s="8" t="n">
        <v>4</v>
      </c>
      <c r="G32" s="12" t="n">
        <f aca="false">B32+C32</f>
        <v>2000000</v>
      </c>
      <c r="H32" s="12" t="n">
        <f aca="false">B32*D32+C32*E32</f>
        <v>0</v>
      </c>
      <c r="I32" s="13" t="n">
        <f aca="false">IF(G32=0,"",H32/G32)</f>
        <v>0</v>
      </c>
    </row>
    <row r="33" customFormat="false" ht="15" hidden="false" customHeight="false" outlineLevel="0" collapsed="false">
      <c r="A33" s="10" t="s">
        <v>52</v>
      </c>
      <c r="B33" s="6" t="n">
        <v>2000000</v>
      </c>
      <c r="C33" s="6" t="n">
        <v>0</v>
      </c>
      <c r="D33" s="11" t="n">
        <v>0</v>
      </c>
      <c r="E33" s="11" t="n">
        <v>0</v>
      </c>
      <c r="F33" s="8" t="n">
        <v>6</v>
      </c>
      <c r="G33" s="12" t="n">
        <f aca="false">B33+C33</f>
        <v>2000000</v>
      </c>
      <c r="H33" s="12" t="n">
        <f aca="false">B33*D33+C33*E33</f>
        <v>0</v>
      </c>
      <c r="I33" s="13" t="n">
        <f aca="false">IF(G33=0,"",H33/G33)</f>
        <v>0</v>
      </c>
    </row>
    <row r="34" customFormat="false" ht="15" hidden="false" customHeight="false" outlineLevel="0" collapsed="false">
      <c r="A34" s="10" t="s">
        <v>53</v>
      </c>
      <c r="B34" s="6" t="n">
        <v>2000000</v>
      </c>
      <c r="C34" s="6" t="n">
        <v>0</v>
      </c>
      <c r="D34" s="11" t="n">
        <v>0</v>
      </c>
      <c r="E34" s="11" t="n">
        <v>0</v>
      </c>
      <c r="F34" s="8" t="n">
        <v>5</v>
      </c>
      <c r="G34" s="12" t="n">
        <f aca="false">B34+C34</f>
        <v>2000000</v>
      </c>
      <c r="H34" s="12" t="n">
        <f aca="false">B34*D34+C34*E34</f>
        <v>0</v>
      </c>
      <c r="I34" s="13" t="n">
        <f aca="false">IF(G34=0,"",H34/G34)</f>
        <v>0</v>
      </c>
    </row>
    <row r="35" customFormat="false" ht="15" hidden="false" customHeight="false" outlineLevel="0" collapsed="false">
      <c r="A35" s="10" t="s">
        <v>54</v>
      </c>
      <c r="B35" s="6" t="n">
        <v>2000000</v>
      </c>
      <c r="C35" s="6" t="n">
        <v>0</v>
      </c>
      <c r="D35" s="11" t="n">
        <v>0</v>
      </c>
      <c r="E35" s="11" t="n">
        <v>0</v>
      </c>
      <c r="F35" s="8" t="n">
        <v>4</v>
      </c>
      <c r="G35" s="12" t="n">
        <f aca="false">B35+C35</f>
        <v>2000000</v>
      </c>
      <c r="H35" s="12" t="n">
        <f aca="false">B35*D35+C35*E35</f>
        <v>0</v>
      </c>
      <c r="I35" s="13" t="n">
        <f aca="false">IF(G35=0,"",H35/G35)</f>
        <v>0</v>
      </c>
    </row>
    <row r="36" customFormat="false" ht="15" hidden="false" customHeight="false" outlineLevel="0" collapsed="false">
      <c r="A36" s="10" t="s">
        <v>55</v>
      </c>
      <c r="B36" s="6" t="n">
        <v>2000000</v>
      </c>
      <c r="C36" s="6" t="n">
        <v>0</v>
      </c>
      <c r="D36" s="11" t="n">
        <v>0</v>
      </c>
      <c r="E36" s="11" t="n">
        <v>0</v>
      </c>
      <c r="F36" s="8" t="n">
        <v>5</v>
      </c>
      <c r="G36" s="12" t="n">
        <f aca="false">B36+C36</f>
        <v>2000000</v>
      </c>
      <c r="H36" s="12" t="n">
        <f aca="false">B36*D36+C36*E36</f>
        <v>0</v>
      </c>
      <c r="I36" s="13" t="n">
        <f aca="false">IF(G36=0,"",H36/G36)</f>
        <v>0</v>
      </c>
    </row>
    <row r="37" customFormat="false" ht="15" hidden="false" customHeight="false" outlineLevel="0" collapsed="false">
      <c r="A37" s="10" t="s">
        <v>56</v>
      </c>
      <c r="B37" s="6" t="n">
        <v>1500000</v>
      </c>
      <c r="C37" s="6" t="n">
        <v>0</v>
      </c>
      <c r="D37" s="11" t="n">
        <v>0</v>
      </c>
      <c r="E37" s="11" t="n">
        <v>0</v>
      </c>
      <c r="F37" s="8" t="n">
        <v>3</v>
      </c>
      <c r="G37" s="12" t="n">
        <f aca="false">B37+C37</f>
        <v>1500000</v>
      </c>
      <c r="H37" s="12" t="n">
        <f aca="false">B37*D37+C37*E37</f>
        <v>0</v>
      </c>
      <c r="I37" s="13" t="n">
        <f aca="false">IF(G37=0,"",H37/G37)</f>
        <v>0</v>
      </c>
    </row>
    <row r="38" customFormat="false" ht="15" hidden="false" customHeight="false" outlineLevel="0" collapsed="false">
      <c r="A38" s="10" t="s">
        <v>57</v>
      </c>
      <c r="B38" s="6" t="n">
        <v>1500000</v>
      </c>
      <c r="C38" s="6" t="n">
        <v>0</v>
      </c>
      <c r="D38" s="11" t="n">
        <v>0</v>
      </c>
      <c r="E38" s="11" t="n">
        <v>0</v>
      </c>
      <c r="F38" s="8" t="n">
        <v>4</v>
      </c>
      <c r="G38" s="12" t="n">
        <f aca="false">B38+C38</f>
        <v>1500000</v>
      </c>
      <c r="H38" s="12" t="n">
        <f aca="false">B38*D38+C38*E38</f>
        <v>0</v>
      </c>
      <c r="I38" s="13" t="n">
        <f aca="false">IF(G38=0,"",H38/G38)</f>
        <v>0</v>
      </c>
    </row>
    <row r="39" customFormat="false" ht="15" hidden="false" customHeight="false" outlineLevel="0" collapsed="false">
      <c r="A39" s="10" t="s">
        <v>58</v>
      </c>
      <c r="B39" s="6" t="n">
        <v>1500000</v>
      </c>
      <c r="C39" s="6" t="n">
        <v>0</v>
      </c>
      <c r="D39" s="11" t="n">
        <v>0</v>
      </c>
      <c r="E39" s="11" t="n">
        <v>0</v>
      </c>
      <c r="F39" s="8" t="n">
        <v>4</v>
      </c>
      <c r="G39" s="12" t="n">
        <f aca="false">B39+C39</f>
        <v>1500000</v>
      </c>
      <c r="H39" s="12" t="n">
        <f aca="false">B39*D39+C39*E39</f>
        <v>0</v>
      </c>
      <c r="I39" s="13" t="n">
        <f aca="false">IF(G39=0,"",H39/G39)</f>
        <v>0</v>
      </c>
    </row>
    <row r="40" customFormat="false" ht="15" hidden="false" customHeight="false" outlineLevel="0" collapsed="false">
      <c r="A40" s="10" t="s">
        <v>59</v>
      </c>
      <c r="B40" s="6" t="n">
        <v>1500000</v>
      </c>
      <c r="C40" s="6" t="n">
        <v>0</v>
      </c>
      <c r="D40" s="11" t="n">
        <v>0</v>
      </c>
      <c r="E40" s="11" t="n">
        <v>0</v>
      </c>
      <c r="F40" s="8" t="n">
        <v>3</v>
      </c>
      <c r="G40" s="12" t="n">
        <f aca="false">B40+C40</f>
        <v>1500000</v>
      </c>
      <c r="H40" s="12" t="n">
        <f aca="false">B40*D40+C40*E40</f>
        <v>0</v>
      </c>
      <c r="I40" s="13" t="n">
        <f aca="false">IF(G40=0,"",H40/G40)</f>
        <v>0</v>
      </c>
    </row>
    <row r="41" customFormat="false" ht="15" hidden="false" customHeight="false" outlineLevel="0" collapsed="false">
      <c r="A41" s="10" t="s">
        <v>60</v>
      </c>
      <c r="B41" s="6" t="n">
        <v>1500000</v>
      </c>
      <c r="C41" s="6" t="n">
        <v>0</v>
      </c>
      <c r="D41" s="11" t="n">
        <v>0</v>
      </c>
      <c r="E41" s="11" t="n">
        <v>0</v>
      </c>
      <c r="F41" s="8" t="n">
        <v>3</v>
      </c>
      <c r="G41" s="12" t="n">
        <f aca="false">B41+C41</f>
        <v>1500000</v>
      </c>
      <c r="H41" s="12" t="n">
        <f aca="false">B41*D41+C41*E41</f>
        <v>0</v>
      </c>
      <c r="I41" s="13" t="n">
        <f aca="false">IF(G41=0,"",H41/G41)</f>
        <v>0</v>
      </c>
    </row>
    <row r="42" customFormat="false" ht="15" hidden="false" customHeight="false" outlineLevel="0" collapsed="false">
      <c r="A42" s="14" t="s">
        <v>61</v>
      </c>
      <c r="B42" s="15" t="n">
        <f aca="false">SUM(B14:B41)</f>
        <v>62500000</v>
      </c>
      <c r="C42" s="15" t="n">
        <f aca="false">SUM(C14:C41)</f>
        <v>68000000</v>
      </c>
      <c r="G42" s="15" t="n">
        <f aca="false">SUM(G14:G41)</f>
        <v>130500000</v>
      </c>
      <c r="H42" s="15" t="n">
        <f aca="false">SUM(H14:H41)</f>
        <v>348975000</v>
      </c>
      <c r="I42" s="16" t="n">
        <f aca="false">IF(G42=0,"",H42/G42)</f>
        <v>2.67413793103448</v>
      </c>
    </row>
    <row r="44" customFormat="false" ht="15" hidden="false" customHeight="false" outlineLevel="0" collapsed="false">
      <c r="A44" s="2" t="s">
        <v>62</v>
      </c>
    </row>
    <row r="45" customFormat="false" ht="15" hidden="false" customHeight="false" outlineLevel="0" collapsed="false">
      <c r="A45" s="2" t="s">
        <v>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9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74"/>
    <col collapsed="false" customWidth="true" hidden="false" outlineLevel="0" max="3" min="2" style="0" width="20"/>
    <col collapsed="false" customWidth="true" hidden="false" outlineLevel="0" max="4" min="4" style="0" width="18"/>
  </cols>
  <sheetData>
    <row r="1" customFormat="false" ht="19.7" hidden="false" customHeight="false" outlineLevel="0" collapsed="false">
      <c r="A1" s="1" t="s">
        <v>64</v>
      </c>
    </row>
    <row r="2" customFormat="false" ht="15" hidden="false" customHeight="false" outlineLevel="0" collapsed="false">
      <c r="A2" s="2" t="s">
        <v>65</v>
      </c>
    </row>
    <row r="5" customFormat="false" ht="15" hidden="false" customHeight="false" outlineLevel="0" collapsed="false">
      <c r="A5" s="3" t="s">
        <v>66</v>
      </c>
    </row>
    <row r="7" customFormat="false" ht="23.85" hidden="false" customHeight="false" outlineLevel="0" collapsed="false">
      <c r="A7" s="9" t="s">
        <v>67</v>
      </c>
      <c r="B7" s="9" t="s">
        <v>68</v>
      </c>
      <c r="C7" s="9" t="s">
        <v>69</v>
      </c>
    </row>
    <row r="8" customFormat="false" ht="15" hidden="false" customHeight="false" outlineLevel="0" collapsed="false">
      <c r="A8" s="17" t="n">
        <v>1</v>
      </c>
      <c r="B8" s="12" t="n">
        <f aca="false">SUMIF(Inputs!$F$14:$F$41,"&gt;="&amp;A8,Inputs!$G$14:$G$41)</f>
        <v>130500000</v>
      </c>
      <c r="C8" s="12" t="n">
        <f aca="false">IF(A8&lt;=Inputs!$B$9,Inputs!$B$7*Inputs!$B$8,B8*Inputs!$B$8)</f>
        <v>3000000</v>
      </c>
    </row>
    <row r="9" customFormat="false" ht="15" hidden="false" customHeight="false" outlineLevel="0" collapsed="false">
      <c r="A9" s="18" t="n">
        <v>2</v>
      </c>
      <c r="B9" s="19" t="n">
        <f aca="false">SUMIF(Inputs!$F$14:$F$41,"&gt;="&amp;A9,Inputs!$G$14:$G$41)</f>
        <v>130500000</v>
      </c>
      <c r="C9" s="19" t="n">
        <f aca="false">IF(A9&lt;=Inputs!$B$9,Inputs!$B$7*Inputs!$B$8,B9*Inputs!$B$8)</f>
        <v>3000000</v>
      </c>
    </row>
    <row r="10" customFormat="false" ht="15" hidden="false" customHeight="false" outlineLevel="0" collapsed="false">
      <c r="A10" s="17" t="n">
        <v>3</v>
      </c>
      <c r="B10" s="12" t="n">
        <f aca="false">SUMIF(Inputs!$F$14:$F$41,"&gt;="&amp;A10,Inputs!$G$14:$G$41)</f>
        <v>130500000</v>
      </c>
      <c r="C10" s="12" t="n">
        <f aca="false">IF(A10&lt;=Inputs!$B$9,Inputs!$B$7*Inputs!$B$8,B10*Inputs!$B$8)</f>
        <v>3000000</v>
      </c>
    </row>
    <row r="11" customFormat="false" ht="15" hidden="false" customHeight="false" outlineLevel="0" collapsed="false">
      <c r="A11" s="18" t="n">
        <v>4</v>
      </c>
      <c r="B11" s="19" t="n">
        <f aca="false">SUMIF(Inputs!$F$14:$F$41,"&gt;="&amp;A11,Inputs!$G$14:$G$41)</f>
        <v>126000000</v>
      </c>
      <c r="C11" s="19" t="n">
        <f aca="false">IF(A11&lt;=Inputs!$B$9,Inputs!$B$7*Inputs!$B$8,B11*Inputs!$B$8)</f>
        <v>3000000</v>
      </c>
    </row>
    <row r="12" customFormat="false" ht="15" hidden="false" customHeight="false" outlineLevel="0" collapsed="false">
      <c r="A12" s="17" t="n">
        <v>5</v>
      </c>
      <c r="B12" s="12" t="n">
        <f aca="false">SUMIF(Inputs!$F$14:$F$41,"&gt;="&amp;A12,Inputs!$G$14:$G$41)</f>
        <v>117000000</v>
      </c>
      <c r="C12" s="12" t="n">
        <f aca="false">IF(A12&lt;=Inputs!$B$9,Inputs!$B$7*Inputs!$B$8,B12*Inputs!$B$8)</f>
        <v>3000000</v>
      </c>
    </row>
    <row r="13" customFormat="false" ht="15" hidden="false" customHeight="false" outlineLevel="0" collapsed="false">
      <c r="A13" s="18" t="n">
        <v>6</v>
      </c>
      <c r="B13" s="19" t="n">
        <f aca="false">SUMIF(Inputs!$F$14:$F$41,"&gt;="&amp;A13,Inputs!$G$14:$G$41)</f>
        <v>104500000</v>
      </c>
      <c r="C13" s="19" t="n">
        <f aca="false">IF(A13&lt;=Inputs!$B$9,Inputs!$B$7*Inputs!$B$8,B13*Inputs!$B$8)</f>
        <v>2090000</v>
      </c>
    </row>
    <row r="14" customFormat="false" ht="15" hidden="false" customHeight="false" outlineLevel="0" collapsed="false">
      <c r="A14" s="17" t="n">
        <v>7</v>
      </c>
      <c r="B14" s="12" t="n">
        <f aca="false">SUMIF(Inputs!$F$14:$F$41,"&gt;="&amp;A14,Inputs!$G$14:$G$41)</f>
        <v>90500000</v>
      </c>
      <c r="C14" s="12" t="n">
        <f aca="false">IF(A14&lt;=Inputs!$B$9,Inputs!$B$7*Inputs!$B$8,B14*Inputs!$B$8)</f>
        <v>1810000</v>
      </c>
    </row>
    <row r="15" customFormat="false" ht="15" hidden="false" customHeight="false" outlineLevel="0" collapsed="false">
      <c r="A15" s="18" t="n">
        <v>8</v>
      </c>
      <c r="B15" s="19" t="n">
        <f aca="false">SUMIF(Inputs!$F$14:$F$41,"&gt;="&amp;A15,Inputs!$G$14:$G$41)</f>
        <v>70500000</v>
      </c>
      <c r="C15" s="19" t="n">
        <f aca="false">IF(A15&lt;=Inputs!$B$9,Inputs!$B$7*Inputs!$B$8,B15*Inputs!$B$8)</f>
        <v>1410000</v>
      </c>
    </row>
    <row r="16" customFormat="false" ht="15" hidden="false" customHeight="false" outlineLevel="0" collapsed="false">
      <c r="A16" s="17" t="n">
        <v>9</v>
      </c>
      <c r="B16" s="12" t="n">
        <f aca="false">SUMIF(Inputs!$F$14:$F$41,"&gt;="&amp;A16,Inputs!$G$14:$G$41)</f>
        <v>45000000</v>
      </c>
      <c r="C16" s="12" t="n">
        <f aca="false">IF(A16&lt;=Inputs!$B$9,Inputs!$B$7*Inputs!$B$8,B16*Inputs!$B$8)</f>
        <v>900000</v>
      </c>
    </row>
    <row r="17" customFormat="false" ht="15" hidden="false" customHeight="false" outlineLevel="0" collapsed="false">
      <c r="A17" s="18" t="n">
        <v>10</v>
      </c>
      <c r="B17" s="19" t="n">
        <f aca="false">SUMIF(Inputs!$F$14:$F$41,"&gt;="&amp;A17,Inputs!$G$14:$G$41)</f>
        <v>13000000</v>
      </c>
      <c r="C17" s="19" t="n">
        <f aca="false">IF(A17&lt;=Inputs!$B$9,Inputs!$B$7*Inputs!$B$8,B17*Inputs!$B$8)</f>
        <v>260000</v>
      </c>
    </row>
    <row r="18" customFormat="false" ht="15" hidden="false" customHeight="false" outlineLevel="0" collapsed="false">
      <c r="A18" s="14" t="s">
        <v>70</v>
      </c>
      <c r="C18" s="15" t="n">
        <f aca="false">SUM(C8:C17)</f>
        <v>21470000</v>
      </c>
    </row>
    <row r="19" customFormat="false" ht="15" hidden="false" customHeight="false" outlineLevel="0" collapsed="false">
      <c r="A19" s="5" t="s">
        <v>71</v>
      </c>
      <c r="C19" s="20" t="n">
        <f aca="false">C18/Inputs!B7</f>
        <v>0.143133333333333</v>
      </c>
    </row>
    <row r="20" customFormat="false" ht="15" hidden="false" customHeight="false" outlineLevel="0" collapsed="false">
      <c r="A20" s="14" t="s">
        <v>72</v>
      </c>
      <c r="C20" s="15" t="n">
        <f aca="false">Inputs!B7-C18</f>
        <v>128530000</v>
      </c>
    </row>
    <row r="21" customFormat="false" ht="15" hidden="false" customHeight="false" outlineLevel="0" collapsed="false">
      <c r="A21" s="14" t="s">
        <v>73</v>
      </c>
      <c r="C21" s="16" t="n">
        <f aca="false">Inputs!B7/C20</f>
        <v>1.16704271376332</v>
      </c>
    </row>
    <row r="22" customFormat="false" ht="15" hidden="false" customHeight="false" outlineLevel="0" collapsed="false">
      <c r="A22" s="2" t="s">
        <v>74</v>
      </c>
    </row>
    <row r="23" customFormat="false" ht="15" hidden="false" customHeight="false" outlineLevel="0" collapsed="false">
      <c r="A23" s="3" t="s">
        <v>75</v>
      </c>
    </row>
    <row r="25" customFormat="false" ht="15" hidden="false" customHeight="false" outlineLevel="0" collapsed="false">
      <c r="A25" s="5" t="s">
        <v>76</v>
      </c>
      <c r="B25" s="12" t="n">
        <f aca="false">Inputs!B42</f>
        <v>62500000</v>
      </c>
    </row>
    <row r="26" customFormat="false" ht="15" hidden="false" customHeight="false" outlineLevel="0" collapsed="false">
      <c r="A26" s="5" t="s">
        <v>77</v>
      </c>
      <c r="B26" s="12" t="n">
        <f aca="false">Inputs!C42</f>
        <v>68000000</v>
      </c>
    </row>
    <row r="27" customFormat="false" ht="15" hidden="false" customHeight="false" outlineLevel="0" collapsed="false">
      <c r="A27" s="14" t="s">
        <v>78</v>
      </c>
      <c r="B27" s="15" t="n">
        <f aca="false">Inputs!G42</f>
        <v>130500000</v>
      </c>
    </row>
    <row r="28" customFormat="false" ht="15" hidden="false" customHeight="false" outlineLevel="0" collapsed="false">
      <c r="A28" s="5" t="s">
        <v>79</v>
      </c>
      <c r="B28" s="20" t="n">
        <f aca="false">B26/B27</f>
        <v>0.521072796934866</v>
      </c>
    </row>
    <row r="29" customFormat="false" ht="15" hidden="false" customHeight="false" outlineLevel="0" collapsed="false">
      <c r="A29" s="14" t="s">
        <v>80</v>
      </c>
      <c r="B29" s="15" t="n">
        <f aca="false">Inputs!H42</f>
        <v>348975000</v>
      </c>
    </row>
    <row r="30" customFormat="false" ht="15" hidden="false" customHeight="false" outlineLevel="0" collapsed="false">
      <c r="A30" s="14" t="s">
        <v>81</v>
      </c>
      <c r="B30" s="15" t="n">
        <f aca="false">B27+C18</f>
        <v>151970000</v>
      </c>
    </row>
    <row r="32" customFormat="false" ht="15" hidden="false" customHeight="false" outlineLevel="0" collapsed="false">
      <c r="A32" s="3" t="s">
        <v>82</v>
      </c>
    </row>
    <row r="34" customFormat="false" ht="15" hidden="false" customHeight="false" outlineLevel="0" collapsed="false">
      <c r="A34" s="14" t="s">
        <v>83</v>
      </c>
      <c r="B34" s="16" t="n">
        <f aca="false">SUMPRODUCT(Inputs!B14:B41,Inputs!D14:D41)/Inputs!B42</f>
        <v>3.6376</v>
      </c>
    </row>
    <row r="35" customFormat="false" ht="15" hidden="false" customHeight="false" outlineLevel="0" collapsed="false">
      <c r="A35" s="14" t="s">
        <v>84</v>
      </c>
      <c r="B35" s="16" t="n">
        <f aca="false">B29/B27</f>
        <v>2.67413793103448</v>
      </c>
    </row>
    <row r="36" customFormat="false" ht="15" hidden="false" customHeight="false" outlineLevel="0" collapsed="false">
      <c r="A36" s="14" t="s">
        <v>85</v>
      </c>
      <c r="B36" s="16" t="n">
        <f aca="false">B29/Inputs!B7</f>
        <v>2.3265</v>
      </c>
    </row>
    <row r="37" customFormat="false" ht="15" hidden="false" customHeight="false" outlineLevel="0" collapsed="false">
      <c r="A37" s="5" t="s">
        <v>86</v>
      </c>
      <c r="B37" s="12" t="n">
        <f aca="false">MAX(0,B29-Inputs!B7)*Inputs!B10</f>
        <v>39795000</v>
      </c>
    </row>
    <row r="38" customFormat="false" ht="15" hidden="false" customHeight="false" outlineLevel="0" collapsed="false">
      <c r="A38" s="5" t="s">
        <v>87</v>
      </c>
      <c r="B38" s="12" t="n">
        <f aca="false">B29-B37</f>
        <v>309180000</v>
      </c>
    </row>
    <row r="39" customFormat="false" ht="15" hidden="false" customHeight="false" outlineLevel="0" collapsed="false">
      <c r="A39" s="14" t="s">
        <v>88</v>
      </c>
      <c r="B39" s="16" t="n">
        <f aca="false">B38/Inputs!B7</f>
        <v>2.0612</v>
      </c>
    </row>
    <row r="40" customFormat="false" ht="15" hidden="false" customHeight="false" outlineLevel="0" collapsed="false">
      <c r="A40" s="5" t="s">
        <v>89</v>
      </c>
      <c r="B40" s="21" t="n">
        <f aca="false">B34-B39</f>
        <v>1.5764</v>
      </c>
    </row>
    <row r="41" customFormat="false" ht="15" hidden="false" customHeight="false" outlineLevel="0" collapsed="false">
      <c r="A41" s="5" t="s">
        <v>90</v>
      </c>
      <c r="B41" s="21" t="n">
        <f aca="false">B34/B39</f>
        <v>1.76479720551135</v>
      </c>
    </row>
    <row r="43" customFormat="false" ht="15" hidden="false" customHeight="false" outlineLevel="0" collapsed="false">
      <c r="A43" s="3" t="s">
        <v>91</v>
      </c>
    </row>
    <row r="45" customFormat="false" ht="15" hidden="false" customHeight="false" outlineLevel="0" collapsed="false">
      <c r="A45" s="5" t="s">
        <v>92</v>
      </c>
      <c r="B45" s="12" t="n">
        <f aca="false">C18+B37</f>
        <v>61265000</v>
      </c>
    </row>
    <row r="46" customFormat="false" ht="15" hidden="false" customHeight="false" outlineLevel="0" collapsed="false">
      <c r="A46" s="5" t="s">
        <v>93</v>
      </c>
      <c r="B46" s="20" t="n">
        <f aca="false">B45/B29</f>
        <v>0.175556988322946</v>
      </c>
    </row>
    <row r="47" customFormat="false" ht="15" hidden="false" customHeight="false" outlineLevel="0" collapsed="false">
      <c r="A47" s="14" t="s">
        <v>94</v>
      </c>
      <c r="B47" s="15" t="n">
        <f aca="false">B38-B30</f>
        <v>157210000</v>
      </c>
    </row>
    <row r="48" customFormat="false" ht="15" hidden="false" customHeight="false" outlineLevel="0" collapsed="false">
      <c r="A48" s="14" t="s">
        <v>95</v>
      </c>
      <c r="B48" s="15" t="n">
        <f aca="false">B29-C18-B37-B27</f>
        <v>157210000</v>
      </c>
    </row>
    <row r="49" customFormat="false" ht="15" hidden="false" customHeight="false" outlineLevel="0" collapsed="false">
      <c r="A49" s="2" t="s">
        <v>96</v>
      </c>
    </row>
    <row r="51" customFormat="false" ht="15" hidden="false" customHeight="false" outlineLevel="0" collapsed="false">
      <c r="A51" s="3" t="s">
        <v>97</v>
      </c>
    </row>
    <row r="53" customFormat="false" ht="15" hidden="false" customHeight="false" outlineLevel="0" collapsed="false">
      <c r="A53" s="5" t="s">
        <v>98</v>
      </c>
      <c r="B53" s="12" t="n">
        <f aca="false">SUMIF(A8:A17,"&lt;="&amp;Inputs!B9,C8:C17)</f>
        <v>15000000</v>
      </c>
    </row>
    <row r="54" customFormat="false" ht="15" hidden="false" customHeight="false" outlineLevel="0" collapsed="false">
      <c r="A54" s="5" t="s">
        <v>99</v>
      </c>
      <c r="B54" s="20" t="n">
        <f aca="false">B53/C18</f>
        <v>0.698649278062413</v>
      </c>
    </row>
    <row r="55" customFormat="false" ht="15" hidden="false" customHeight="false" outlineLevel="0" collapsed="false">
      <c r="A55" s="14" t="s">
        <v>100</v>
      </c>
      <c r="B55" s="22" t="n">
        <f aca="false">C18/C20</f>
        <v>0.167042713763324</v>
      </c>
    </row>
    <row r="56" customFormat="false" ht="15" hidden="false" customHeight="false" outlineLevel="0" collapsed="false">
      <c r="A56" s="5" t="s">
        <v>101</v>
      </c>
      <c r="B56" s="12" t="n">
        <f aca="false">Inputs!B7*Inputs!B8*Inputs!B11</f>
        <v>30000000</v>
      </c>
    </row>
    <row r="57" customFormat="false" ht="15" hidden="false" customHeight="false" outlineLevel="0" collapsed="false">
      <c r="A57" s="5" t="s">
        <v>102</v>
      </c>
      <c r="B57" s="12" t="n">
        <f aca="false">Inputs!B7-B56</f>
        <v>120000000</v>
      </c>
    </row>
    <row r="58" customFormat="false" ht="15" hidden="false" customHeight="false" outlineLevel="0" collapsed="false">
      <c r="A58" s="5" t="s">
        <v>103</v>
      </c>
      <c r="B58" s="13" t="n">
        <f aca="false">Inputs!B7/B57</f>
        <v>1.25</v>
      </c>
    </row>
    <row r="59" customFormat="false" ht="15" hidden="false" customHeight="false" outlineLevel="0" collapsed="false">
      <c r="A59" s="14" t="s">
        <v>104</v>
      </c>
      <c r="B59" s="23" t="n">
        <f aca="false">B58-C21</f>
        <v>0.0829572862366763</v>
      </c>
    </row>
    <row r="60" customFormat="false" ht="15" hidden="false" customHeight="false" outlineLevel="0" collapsed="false">
      <c r="A60" s="14" t="s">
        <v>105</v>
      </c>
      <c r="B60" s="15" t="n">
        <f aca="false">B56-C18</f>
        <v>8530000</v>
      </c>
    </row>
    <row r="61" customFormat="false" ht="15" hidden="false" customHeight="false" outlineLevel="0" collapsed="false">
      <c r="A61" s="5" t="s">
        <v>106</v>
      </c>
      <c r="B61" s="20" t="n">
        <f aca="false">B60/Inputs!B7</f>
        <v>0.0568666666666667</v>
      </c>
    </row>
    <row r="64" customFormat="false" ht="15" hidden="false" customHeight="false" outlineLevel="0" collapsed="false">
      <c r="A64" s="3" t="s">
        <v>107</v>
      </c>
    </row>
    <row r="66" customFormat="false" ht="15" hidden="false" customHeight="false" outlineLevel="0" collapsed="false">
      <c r="A66" s="14" t="s">
        <v>108</v>
      </c>
      <c r="B66" s="15" t="n">
        <f aca="false">B30-Inputs!B7</f>
        <v>1970000</v>
      </c>
    </row>
    <row r="67" customFormat="false" ht="15" hidden="false" customHeight="false" outlineLevel="0" collapsed="false">
      <c r="A67" s="5" t="s">
        <v>109</v>
      </c>
      <c r="B67" s="12" t="n">
        <f aca="false">B27-C20</f>
        <v>1970000</v>
      </c>
    </row>
    <row r="68" customFormat="false" ht="15" hidden="false" customHeight="false" outlineLevel="0" collapsed="false">
      <c r="A68" s="5" t="s">
        <v>110</v>
      </c>
      <c r="B68" s="13" t="n">
        <f aca="false">B35*C20/Inputs!B7</f>
        <v>2.29137965517241</v>
      </c>
    </row>
    <row r="69" customFormat="false" ht="15" hidden="false" customHeight="false" outlineLevel="0" collapsed="false">
      <c r="A69" s="14" t="s">
        <v>111</v>
      </c>
      <c r="B69" s="23" t="n">
        <f aca="false">B36-B68</f>
        <v>0.0351203448275856</v>
      </c>
    </row>
    <row r="70" customFormat="false" ht="15" hidden="false" customHeight="false" outlineLevel="0" collapsed="false">
      <c r="A70" s="5" t="s">
        <v>112</v>
      </c>
      <c r="B70" s="21" t="n">
        <f aca="false">B66*B35/Inputs!B7</f>
        <v>0.0351203448275862</v>
      </c>
    </row>
    <row r="71" customFormat="false" ht="15" hidden="false" customHeight="false" outlineLevel="0" collapsed="false">
      <c r="A71" s="5" t="s">
        <v>113</v>
      </c>
      <c r="B71" s="12" t="n">
        <f aca="false">B66*B35</f>
        <v>5268051.72413793</v>
      </c>
    </row>
    <row r="72" customFormat="false" ht="15" hidden="false" customHeight="false" outlineLevel="0" collapsed="false">
      <c r="A72" s="5" t="s">
        <v>114</v>
      </c>
      <c r="B72" s="13" t="n">
        <f aca="false">Inputs!B7/B27</f>
        <v>1.14942528735632</v>
      </c>
    </row>
    <row r="73" customFormat="false" ht="15" hidden="false" customHeight="false" outlineLevel="0" collapsed="false">
      <c r="A73" s="5" t="s">
        <v>115</v>
      </c>
      <c r="B73" s="21" t="n">
        <f aca="false">C21-B72</f>
        <v>0.0176174264070019</v>
      </c>
    </row>
    <row r="74" customFormat="false" ht="15" hidden="false" customHeight="false" outlineLevel="0" collapsed="false">
      <c r="A74" s="5" t="s">
        <v>116</v>
      </c>
      <c r="B74" s="20" t="n">
        <f aca="false">B66/C18</f>
        <v>0.0917559385188635</v>
      </c>
    </row>
    <row r="75" customFormat="false" ht="15" hidden="false" customHeight="false" outlineLevel="0" collapsed="false">
      <c r="A75" s="14" t="s">
        <v>117</v>
      </c>
      <c r="B75" s="15" t="n">
        <f aca="false">B37-Inputs!B10*MAX(0,B29-B30)</f>
        <v>394000</v>
      </c>
    </row>
    <row r="76" customFormat="false" ht="15" hidden="false" customHeight="false" outlineLevel="0" collapsed="false">
      <c r="A76" s="5" t="s">
        <v>118</v>
      </c>
      <c r="B76" s="13" t="n">
        <f aca="false">B38/B30</f>
        <v>2.03448048957031</v>
      </c>
    </row>
    <row r="77" customFormat="false" ht="15" hidden="false" customHeight="false" outlineLevel="0" collapsed="false">
      <c r="A77" s="5" t="s">
        <v>119</v>
      </c>
      <c r="B77" s="12" t="n">
        <f aca="false">B66*Inputs!B8</f>
        <v>39400</v>
      </c>
    </row>
    <row r="79" customFormat="false" ht="15" hidden="false" customHeight="false" outlineLevel="0" collapsed="false">
      <c r="A79" s="3" t="s">
        <v>120</v>
      </c>
    </row>
    <row r="81" customFormat="false" ht="15" hidden="false" customHeight="false" outlineLevel="0" collapsed="false">
      <c r="A81" s="5" t="s">
        <v>121</v>
      </c>
      <c r="B81" s="20" t="n">
        <f aca="false">B45/B30</f>
        <v>0.403138777390274</v>
      </c>
    </row>
    <row r="82" customFormat="false" ht="15" hidden="false" customHeight="false" outlineLevel="0" collapsed="false">
      <c r="A82" s="5" t="s">
        <v>122</v>
      </c>
      <c r="B82" s="12" t="n">
        <f aca="false">B29-B27</f>
        <v>218475000</v>
      </c>
    </row>
    <row r="83" customFormat="false" ht="15" hidden="false" customHeight="false" outlineLevel="0" collapsed="false">
      <c r="A83" s="14" t="s">
        <v>123</v>
      </c>
      <c r="B83" s="22" t="n">
        <f aca="false">B45/B82</f>
        <v>0.28042110081245</v>
      </c>
    </row>
    <row r="84" customFormat="false" ht="15" hidden="false" customHeight="false" outlineLevel="0" collapsed="false">
      <c r="A84" s="5" t="s">
        <v>124</v>
      </c>
      <c r="B84" s="12" t="n">
        <f aca="false">B29-B30</f>
        <v>197005000</v>
      </c>
    </row>
    <row r="85" customFormat="false" ht="15" hidden="false" customHeight="false" outlineLevel="0" collapsed="false">
      <c r="A85" s="5" t="s">
        <v>123</v>
      </c>
      <c r="B85" s="20" t="n">
        <f aca="false">B45/B84</f>
        <v>0.310981954772722</v>
      </c>
    </row>
    <row r="86" customFormat="false" ht="15" hidden="false" customHeight="false" outlineLevel="0" collapsed="false">
      <c r="A86" s="5" t="s">
        <v>125</v>
      </c>
      <c r="B86" s="12" t="n">
        <f aca="false">B29-B37-C18-B30</f>
        <v>135740000</v>
      </c>
    </row>
    <row r="87" customFormat="false" ht="15" hidden="false" customHeight="false" outlineLevel="0" collapsed="false">
      <c r="A87" s="5" t="s">
        <v>126</v>
      </c>
      <c r="B87" s="20" t="n">
        <f aca="false">B45/B47</f>
        <v>0.38970167292157</v>
      </c>
    </row>
    <row r="88" customFormat="false" ht="15" hidden="false" customHeight="false" outlineLevel="0" collapsed="false">
      <c r="A88" s="5" t="s">
        <v>127</v>
      </c>
      <c r="B88" s="20" t="n">
        <f aca="false">B37/B82</f>
        <v>0.182148987298318</v>
      </c>
    </row>
    <row r="89" customFormat="false" ht="15" hidden="false" customHeight="false" outlineLevel="0" collapsed="false">
      <c r="A89" s="5" t="s">
        <v>128</v>
      </c>
      <c r="B89" s="20" t="n">
        <f aca="false">B37/B84</f>
        <v>0.201999949239867</v>
      </c>
    </row>
    <row r="90" customFormat="false" ht="15" hidden="false" customHeight="false" outlineLevel="0" collapsed="false">
      <c r="A90" s="5" t="s">
        <v>129</v>
      </c>
      <c r="B90" s="12" t="n">
        <f aca="false">Inputs!B10*B82</f>
        <v>43695000</v>
      </c>
    </row>
    <row r="91" customFormat="false" ht="15" hidden="false" customHeight="false" outlineLevel="0" collapsed="false">
      <c r="A91" s="5" t="s">
        <v>130</v>
      </c>
      <c r="B91" s="21" t="n">
        <f aca="false">B45/B90</f>
        <v>1.40210550406225</v>
      </c>
    </row>
    <row r="92" customFormat="false" ht="15" hidden="false" customHeight="false" outlineLevel="0" collapsed="false">
      <c r="A92" s="5" t="s">
        <v>131</v>
      </c>
      <c r="B92" s="12" t="n">
        <f aca="false">Inputs!B10*B84</f>
        <v>39401000</v>
      </c>
    </row>
    <row r="93" customFormat="false" ht="15" hidden="false" customHeight="false" outlineLevel="0" collapsed="false">
      <c r="A93" s="5" t="s">
        <v>130</v>
      </c>
      <c r="B93" s="21" t="n">
        <f aca="false">B45/B92</f>
        <v>1.55490977386361</v>
      </c>
    </row>
    <row r="94" customFormat="false" ht="15" hidden="false" customHeight="false" outlineLevel="0" collapsed="false">
      <c r="A94" s="5" t="s">
        <v>132</v>
      </c>
      <c r="B94" s="12" t="n">
        <f aca="false">C18/Inputs!B11</f>
        <v>2147000</v>
      </c>
    </row>
    <row r="95" customFormat="false" ht="15" hidden="false" customHeight="false" outlineLevel="0" collapsed="false">
      <c r="A95" s="5" t="s">
        <v>133</v>
      </c>
      <c r="B95" s="12" t="n">
        <f aca="false">C18/COUNTIF(Inputs!G14:G41,"&gt;0")</f>
        <v>766785.714285714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6"/>
    <col collapsed="false" customWidth="true" hidden="false" outlineLevel="0" max="3" min="2" style="0" width="18"/>
    <col collapsed="false" customWidth="true" hidden="false" outlineLevel="0" max="4" min="4" style="0" width="12"/>
    <col collapsed="false" customWidth="true" hidden="false" outlineLevel="0" max="6" min="5" style="0" width="14"/>
    <col collapsed="false" customWidth="true" hidden="false" outlineLevel="0" max="8" min="7" style="0" width="9"/>
    <col collapsed="false" customWidth="true" hidden="false" outlineLevel="0" max="11" min="11" style="0" width="14"/>
    <col collapsed="false" customWidth="true" hidden="false" outlineLevel="0" max="12" min="12" style="0" width="8"/>
    <col collapsed="false" customWidth="true" hidden="false" outlineLevel="0" max="13" min="13" style="0" width="16"/>
    <col collapsed="false" customWidth="true" hidden="false" outlineLevel="0" max="14" min="14" style="0" width="12"/>
  </cols>
  <sheetData>
    <row r="1" customFormat="false" ht="19.7" hidden="false" customHeight="false" outlineLevel="0" collapsed="false">
      <c r="A1" s="1" t="s">
        <v>134</v>
      </c>
    </row>
    <row r="2" customFormat="false" ht="15" hidden="false" customHeight="false" outlineLevel="0" collapsed="false">
      <c r="A2" s="2" t="s">
        <v>135</v>
      </c>
    </row>
    <row r="5" customFormat="false" ht="23.85" hidden="false" customHeight="false" outlineLevel="0" collapsed="false">
      <c r="A5" s="9" t="s">
        <v>136</v>
      </c>
      <c r="B5" s="9" t="s">
        <v>30</v>
      </c>
      <c r="C5" s="9" t="s">
        <v>31</v>
      </c>
      <c r="D5" s="9" t="s">
        <v>32</v>
      </c>
      <c r="E5" s="9" t="s">
        <v>137</v>
      </c>
      <c r="F5" s="9" t="s">
        <v>138</v>
      </c>
      <c r="G5" s="9" t="s">
        <v>139</v>
      </c>
      <c r="H5" s="9" t="s">
        <v>29</v>
      </c>
      <c r="K5" s="9" t="s">
        <v>140</v>
      </c>
      <c r="L5" s="9" t="s">
        <v>141</v>
      </c>
      <c r="M5" s="9" t="s">
        <v>142</v>
      </c>
      <c r="N5" s="9" t="s">
        <v>143</v>
      </c>
    </row>
    <row r="6" customFormat="false" ht="15" hidden="false" customHeight="false" outlineLevel="0" collapsed="false">
      <c r="A6" s="5" t="str">
        <f aca="false">IF(INDEX(Inputs!$A$14:$A$41,L6)="","",INDEX(Inputs!$A$14:$A$41,L6))</f>
        <v>Aldwyn</v>
      </c>
      <c r="B6" s="12" t="n">
        <f aca="false">INDEX(Inputs!$G$14:$G$41,L6)</f>
        <v>15000000</v>
      </c>
      <c r="C6" s="12" t="n">
        <f aca="false">INDEX(Inputs!$H$14:$H$41,L6)</f>
        <v>198000000</v>
      </c>
      <c r="D6" s="13" t="n">
        <f aca="false">IF(B6=0,"",C6/B6)</f>
        <v>13.2</v>
      </c>
      <c r="E6" s="20" t="n">
        <f aca="false">IF($C$34=0,"",C6/$C$34)</f>
        <v>0.567375886524823</v>
      </c>
      <c r="F6" s="20" t="n">
        <f aca="false">IF($C$34=0,"",SUM($C$6:C6)/$C$34)</f>
        <v>0.567375886524823</v>
      </c>
      <c r="G6" s="8" t="n">
        <v>1</v>
      </c>
      <c r="H6" s="17" t="n">
        <f aca="false">INDEX(Inputs!$F$14:$F$41,L6)</f>
        <v>9</v>
      </c>
      <c r="K6" s="24" t="n">
        <f aca="false">Inputs!H14+(100-1)*0.000001</f>
        <v>198000000.000099</v>
      </c>
      <c r="L6" s="17" t="n">
        <f aca="false">MATCH(LARGE($K$6:$K$33,1),$K$6:$K$33,0)</f>
        <v>1</v>
      </c>
      <c r="M6" s="12" t="n">
        <f aca="false">IF(D6="","",SUMPRODUCT(($D$6:$D$33&gt;=D6)*$B$6:$B$33))</f>
        <v>15000000</v>
      </c>
      <c r="N6" s="13" t="str">
        <f aca="false">IF(M6="","",IF(M6&gt;=$B$34/2,D6,""))</f>
        <v/>
      </c>
    </row>
    <row r="7" customFormat="false" ht="15" hidden="false" customHeight="false" outlineLevel="0" collapsed="false">
      <c r="A7" s="5" t="str">
        <f aca="false">IF(INDEX(Inputs!$A$14:$A$41,L7)="","",INDEX(Inputs!$A$14:$A$41,L7))</f>
        <v>Brackenhall</v>
      </c>
      <c r="B7" s="12" t="n">
        <f aca="false">INDEX(Inputs!$G$14:$G$41,L7)</f>
        <v>11500000</v>
      </c>
      <c r="C7" s="12" t="n">
        <f aca="false">INDEX(Inputs!$H$14:$H$41,L7)</f>
        <v>53000000</v>
      </c>
      <c r="D7" s="13" t="n">
        <f aca="false">IF(B7=0,"",C7/B7)</f>
        <v>4.60869565217391</v>
      </c>
      <c r="E7" s="20" t="n">
        <f aca="false">IF($C$34=0,"",C7/$C$34)</f>
        <v>0.151873343362705</v>
      </c>
      <c r="F7" s="20" t="n">
        <f aca="false">IF($C$34=0,"",SUM($C$6:C7)/$C$34)</f>
        <v>0.719249229887528</v>
      </c>
      <c r="G7" s="8" t="n">
        <v>1</v>
      </c>
      <c r="H7" s="17" t="n">
        <f aca="false">INDEX(Inputs!$F$14:$F$41,L7)</f>
        <v>8</v>
      </c>
      <c r="K7" s="24" t="n">
        <f aca="false">Inputs!H15+(100-2)*0.000001</f>
        <v>53000000.000098</v>
      </c>
      <c r="L7" s="17" t="n">
        <f aca="false">MATCH(LARGE($K$6:$K$33,2),$K$6:$K$33,0)</f>
        <v>2</v>
      </c>
      <c r="M7" s="12" t="n">
        <f aca="false">IF(D7="","",SUMPRODUCT(($D$6:$D$33&gt;=D7)*$B$6:$B$33))</f>
        <v>26500000</v>
      </c>
      <c r="N7" s="13" t="str">
        <f aca="false">IF(M7="","",IF(M7&gt;=$B$34/2,D7,""))</f>
        <v/>
      </c>
    </row>
    <row r="8" customFormat="false" ht="15" hidden="false" customHeight="false" outlineLevel="0" collapsed="false">
      <c r="A8" s="5" t="str">
        <f aca="false">IF(INDEX(Inputs!$A$14:$A$41,L8)="","",INDEX(Inputs!$A$14:$A$41,L8))</f>
        <v>Corriemore</v>
      </c>
      <c r="B8" s="12" t="n">
        <f aca="false">INDEX(Inputs!$G$14:$G$41,L8)</f>
        <v>10500000</v>
      </c>
      <c r="C8" s="12" t="n">
        <f aca="false">INDEX(Inputs!$H$14:$H$41,L8)</f>
        <v>28350000</v>
      </c>
      <c r="D8" s="13" t="n">
        <f aca="false">IF(B8=0,"",C8/B8)</f>
        <v>2.7</v>
      </c>
      <c r="E8" s="20" t="n">
        <f aca="false">IF($C$34=0,"",C8/$C$34)</f>
        <v>0.0812379110251451</v>
      </c>
      <c r="F8" s="20" t="n">
        <f aca="false">IF($C$34=0,"",SUM($C$6:C8)/$C$34)</f>
        <v>0.800487140912673</v>
      </c>
      <c r="G8" s="8" t="n">
        <v>1</v>
      </c>
      <c r="H8" s="17" t="n">
        <f aca="false">INDEX(Inputs!$F$14:$F$41,L8)</f>
        <v>9</v>
      </c>
      <c r="K8" s="24" t="n">
        <f aca="false">Inputs!H16+(100-3)*0.000001</f>
        <v>28350000.000097</v>
      </c>
      <c r="L8" s="17" t="n">
        <f aca="false">MATCH(LARGE($K$6:$K$33,3),$K$6:$K$33,0)</f>
        <v>3</v>
      </c>
      <c r="M8" s="12" t="n">
        <f aca="false">IF(D8="","",SUMPRODUCT(($D$6:$D$33&gt;=D8)*$B$6:$B$33))</f>
        <v>37000000</v>
      </c>
      <c r="N8" s="13" t="str">
        <f aca="false">IF(M8="","",IF(M8&gt;=$B$34/2,D8,""))</f>
        <v/>
      </c>
    </row>
    <row r="9" customFormat="false" ht="15" hidden="false" customHeight="false" outlineLevel="0" collapsed="false">
      <c r="A9" s="5" t="str">
        <f aca="false">IF(INDEX(Inputs!$A$14:$A$41,L9)="","",INDEX(Inputs!$A$14:$A$41,L9))</f>
        <v>Dunsyre</v>
      </c>
      <c r="B9" s="12" t="n">
        <f aca="false">INDEX(Inputs!$G$14:$G$41,L9)</f>
        <v>8500000</v>
      </c>
      <c r="C9" s="12" t="n">
        <f aca="false">INDEX(Inputs!$H$14:$H$41,L9)</f>
        <v>17000000</v>
      </c>
      <c r="D9" s="13" t="n">
        <f aca="false">IF(B9=0,"",C9/B9)</f>
        <v>2</v>
      </c>
      <c r="E9" s="20" t="n">
        <f aca="false">IF($C$34=0,"",C9/$C$34)</f>
        <v>0.0487140912672828</v>
      </c>
      <c r="F9" s="20" t="n">
        <f aca="false">IF($C$34=0,"",SUM($C$6:C9)/$C$34)</f>
        <v>0.849201232179956</v>
      </c>
      <c r="G9" s="8" t="n">
        <v>1</v>
      </c>
      <c r="H9" s="17" t="n">
        <f aca="false">INDEX(Inputs!$F$14:$F$41,L9)</f>
        <v>7</v>
      </c>
      <c r="K9" s="24" t="n">
        <f aca="false">Inputs!H17+(100-4)*0.000001</f>
        <v>17000000.000096</v>
      </c>
      <c r="L9" s="17" t="n">
        <f aca="false">MATCH(LARGE($K$6:$K$33,4),$K$6:$K$33,0)</f>
        <v>4</v>
      </c>
      <c r="M9" s="12" t="n">
        <f aca="false">IF(D9="","",SUMPRODUCT(($D$6:$D$33&gt;=D9)*$B$6:$B$33))</f>
        <v>45500000</v>
      </c>
      <c r="N9" s="13" t="str">
        <f aca="false">IF(M9="","",IF(M9&gt;=$B$34/2,D9,""))</f>
        <v/>
      </c>
    </row>
    <row r="10" customFormat="false" ht="15" hidden="false" customHeight="false" outlineLevel="0" collapsed="false">
      <c r="A10" s="5" t="str">
        <f aca="false">IF(INDEX(Inputs!$A$14:$A$41,L10)="","",INDEX(Inputs!$A$14:$A$41,L10))</f>
        <v>Ellisland</v>
      </c>
      <c r="B10" s="12" t="n">
        <f aca="false">INDEX(Inputs!$G$14:$G$41,L10)</f>
        <v>8000000</v>
      </c>
      <c r="C10" s="12" t="n">
        <f aca="false">INDEX(Inputs!$H$14:$H$41,L10)</f>
        <v>13675000</v>
      </c>
      <c r="D10" s="13" t="n">
        <f aca="false">IF(B10=0,"",C10/B10)</f>
        <v>1.709375</v>
      </c>
      <c r="E10" s="20" t="n">
        <f aca="false">IF($C$34=0,"",C10/$C$34)</f>
        <v>0.0391861881223583</v>
      </c>
      <c r="F10" s="20" t="n">
        <f aca="false">IF($C$34=0,"",SUM($C$6:C10)/$C$34)</f>
        <v>0.888387420302314</v>
      </c>
      <c r="G10" s="8" t="n">
        <v>1</v>
      </c>
      <c r="H10" s="17" t="n">
        <f aca="false">INDEX(Inputs!$F$14:$F$41,L10)</f>
        <v>8</v>
      </c>
      <c r="K10" s="24" t="n">
        <f aca="false">Inputs!H18+(100-5)*0.000001</f>
        <v>13675000.000095</v>
      </c>
      <c r="L10" s="17" t="n">
        <f aca="false">MATCH(LARGE($K$6:$K$33,5),$K$6:$K$33,0)</f>
        <v>5</v>
      </c>
      <c r="M10" s="12" t="n">
        <f aca="false">IF(D10="","",SUMPRODUCT(($D$6:$D$33&gt;=D10)*$B$6:$B$33))</f>
        <v>53500000</v>
      </c>
      <c r="N10" s="13" t="str">
        <f aca="false">IF(M10="","",IF(M10&gt;=$B$34/2,D10,""))</f>
        <v/>
      </c>
    </row>
    <row r="11" customFormat="false" ht="15" hidden="false" customHeight="false" outlineLevel="0" collapsed="false">
      <c r="A11" s="5" t="str">
        <f aca="false">IF(INDEX(Inputs!$A$14:$A$41,L11)="","",INDEX(Inputs!$A$14:$A$41,L11))</f>
        <v>Fettercairn</v>
      </c>
      <c r="B11" s="12" t="n">
        <f aca="false">INDEX(Inputs!$G$14:$G$41,L11)</f>
        <v>7500000</v>
      </c>
      <c r="C11" s="12" t="n">
        <f aca="false">INDEX(Inputs!$H$14:$H$41,L11)</f>
        <v>10500000</v>
      </c>
      <c r="D11" s="13" t="n">
        <f aca="false">IF(B11=0,"",C11/B11)</f>
        <v>1.4</v>
      </c>
      <c r="E11" s="20" t="n">
        <f aca="false">IF($C$34=0,"",C11/$C$34)</f>
        <v>0.0300881151944982</v>
      </c>
      <c r="F11" s="20" t="n">
        <f aca="false">IF($C$34=0,"",SUM($C$6:C11)/$C$34)</f>
        <v>0.918475535496812</v>
      </c>
      <c r="G11" s="8" t="n">
        <v>1</v>
      </c>
      <c r="H11" s="17" t="n">
        <f aca="false">INDEX(Inputs!$F$14:$F$41,L11)</f>
        <v>10</v>
      </c>
      <c r="K11" s="24" t="n">
        <f aca="false">Inputs!H19+(100-6)*0.000001</f>
        <v>10500000.000094</v>
      </c>
      <c r="L11" s="17" t="n">
        <f aca="false">MATCH(LARGE($K$6:$K$33,6),$K$6:$K$33,0)</f>
        <v>6</v>
      </c>
      <c r="M11" s="12" t="n">
        <f aca="false">IF(D11="","",SUMPRODUCT(($D$6:$D$33&gt;=D11)*$B$6:$B$33))</f>
        <v>61000000</v>
      </c>
      <c r="N11" s="13" t="str">
        <f aca="false">IF(M11="","",IF(M11&gt;=$B$34/2,D11,""))</f>
        <v/>
      </c>
    </row>
    <row r="12" customFormat="false" ht="15" hidden="false" customHeight="false" outlineLevel="0" collapsed="false">
      <c r="A12" s="5" t="str">
        <f aca="false">IF(INDEX(Inputs!$A$14:$A$41,L12)="","",INDEX(Inputs!$A$14:$A$41,L12))</f>
        <v>Glenlyon</v>
      </c>
      <c r="B12" s="12" t="n">
        <f aca="false">INDEX(Inputs!$G$14:$G$41,L12)</f>
        <v>7000000</v>
      </c>
      <c r="C12" s="12" t="n">
        <f aca="false">INDEX(Inputs!$H$14:$H$41,L12)</f>
        <v>8450000</v>
      </c>
      <c r="D12" s="13" t="n">
        <f aca="false">IF(B12=0,"",C12/B12)</f>
        <v>1.20714285714286</v>
      </c>
      <c r="E12" s="20" t="n">
        <f aca="false">IF($C$34=0,"",C12/$C$34)</f>
        <v>0.02421376889462</v>
      </c>
      <c r="F12" s="20" t="n">
        <f aca="false">IF($C$34=0,"",SUM($C$6:C12)/$C$34)</f>
        <v>0.942689304391432</v>
      </c>
      <c r="G12" s="8" t="n">
        <v>1</v>
      </c>
      <c r="H12" s="17" t="n">
        <f aca="false">INDEX(Inputs!$F$14:$F$41,L12)</f>
        <v>7</v>
      </c>
      <c r="K12" s="24" t="n">
        <f aca="false">Inputs!H20+(100-7)*0.000001</f>
        <v>8450000.000093</v>
      </c>
      <c r="L12" s="17" t="n">
        <f aca="false">MATCH(LARGE($K$6:$K$33,7),$K$6:$K$33,0)</f>
        <v>7</v>
      </c>
      <c r="M12" s="12" t="n">
        <f aca="false">IF(D12="","",SUMPRODUCT(($D$6:$D$33&gt;=D12)*$B$6:$B$33))</f>
        <v>68000000</v>
      </c>
      <c r="N12" s="13" t="n">
        <f aca="false">IF(M12="","",IF(M12&gt;=$B$34/2,D12,""))</f>
        <v>1.20714285714286</v>
      </c>
    </row>
    <row r="13" customFormat="false" ht="15" hidden="false" customHeight="false" outlineLevel="0" collapsed="false">
      <c r="A13" s="5" t="str">
        <f aca="false">IF(INDEX(Inputs!$A$14:$A$41,L13)="","",INDEX(Inputs!$A$14:$A$41,L13))</f>
        <v>Hazelbank</v>
      </c>
      <c r="B13" s="12" t="n">
        <f aca="false">INDEX(Inputs!$G$14:$G$41,L13)</f>
        <v>6500000</v>
      </c>
      <c r="C13" s="12" t="n">
        <f aca="false">INDEX(Inputs!$H$14:$H$41,L13)</f>
        <v>6050000</v>
      </c>
      <c r="D13" s="13" t="n">
        <f aca="false">IF(B13=0,"",C13/B13)</f>
        <v>0.930769230769231</v>
      </c>
      <c r="E13" s="20" t="n">
        <f aca="false">IF($C$34=0,"",C13/$C$34)</f>
        <v>0.0173364854215918</v>
      </c>
      <c r="F13" s="20" t="n">
        <f aca="false">IF($C$34=0,"",SUM($C$6:C13)/$C$34)</f>
        <v>0.960025789813024</v>
      </c>
      <c r="G13" s="8" t="n">
        <v>1</v>
      </c>
      <c r="H13" s="17" t="n">
        <f aca="false">INDEX(Inputs!$F$14:$F$41,L13)</f>
        <v>9</v>
      </c>
      <c r="K13" s="24" t="n">
        <f aca="false">Inputs!H21+(100-8)*0.000001</f>
        <v>6050000.000092</v>
      </c>
      <c r="L13" s="17" t="n">
        <f aca="false">MATCH(LARGE($K$6:$K$33,8),$K$6:$K$33,0)</f>
        <v>8</v>
      </c>
      <c r="M13" s="12" t="n">
        <f aca="false">IF(D13="","",SUMPRODUCT(($D$6:$D$33&gt;=D13)*$B$6:$B$33))</f>
        <v>74500000</v>
      </c>
      <c r="N13" s="13" t="n">
        <f aca="false">IF(M13="","",IF(M13&gt;=$B$34/2,D13,""))</f>
        <v>0.930769230769231</v>
      </c>
    </row>
    <row r="14" customFormat="false" ht="15" hidden="false" customHeight="false" outlineLevel="0" collapsed="false">
      <c r="A14" s="5" t="str">
        <f aca="false">IF(INDEX(Inputs!$A$14:$A$41,L14)="","",INDEX(Inputs!$A$14:$A$41,L14))</f>
        <v>Inverleith</v>
      </c>
      <c r="B14" s="12" t="n">
        <f aca="false">INDEX(Inputs!$G$14:$G$41,L14)</f>
        <v>6000000</v>
      </c>
      <c r="C14" s="12" t="n">
        <f aca="false">INDEX(Inputs!$H$14:$H$41,L14)</f>
        <v>4475000</v>
      </c>
      <c r="D14" s="13" t="n">
        <f aca="false">IF(B14=0,"",C14/B14)</f>
        <v>0.745833333333333</v>
      </c>
      <c r="E14" s="20" t="n">
        <f aca="false">IF($C$34=0,"",C14/$C$34)</f>
        <v>0.0128232681424171</v>
      </c>
      <c r="F14" s="20" t="n">
        <f aca="false">IF($C$34=0,"",SUM($C$6:C14)/$C$34)</f>
        <v>0.972849057955441</v>
      </c>
      <c r="G14" s="8" t="n">
        <v>1</v>
      </c>
      <c r="H14" s="17" t="n">
        <f aca="false">INDEX(Inputs!$F$14:$F$41,L14)</f>
        <v>8</v>
      </c>
      <c r="K14" s="24" t="n">
        <f aca="false">Inputs!H22+(100-9)*0.000001</f>
        <v>4475000.000091</v>
      </c>
      <c r="L14" s="17" t="n">
        <f aca="false">MATCH(LARGE($K$6:$K$33,9),$K$6:$K$33,0)</f>
        <v>9</v>
      </c>
      <c r="M14" s="12" t="n">
        <f aca="false">IF(D14="","",SUMPRODUCT(($D$6:$D$33&gt;=D14)*$B$6:$B$33))</f>
        <v>80500000</v>
      </c>
      <c r="N14" s="13" t="n">
        <f aca="false">IF(M14="","",IF(M14&gt;=$B$34/2,D14,""))</f>
        <v>0.745833333333333</v>
      </c>
    </row>
    <row r="15" customFormat="false" ht="15" hidden="false" customHeight="false" outlineLevel="0" collapsed="false">
      <c r="A15" s="5" t="str">
        <f aca="false">IF(INDEX(Inputs!$A$14:$A$41,L15)="","",INDEX(Inputs!$A$14:$A$41,L15))</f>
        <v>Jedburgh</v>
      </c>
      <c r="B15" s="12" t="n">
        <f aca="false">INDEX(Inputs!$G$14:$G$41,L15)</f>
        <v>5500000</v>
      </c>
      <c r="C15" s="12" t="n">
        <f aca="false">INDEX(Inputs!$H$14:$H$41,L15)</f>
        <v>3400000</v>
      </c>
      <c r="D15" s="13" t="n">
        <f aca="false">IF(B15=0,"",C15/B15)</f>
        <v>0.618181818181818</v>
      </c>
      <c r="E15" s="20" t="n">
        <f aca="false">IF($C$34=0,"",C15/$C$34)</f>
        <v>0.00974281825345655</v>
      </c>
      <c r="F15" s="20" t="n">
        <f aca="false">IF($C$34=0,"",SUM($C$6:C15)/$C$34)</f>
        <v>0.982591876208897</v>
      </c>
      <c r="G15" s="8" t="n">
        <v>1</v>
      </c>
      <c r="H15" s="17" t="n">
        <f aca="false">INDEX(Inputs!$F$14:$F$41,L15)</f>
        <v>10</v>
      </c>
      <c r="K15" s="24" t="n">
        <f aca="false">Inputs!H23+(100-10)*0.000001</f>
        <v>3400000.00009</v>
      </c>
      <c r="L15" s="17" t="n">
        <f aca="false">MATCH(LARGE($K$6:$K$33,10),$K$6:$K$33,0)</f>
        <v>10</v>
      </c>
      <c r="M15" s="12" t="n">
        <f aca="false">IF(D15="","",SUMPRODUCT(($D$6:$D$33&gt;=D15)*$B$6:$B$33))</f>
        <v>86000000</v>
      </c>
      <c r="N15" s="13" t="n">
        <f aca="false">IF(M15="","",IF(M15&gt;=$B$34/2,D15,""))</f>
        <v>0.618181818181818</v>
      </c>
    </row>
    <row r="16" customFormat="false" ht="15" hidden="false" customHeight="false" outlineLevel="0" collapsed="false">
      <c r="A16" s="5" t="str">
        <f aca="false">IF(INDEX(Inputs!$A$14:$A$41,L16)="","",INDEX(Inputs!$A$14:$A$41,L16))</f>
        <v>Kirkliston</v>
      </c>
      <c r="B16" s="12" t="n">
        <f aca="false">INDEX(Inputs!$G$14:$G$41,L16)</f>
        <v>5000000</v>
      </c>
      <c r="C16" s="12" t="n">
        <f aca="false">INDEX(Inputs!$H$14:$H$41,L16)</f>
        <v>2550000</v>
      </c>
      <c r="D16" s="13" t="n">
        <f aca="false">IF(B16=0,"",C16/B16)</f>
        <v>0.51</v>
      </c>
      <c r="E16" s="20" t="n">
        <f aca="false">IF($C$34=0,"",C16/$C$34)</f>
        <v>0.00730711369009241</v>
      </c>
      <c r="F16" s="20" t="n">
        <f aca="false">IF($C$34=0,"",SUM($C$6:C16)/$C$34)</f>
        <v>0.98989898989899</v>
      </c>
      <c r="G16" s="8" t="n">
        <v>1</v>
      </c>
      <c r="H16" s="17" t="n">
        <f aca="false">INDEX(Inputs!$F$14:$F$41,L16)</f>
        <v>6</v>
      </c>
      <c r="K16" s="24" t="n">
        <f aca="false">Inputs!H24+(100-11)*0.000001</f>
        <v>2550000.000089</v>
      </c>
      <c r="L16" s="17" t="n">
        <f aca="false">MATCH(LARGE($K$6:$K$33,11),$K$6:$K$33,0)</f>
        <v>11</v>
      </c>
      <c r="M16" s="12" t="n">
        <f aca="false">IF(D16="","",SUMPRODUCT(($D$6:$D$33&gt;=D16)*$B$6:$B$33))</f>
        <v>91000000</v>
      </c>
      <c r="N16" s="13" t="n">
        <f aca="false">IF(M16="","",IF(M16&gt;=$B$34/2,D16,""))</f>
        <v>0.51</v>
      </c>
    </row>
    <row r="17" customFormat="false" ht="15" hidden="false" customHeight="false" outlineLevel="0" collapsed="false">
      <c r="A17" s="5" t="str">
        <f aca="false">IF(INDEX(Inputs!$A$14:$A$41,L17)="","",INDEX(Inputs!$A$14:$A$41,L17))</f>
        <v>Lauriston</v>
      </c>
      <c r="B17" s="12" t="n">
        <f aca="false">INDEX(Inputs!$G$14:$G$41,L17)</f>
        <v>4500000</v>
      </c>
      <c r="C17" s="12" t="n">
        <f aca="false">INDEX(Inputs!$H$14:$H$41,L17)</f>
        <v>1675000</v>
      </c>
      <c r="D17" s="13" t="n">
        <f aca="false">IF(B17=0,"",C17/B17)</f>
        <v>0.372222222222222</v>
      </c>
      <c r="E17" s="20" t="n">
        <f aca="false">IF($C$34=0,"",C17/$C$34)</f>
        <v>0.00479977075721757</v>
      </c>
      <c r="F17" s="20" t="n">
        <f aca="false">IF($C$34=0,"",SUM($C$6:C17)/$C$34)</f>
        <v>0.994698760656207</v>
      </c>
      <c r="G17" s="8" t="n">
        <v>1</v>
      </c>
      <c r="H17" s="17" t="n">
        <f aca="false">INDEX(Inputs!$F$14:$F$41,L17)</f>
        <v>7</v>
      </c>
      <c r="K17" s="24" t="n">
        <f aca="false">Inputs!H25+(100-12)*0.000001</f>
        <v>1675000.000088</v>
      </c>
      <c r="L17" s="17" t="n">
        <f aca="false">MATCH(LARGE($K$6:$K$33,12),$K$6:$K$33,0)</f>
        <v>12</v>
      </c>
      <c r="M17" s="12" t="n">
        <f aca="false">IF(D17="","",SUMPRODUCT(($D$6:$D$33&gt;=D17)*$B$6:$B$33))</f>
        <v>95500000</v>
      </c>
      <c r="N17" s="13" t="n">
        <f aca="false">IF(M17="","",IF(M17&gt;=$B$34/2,D17,""))</f>
        <v>0.372222222222222</v>
      </c>
    </row>
    <row r="18" customFormat="false" ht="15" hidden="false" customHeight="false" outlineLevel="0" collapsed="false">
      <c r="A18" s="5" t="str">
        <f aca="false">IF(INDEX(Inputs!$A$14:$A$41,L18)="","",INDEX(Inputs!$A$14:$A$41,L18))</f>
        <v>Morningside</v>
      </c>
      <c r="B18" s="12" t="n">
        <f aca="false">INDEX(Inputs!$G$14:$G$41,L18)</f>
        <v>4000000</v>
      </c>
      <c r="C18" s="12" t="n">
        <f aca="false">INDEX(Inputs!$H$14:$H$41,L18)</f>
        <v>1025000</v>
      </c>
      <c r="D18" s="13" t="n">
        <f aca="false">IF(B18=0,"",C18/B18)</f>
        <v>0.25625</v>
      </c>
      <c r="E18" s="20" t="n">
        <f aca="false">IF($C$34=0,"",C18/$C$34)</f>
        <v>0.00293717314993911</v>
      </c>
      <c r="F18" s="20" t="n">
        <f aca="false">IF($C$34=0,"",SUM($C$6:C18)/$C$34)</f>
        <v>0.997635933806147</v>
      </c>
      <c r="G18" s="8" t="n">
        <v>1</v>
      </c>
      <c r="H18" s="17" t="n">
        <f aca="false">INDEX(Inputs!$F$14:$F$41,L18)</f>
        <v>6</v>
      </c>
      <c r="K18" s="24" t="n">
        <f aca="false">Inputs!H26+(100-13)*0.000001</f>
        <v>1025000.000087</v>
      </c>
      <c r="L18" s="17" t="n">
        <f aca="false">MATCH(LARGE($K$6:$K$33,13),$K$6:$K$33,0)</f>
        <v>13</v>
      </c>
      <c r="M18" s="12" t="n">
        <f aca="false">IF(D18="","",SUMPRODUCT(($D$6:$D$33&gt;=D18)*$B$6:$B$33))</f>
        <v>99500000</v>
      </c>
      <c r="N18" s="13" t="n">
        <f aca="false">IF(M18="","",IF(M18&gt;=$B$34/2,D18,""))</f>
        <v>0.25625</v>
      </c>
    </row>
    <row r="19" customFormat="false" ht="15" hidden="false" customHeight="false" outlineLevel="0" collapsed="false">
      <c r="A19" s="5" t="str">
        <f aca="false">IF(INDEX(Inputs!$A$14:$A$41,L19)="","",INDEX(Inputs!$A$14:$A$41,L19))</f>
        <v>Newington</v>
      </c>
      <c r="B19" s="12" t="n">
        <f aca="false">INDEX(Inputs!$G$14:$G$41,L19)</f>
        <v>3500000</v>
      </c>
      <c r="C19" s="12" t="n">
        <f aca="false">INDEX(Inputs!$H$14:$H$41,L19)</f>
        <v>560000</v>
      </c>
      <c r="D19" s="13" t="n">
        <f aca="false">IF(B19=0,"",C19/B19)</f>
        <v>0.16</v>
      </c>
      <c r="E19" s="20" t="n">
        <f aca="false">IF($C$34=0,"",C19/$C$34)</f>
        <v>0.0016046994770399</v>
      </c>
      <c r="F19" s="20" t="n">
        <f aca="false">IF($C$34=0,"",SUM($C$6:C19)/$C$34)</f>
        <v>0.999240633283187</v>
      </c>
      <c r="G19" s="8" t="n">
        <v>1</v>
      </c>
      <c r="H19" s="17" t="n">
        <f aca="false">INDEX(Inputs!$F$14:$F$41,L19)</f>
        <v>5</v>
      </c>
      <c r="K19" s="24" t="n">
        <f aca="false">Inputs!H27+(100-14)*0.000001</f>
        <v>560000.000086</v>
      </c>
      <c r="L19" s="17" t="n">
        <f aca="false">MATCH(LARGE($K$6:$K$33,14),$K$6:$K$33,0)</f>
        <v>14</v>
      </c>
      <c r="M19" s="12" t="n">
        <f aca="false">IF(D19="","",SUMPRODUCT(($D$6:$D$33&gt;=D19)*$B$6:$B$33))</f>
        <v>103000000</v>
      </c>
      <c r="N19" s="13" t="n">
        <f aca="false">IF(M19="","",IF(M19&gt;=$B$34/2,D19,""))</f>
        <v>0.16</v>
      </c>
    </row>
    <row r="20" customFormat="false" ht="15" hidden="false" customHeight="false" outlineLevel="0" collapsed="false">
      <c r="A20" s="5" t="str">
        <f aca="false">IF(INDEX(Inputs!$A$14:$A$41,L20)="","",INDEX(Inputs!$A$14:$A$41,L20))</f>
        <v>Ochiltree</v>
      </c>
      <c r="B20" s="12" t="n">
        <f aca="false">INDEX(Inputs!$G$14:$G$41,L20)</f>
        <v>3000000</v>
      </c>
      <c r="C20" s="12" t="n">
        <f aca="false">INDEX(Inputs!$H$14:$H$41,L20)</f>
        <v>265000</v>
      </c>
      <c r="D20" s="13" t="n">
        <f aca="false">IF(B20=0,"",C20/B20)</f>
        <v>0.0883333333333333</v>
      </c>
      <c r="E20" s="20" t="n">
        <f aca="false">IF($C$34=0,"",C20/$C$34)</f>
        <v>0.000759366716813525</v>
      </c>
      <c r="F20" s="20" t="n">
        <f aca="false">IF($C$34=0,"",SUM($C$6:C20)/$C$34)</f>
        <v>1</v>
      </c>
      <c r="G20" s="8" t="n">
        <v>1</v>
      </c>
      <c r="H20" s="17" t="n">
        <f aca="false">INDEX(Inputs!$F$14:$F$41,L20)</f>
        <v>6</v>
      </c>
      <c r="K20" s="24" t="n">
        <f aca="false">Inputs!H28+(100-15)*0.000001</f>
        <v>265000.000085</v>
      </c>
      <c r="L20" s="17" t="n">
        <f aca="false">MATCH(LARGE($K$6:$K$33,15),$K$6:$K$33,0)</f>
        <v>15</v>
      </c>
      <c r="M20" s="12" t="n">
        <f aca="false">IF(D20="","",SUMPRODUCT(($D$6:$D$33&gt;=D20)*$B$6:$B$33))</f>
        <v>106000000</v>
      </c>
      <c r="N20" s="13" t="n">
        <f aca="false">IF(M20="","",IF(M20&gt;=$B$34/2,D20,""))</f>
        <v>0.0883333333333333</v>
      </c>
    </row>
    <row r="21" customFormat="false" ht="15" hidden="false" customHeight="false" outlineLevel="0" collapsed="false">
      <c r="A21" s="5" t="str">
        <f aca="false">IF(INDEX(Inputs!$A$14:$A$41,L21)="","",INDEX(Inputs!$A$14:$A$41,L21))</f>
        <v>Polwarth</v>
      </c>
      <c r="B21" s="12" t="n">
        <f aca="false">INDEX(Inputs!$G$14:$G$41,L21)</f>
        <v>3000000</v>
      </c>
      <c r="C21" s="12" t="n">
        <f aca="false">INDEX(Inputs!$H$14:$H$41,L21)</f>
        <v>0</v>
      </c>
      <c r="D21" s="13" t="n">
        <f aca="false">IF(B21=0,"",C21/B21)</f>
        <v>0</v>
      </c>
      <c r="E21" s="20" t="n">
        <f aca="false">IF($C$34=0,"",C21/$C$34)</f>
        <v>0</v>
      </c>
      <c r="F21" s="20" t="n">
        <f aca="false">IF($C$34=0,"",SUM($C$6:C21)/$C$34)</f>
        <v>1</v>
      </c>
      <c r="G21" s="8" t="n">
        <v>1</v>
      </c>
      <c r="H21" s="17" t="n">
        <f aca="false">INDEX(Inputs!$F$14:$F$41,L21)</f>
        <v>5</v>
      </c>
      <c r="K21" s="24" t="n">
        <f aca="false">Inputs!H29+(100-16)*0.000001</f>
        <v>8.4E-005</v>
      </c>
      <c r="L21" s="17" t="n">
        <f aca="false">MATCH(LARGE($K$6:$K$33,16),$K$6:$K$33,0)</f>
        <v>16</v>
      </c>
      <c r="M21" s="12" t="n">
        <f aca="false">IF(D21="","",SUMPRODUCT(($D$6:$D$33&gt;=D21)*$B$6:$B$33))</f>
        <v>130500000</v>
      </c>
      <c r="N21" s="13" t="n">
        <f aca="false">IF(M21="","",IF(M21&gt;=$B$34/2,D21,""))</f>
        <v>0</v>
      </c>
    </row>
    <row r="22" customFormat="false" ht="15" hidden="false" customHeight="false" outlineLevel="0" collapsed="false">
      <c r="A22" s="5" t="str">
        <f aca="false">IF(INDEX(Inputs!$A$14:$A$41,L22)="","",INDEX(Inputs!$A$14:$A$41,L22))</f>
        <v>Quothquan</v>
      </c>
      <c r="B22" s="12" t="n">
        <f aca="false">INDEX(Inputs!$G$14:$G$41,L22)</f>
        <v>2000000</v>
      </c>
      <c r="C22" s="12" t="n">
        <f aca="false">INDEX(Inputs!$H$14:$H$41,L22)</f>
        <v>0</v>
      </c>
      <c r="D22" s="13" t="n">
        <f aca="false">IF(B22=0,"",C22/B22)</f>
        <v>0</v>
      </c>
      <c r="E22" s="20" t="n">
        <f aca="false">IF($C$34=0,"",C22/$C$34)</f>
        <v>0</v>
      </c>
      <c r="F22" s="20" t="n">
        <f aca="false">IF($C$34=0,"",SUM($C$6:C22)/$C$34)</f>
        <v>1</v>
      </c>
      <c r="G22" s="8" t="n">
        <v>1</v>
      </c>
      <c r="H22" s="17" t="n">
        <f aca="false">INDEX(Inputs!$F$14:$F$41,L22)</f>
        <v>4</v>
      </c>
      <c r="K22" s="24" t="n">
        <f aca="false">Inputs!H30+(100-17)*0.000001</f>
        <v>8.3E-005</v>
      </c>
      <c r="L22" s="17" t="n">
        <f aca="false">MATCH(LARGE($K$6:$K$33,17),$K$6:$K$33,0)</f>
        <v>17</v>
      </c>
      <c r="M22" s="12" t="n">
        <f aca="false">IF(D22="","",SUMPRODUCT(($D$6:$D$33&gt;=D22)*$B$6:$B$33))</f>
        <v>130500000</v>
      </c>
      <c r="N22" s="13" t="n">
        <f aca="false">IF(M22="","",IF(M22&gt;=$B$34/2,D22,""))</f>
        <v>0</v>
      </c>
    </row>
    <row r="23" customFormat="false" ht="15" hidden="false" customHeight="false" outlineLevel="0" collapsed="false">
      <c r="A23" s="5" t="str">
        <f aca="false">IF(INDEX(Inputs!$A$14:$A$41,L23)="","",INDEX(Inputs!$A$14:$A$41,L23))</f>
        <v>Restalrig</v>
      </c>
      <c r="B23" s="12" t="n">
        <f aca="false">INDEX(Inputs!$G$14:$G$41,L23)</f>
        <v>2000000</v>
      </c>
      <c r="C23" s="12" t="n">
        <f aca="false">INDEX(Inputs!$H$14:$H$41,L23)</f>
        <v>0</v>
      </c>
      <c r="D23" s="13" t="n">
        <f aca="false">IF(B23=0,"",C23/B23)</f>
        <v>0</v>
      </c>
      <c r="E23" s="20" t="n">
        <f aca="false">IF($C$34=0,"",C23/$C$34)</f>
        <v>0</v>
      </c>
      <c r="F23" s="20" t="n">
        <f aca="false">IF($C$34=0,"",SUM($C$6:C23)/$C$34)</f>
        <v>1</v>
      </c>
      <c r="G23" s="8" t="n">
        <v>1</v>
      </c>
      <c r="H23" s="17" t="n">
        <f aca="false">INDEX(Inputs!$F$14:$F$41,L23)</f>
        <v>5</v>
      </c>
      <c r="K23" s="24" t="n">
        <f aca="false">Inputs!H31+(100-18)*0.000001</f>
        <v>8.2E-005</v>
      </c>
      <c r="L23" s="17" t="n">
        <f aca="false">MATCH(LARGE($K$6:$K$33,18),$K$6:$K$33,0)</f>
        <v>18</v>
      </c>
      <c r="M23" s="12" t="n">
        <f aca="false">IF(D23="","",SUMPRODUCT(($D$6:$D$33&gt;=D23)*$B$6:$B$33))</f>
        <v>130500000</v>
      </c>
      <c r="N23" s="13" t="n">
        <f aca="false">IF(M23="","",IF(M23&gt;=$B$34/2,D23,""))</f>
        <v>0</v>
      </c>
    </row>
    <row r="24" customFormat="false" ht="15" hidden="false" customHeight="false" outlineLevel="0" collapsed="false">
      <c r="A24" s="5" t="str">
        <f aca="false">IF(INDEX(Inputs!$A$14:$A$41,L24)="","",INDEX(Inputs!$A$14:$A$41,L24))</f>
        <v>Slateford</v>
      </c>
      <c r="B24" s="12" t="n">
        <f aca="false">INDEX(Inputs!$G$14:$G$41,L24)</f>
        <v>2000000</v>
      </c>
      <c r="C24" s="12" t="n">
        <f aca="false">INDEX(Inputs!$H$14:$H$41,L24)</f>
        <v>0</v>
      </c>
      <c r="D24" s="13" t="n">
        <f aca="false">IF(B24=0,"",C24/B24)</f>
        <v>0</v>
      </c>
      <c r="E24" s="20" t="n">
        <f aca="false">IF($C$34=0,"",C24/$C$34)</f>
        <v>0</v>
      </c>
      <c r="F24" s="20" t="n">
        <f aca="false">IF($C$34=0,"",SUM($C$6:C24)/$C$34)</f>
        <v>1</v>
      </c>
      <c r="G24" s="8" t="n">
        <v>1</v>
      </c>
      <c r="H24" s="17" t="n">
        <f aca="false">INDEX(Inputs!$F$14:$F$41,L24)</f>
        <v>4</v>
      </c>
      <c r="K24" s="24" t="n">
        <f aca="false">Inputs!H32+(100-19)*0.000001</f>
        <v>8.1E-005</v>
      </c>
      <c r="L24" s="17" t="n">
        <f aca="false">MATCH(LARGE($K$6:$K$33,19),$K$6:$K$33,0)</f>
        <v>19</v>
      </c>
      <c r="M24" s="12" t="n">
        <f aca="false">IF(D24="","",SUMPRODUCT(($D$6:$D$33&gt;=D24)*$B$6:$B$33))</f>
        <v>130500000</v>
      </c>
      <c r="N24" s="13" t="n">
        <f aca="false">IF(M24="","",IF(M24&gt;=$B$34/2,D24,""))</f>
        <v>0</v>
      </c>
    </row>
    <row r="25" customFormat="false" ht="15" hidden="false" customHeight="false" outlineLevel="0" collapsed="false">
      <c r="A25" s="5" t="str">
        <f aca="false">IF(INDEX(Inputs!$A$14:$A$41,L25)="","",INDEX(Inputs!$A$14:$A$41,L25))</f>
        <v>Torphichen</v>
      </c>
      <c r="B25" s="12" t="n">
        <f aca="false">INDEX(Inputs!$G$14:$G$41,L25)</f>
        <v>2000000</v>
      </c>
      <c r="C25" s="12" t="n">
        <f aca="false">INDEX(Inputs!$H$14:$H$41,L25)</f>
        <v>0</v>
      </c>
      <c r="D25" s="13" t="n">
        <f aca="false">IF(B25=0,"",C25/B25)</f>
        <v>0</v>
      </c>
      <c r="E25" s="20" t="n">
        <f aca="false">IF($C$34=0,"",C25/$C$34)</f>
        <v>0</v>
      </c>
      <c r="F25" s="20" t="n">
        <f aca="false">IF($C$34=0,"",SUM($C$6:C25)/$C$34)</f>
        <v>1</v>
      </c>
      <c r="G25" s="8" t="n">
        <v>1</v>
      </c>
      <c r="H25" s="17" t="n">
        <f aca="false">INDEX(Inputs!$F$14:$F$41,L25)</f>
        <v>6</v>
      </c>
      <c r="K25" s="24" t="n">
        <f aca="false">Inputs!H33+(100-20)*0.000001</f>
        <v>8E-005</v>
      </c>
      <c r="L25" s="17" t="n">
        <f aca="false">MATCH(LARGE($K$6:$K$33,20),$K$6:$K$33,0)</f>
        <v>20</v>
      </c>
      <c r="M25" s="12" t="n">
        <f aca="false">IF(D25="","",SUMPRODUCT(($D$6:$D$33&gt;=D25)*$B$6:$B$33))</f>
        <v>130500000</v>
      </c>
      <c r="N25" s="13" t="n">
        <f aca="false">IF(M25="","",IF(M25&gt;=$B$34/2,D25,""))</f>
        <v>0</v>
      </c>
    </row>
    <row r="26" customFormat="false" ht="15" hidden="false" customHeight="false" outlineLevel="0" collapsed="false">
      <c r="A26" s="5" t="str">
        <f aca="false">IF(INDEX(Inputs!$A$14:$A$41,L26)="","",INDEX(Inputs!$A$14:$A$41,L26))</f>
        <v>Uddingston</v>
      </c>
      <c r="B26" s="12" t="n">
        <f aca="false">INDEX(Inputs!$G$14:$G$41,L26)</f>
        <v>2000000</v>
      </c>
      <c r="C26" s="12" t="n">
        <f aca="false">INDEX(Inputs!$H$14:$H$41,L26)</f>
        <v>0</v>
      </c>
      <c r="D26" s="13" t="n">
        <f aca="false">IF(B26=0,"",C26/B26)</f>
        <v>0</v>
      </c>
      <c r="E26" s="20" t="n">
        <f aca="false">IF($C$34=0,"",C26/$C$34)</f>
        <v>0</v>
      </c>
      <c r="F26" s="20" t="n">
        <f aca="false">IF($C$34=0,"",SUM($C$6:C26)/$C$34)</f>
        <v>1</v>
      </c>
      <c r="G26" s="8" t="n">
        <v>1</v>
      </c>
      <c r="H26" s="17" t="n">
        <f aca="false">INDEX(Inputs!$F$14:$F$41,L26)</f>
        <v>5</v>
      </c>
      <c r="K26" s="24" t="n">
        <f aca="false">Inputs!H34+(100-21)*0.000001</f>
        <v>7.9E-005</v>
      </c>
      <c r="L26" s="17" t="n">
        <f aca="false">MATCH(LARGE($K$6:$K$33,21),$K$6:$K$33,0)</f>
        <v>21</v>
      </c>
      <c r="M26" s="12" t="n">
        <f aca="false">IF(D26="","",SUMPRODUCT(($D$6:$D$33&gt;=D26)*$B$6:$B$33))</f>
        <v>130500000</v>
      </c>
      <c r="N26" s="13" t="n">
        <f aca="false">IF(M26="","",IF(M26&gt;=$B$34/2,D26,""))</f>
        <v>0</v>
      </c>
    </row>
    <row r="27" customFormat="false" ht="15" hidden="false" customHeight="false" outlineLevel="0" collapsed="false">
      <c r="A27" s="5" t="str">
        <f aca="false">IF(INDEX(Inputs!$A$14:$A$41,L27)="","",INDEX(Inputs!$A$14:$A$41,L27))</f>
        <v>Viewforth</v>
      </c>
      <c r="B27" s="12" t="n">
        <f aca="false">INDEX(Inputs!$G$14:$G$41,L27)</f>
        <v>2000000</v>
      </c>
      <c r="C27" s="12" t="n">
        <f aca="false">INDEX(Inputs!$H$14:$H$41,L27)</f>
        <v>0</v>
      </c>
      <c r="D27" s="13" t="n">
        <f aca="false">IF(B27=0,"",C27/B27)</f>
        <v>0</v>
      </c>
      <c r="E27" s="20" t="n">
        <f aca="false">IF($C$34=0,"",C27/$C$34)</f>
        <v>0</v>
      </c>
      <c r="F27" s="20" t="n">
        <f aca="false">IF($C$34=0,"",SUM($C$6:C27)/$C$34)</f>
        <v>1</v>
      </c>
      <c r="G27" s="8" t="n">
        <v>1</v>
      </c>
      <c r="H27" s="17" t="n">
        <f aca="false">INDEX(Inputs!$F$14:$F$41,L27)</f>
        <v>4</v>
      </c>
      <c r="K27" s="24" t="n">
        <f aca="false">Inputs!H35+(100-22)*0.000001</f>
        <v>7.8E-005</v>
      </c>
      <c r="L27" s="17" t="n">
        <f aca="false">MATCH(LARGE($K$6:$K$33,22),$K$6:$K$33,0)</f>
        <v>22</v>
      </c>
      <c r="M27" s="12" t="n">
        <f aca="false">IF(D27="","",SUMPRODUCT(($D$6:$D$33&gt;=D27)*$B$6:$B$33))</f>
        <v>130500000</v>
      </c>
      <c r="N27" s="13" t="n">
        <f aca="false">IF(M27="","",IF(M27&gt;=$B$34/2,D27,""))</f>
        <v>0</v>
      </c>
    </row>
    <row r="28" customFormat="false" ht="15" hidden="false" customHeight="false" outlineLevel="0" collapsed="false">
      <c r="A28" s="5" t="str">
        <f aca="false">IF(INDEX(Inputs!$A$14:$A$41,L28)="","",INDEX(Inputs!$A$14:$A$41,L28))</f>
        <v>Wardieburn</v>
      </c>
      <c r="B28" s="12" t="n">
        <f aca="false">INDEX(Inputs!$G$14:$G$41,L28)</f>
        <v>2000000</v>
      </c>
      <c r="C28" s="12" t="n">
        <f aca="false">INDEX(Inputs!$H$14:$H$41,L28)</f>
        <v>0</v>
      </c>
      <c r="D28" s="13" t="n">
        <f aca="false">IF(B28=0,"",C28/B28)</f>
        <v>0</v>
      </c>
      <c r="E28" s="20" t="n">
        <f aca="false">IF($C$34=0,"",C28/$C$34)</f>
        <v>0</v>
      </c>
      <c r="F28" s="20" t="n">
        <f aca="false">IF($C$34=0,"",SUM($C$6:C28)/$C$34)</f>
        <v>1</v>
      </c>
      <c r="G28" s="8" t="n">
        <v>1</v>
      </c>
      <c r="H28" s="17" t="n">
        <f aca="false">INDEX(Inputs!$F$14:$F$41,L28)</f>
        <v>5</v>
      </c>
      <c r="K28" s="24" t="n">
        <f aca="false">Inputs!H36+(100-23)*0.000001</f>
        <v>7.7E-005</v>
      </c>
      <c r="L28" s="17" t="n">
        <f aca="false">MATCH(LARGE($K$6:$K$33,23),$K$6:$K$33,0)</f>
        <v>23</v>
      </c>
      <c r="M28" s="12" t="n">
        <f aca="false">IF(D28="","",SUMPRODUCT(($D$6:$D$33&gt;=D28)*$B$6:$B$33))</f>
        <v>130500000</v>
      </c>
      <c r="N28" s="13" t="n">
        <f aca="false">IF(M28="","",IF(M28&gt;=$B$34/2,D28,""))</f>
        <v>0</v>
      </c>
    </row>
    <row r="29" customFormat="false" ht="15" hidden="false" customHeight="false" outlineLevel="0" collapsed="false">
      <c r="A29" s="5" t="str">
        <f aca="false">IF(INDEX(Inputs!$A$14:$A$41,L29)="","",INDEX(Inputs!$A$14:$A$41,L29))</f>
        <v>Xerisburn</v>
      </c>
      <c r="B29" s="12" t="n">
        <f aca="false">INDEX(Inputs!$G$14:$G$41,L29)</f>
        <v>1500000</v>
      </c>
      <c r="C29" s="12" t="n">
        <f aca="false">INDEX(Inputs!$H$14:$H$41,L29)</f>
        <v>0</v>
      </c>
      <c r="D29" s="13" t="n">
        <f aca="false">IF(B29=0,"",C29/B29)</f>
        <v>0</v>
      </c>
      <c r="E29" s="20" t="n">
        <f aca="false">IF($C$34=0,"",C29/$C$34)</f>
        <v>0</v>
      </c>
      <c r="F29" s="20" t="n">
        <f aca="false">IF($C$34=0,"",SUM($C$6:C29)/$C$34)</f>
        <v>1</v>
      </c>
      <c r="G29" s="8" t="n">
        <v>1</v>
      </c>
      <c r="H29" s="17" t="n">
        <f aca="false">INDEX(Inputs!$F$14:$F$41,L29)</f>
        <v>3</v>
      </c>
      <c r="K29" s="24" t="n">
        <f aca="false">Inputs!H37+(100-24)*0.000001</f>
        <v>7.6E-005</v>
      </c>
      <c r="L29" s="17" t="n">
        <f aca="false">MATCH(LARGE($K$6:$K$33,24),$K$6:$K$33,0)</f>
        <v>24</v>
      </c>
      <c r="M29" s="12" t="n">
        <f aca="false">IF(D29="","",SUMPRODUCT(($D$6:$D$33&gt;=D29)*$B$6:$B$33))</f>
        <v>130500000</v>
      </c>
      <c r="N29" s="13" t="n">
        <f aca="false">IF(M29="","",IF(M29&gt;=$B$34/2,D29,""))</f>
        <v>0</v>
      </c>
    </row>
    <row r="30" customFormat="false" ht="15" hidden="false" customHeight="false" outlineLevel="0" collapsed="false">
      <c r="A30" s="5" t="str">
        <f aca="false">IF(INDEX(Inputs!$A$14:$A$41,L30)="","",INDEX(Inputs!$A$14:$A$41,L30))</f>
        <v>Yarrowford</v>
      </c>
      <c r="B30" s="12" t="n">
        <f aca="false">INDEX(Inputs!$G$14:$G$41,L30)</f>
        <v>1500000</v>
      </c>
      <c r="C30" s="12" t="n">
        <f aca="false">INDEX(Inputs!$H$14:$H$41,L30)</f>
        <v>0</v>
      </c>
      <c r="D30" s="13" t="n">
        <f aca="false">IF(B30=0,"",C30/B30)</f>
        <v>0</v>
      </c>
      <c r="E30" s="20" t="n">
        <f aca="false">IF($C$34=0,"",C30/$C$34)</f>
        <v>0</v>
      </c>
      <c r="F30" s="20" t="n">
        <f aca="false">IF($C$34=0,"",SUM($C$6:C30)/$C$34)</f>
        <v>1</v>
      </c>
      <c r="G30" s="8" t="n">
        <v>1</v>
      </c>
      <c r="H30" s="17" t="n">
        <f aca="false">INDEX(Inputs!$F$14:$F$41,L30)</f>
        <v>4</v>
      </c>
      <c r="K30" s="24" t="n">
        <f aca="false">Inputs!H38+(100-25)*0.000001</f>
        <v>7.5E-005</v>
      </c>
      <c r="L30" s="17" t="n">
        <f aca="false">MATCH(LARGE($K$6:$K$33,25),$K$6:$K$33,0)</f>
        <v>25</v>
      </c>
      <c r="M30" s="12" t="n">
        <f aca="false">IF(D30="","",SUMPRODUCT(($D$6:$D$33&gt;=D30)*$B$6:$B$33))</f>
        <v>130500000</v>
      </c>
      <c r="N30" s="13" t="n">
        <f aca="false">IF(M30="","",IF(M30&gt;=$B$34/2,D30,""))</f>
        <v>0</v>
      </c>
    </row>
    <row r="31" customFormat="false" ht="15" hidden="false" customHeight="false" outlineLevel="0" collapsed="false">
      <c r="A31" s="5" t="str">
        <f aca="false">IF(INDEX(Inputs!$A$14:$A$41,L31)="","",INDEX(Inputs!$A$14:$A$41,L31))</f>
        <v>Zetlandhaugh</v>
      </c>
      <c r="B31" s="12" t="n">
        <f aca="false">INDEX(Inputs!$G$14:$G$41,L31)</f>
        <v>1500000</v>
      </c>
      <c r="C31" s="12" t="n">
        <f aca="false">INDEX(Inputs!$H$14:$H$41,L31)</f>
        <v>0</v>
      </c>
      <c r="D31" s="13" t="n">
        <f aca="false">IF(B31=0,"",C31/B31)</f>
        <v>0</v>
      </c>
      <c r="E31" s="20" t="n">
        <f aca="false">IF($C$34=0,"",C31/$C$34)</f>
        <v>0</v>
      </c>
      <c r="F31" s="20" t="n">
        <f aca="false">IF($C$34=0,"",SUM($C$6:C31)/$C$34)</f>
        <v>1</v>
      </c>
      <c r="G31" s="8" t="n">
        <v>1</v>
      </c>
      <c r="H31" s="17" t="n">
        <f aca="false">INDEX(Inputs!$F$14:$F$41,L31)</f>
        <v>4</v>
      </c>
      <c r="K31" s="24" t="n">
        <f aca="false">Inputs!H39+(100-26)*0.000001</f>
        <v>7.4E-005</v>
      </c>
      <c r="L31" s="17" t="n">
        <f aca="false">MATCH(LARGE($K$6:$K$33,26),$K$6:$K$33,0)</f>
        <v>26</v>
      </c>
      <c r="M31" s="12" t="n">
        <f aca="false">IF(D31="","",SUMPRODUCT(($D$6:$D$33&gt;=D31)*$B$6:$B$33))</f>
        <v>130500000</v>
      </c>
      <c r="N31" s="13" t="n">
        <f aca="false">IF(M31="","",IF(M31&gt;=$B$34/2,D31,""))</f>
        <v>0</v>
      </c>
    </row>
    <row r="32" customFormat="false" ht="15" hidden="false" customHeight="false" outlineLevel="0" collapsed="false">
      <c r="A32" s="5" t="str">
        <f aca="false">IF(INDEX(Inputs!$A$14:$A$41,L32)="","",INDEX(Inputs!$A$14:$A$41,L32))</f>
        <v>Abbeyhill</v>
      </c>
      <c r="B32" s="12" t="n">
        <f aca="false">INDEX(Inputs!$G$14:$G$41,L32)</f>
        <v>1500000</v>
      </c>
      <c r="C32" s="12" t="n">
        <f aca="false">INDEX(Inputs!$H$14:$H$41,L32)</f>
        <v>0</v>
      </c>
      <c r="D32" s="13" t="n">
        <f aca="false">IF(B32=0,"",C32/B32)</f>
        <v>0</v>
      </c>
      <c r="E32" s="20" t="n">
        <f aca="false">IF($C$34=0,"",C32/$C$34)</f>
        <v>0</v>
      </c>
      <c r="F32" s="20" t="n">
        <f aca="false">IF($C$34=0,"",SUM($C$6:C32)/$C$34)</f>
        <v>1</v>
      </c>
      <c r="G32" s="8" t="n">
        <v>1</v>
      </c>
      <c r="H32" s="17" t="n">
        <f aca="false">INDEX(Inputs!$F$14:$F$41,L32)</f>
        <v>3</v>
      </c>
      <c r="K32" s="24" t="n">
        <f aca="false">Inputs!H40+(100-27)*0.000001</f>
        <v>7.3E-005</v>
      </c>
      <c r="L32" s="17" t="n">
        <f aca="false">MATCH(LARGE($K$6:$K$33,27),$K$6:$K$33,0)</f>
        <v>27</v>
      </c>
      <c r="M32" s="12" t="n">
        <f aca="false">IF(D32="","",SUMPRODUCT(($D$6:$D$33&gt;=D32)*$B$6:$B$33))</f>
        <v>130500000</v>
      </c>
      <c r="N32" s="13" t="n">
        <f aca="false">IF(M32="","",IF(M32&gt;=$B$34/2,D32,""))</f>
        <v>0</v>
      </c>
    </row>
    <row r="33" customFormat="false" ht="15" hidden="false" customHeight="false" outlineLevel="0" collapsed="false">
      <c r="A33" s="5" t="str">
        <f aca="false">IF(INDEX(Inputs!$A$14:$A$41,L33)="","",INDEX(Inputs!$A$14:$A$41,L33))</f>
        <v>Blackford</v>
      </c>
      <c r="B33" s="12" t="n">
        <f aca="false">INDEX(Inputs!$G$14:$G$41,L33)</f>
        <v>1500000</v>
      </c>
      <c r="C33" s="12" t="n">
        <f aca="false">INDEX(Inputs!$H$14:$H$41,L33)</f>
        <v>0</v>
      </c>
      <c r="D33" s="13" t="n">
        <f aca="false">IF(B33=0,"",C33/B33)</f>
        <v>0</v>
      </c>
      <c r="E33" s="20" t="n">
        <f aca="false">IF($C$34=0,"",C33/$C$34)</f>
        <v>0</v>
      </c>
      <c r="F33" s="20" t="n">
        <f aca="false">IF($C$34=0,"",SUM($C$6:C33)/$C$34)</f>
        <v>1</v>
      </c>
      <c r="G33" s="8" t="n">
        <v>1</v>
      </c>
      <c r="H33" s="17" t="n">
        <f aca="false">INDEX(Inputs!$F$14:$F$41,L33)</f>
        <v>3</v>
      </c>
      <c r="K33" s="24" t="n">
        <f aca="false">Inputs!H41+(100-28)*0.000001</f>
        <v>7.2E-005</v>
      </c>
      <c r="L33" s="17" t="n">
        <f aca="false">MATCH(LARGE($K$6:$K$33,28),$K$6:$K$33,0)</f>
        <v>28</v>
      </c>
      <c r="M33" s="12" t="n">
        <f aca="false">IF(D33="","",SUMPRODUCT(($D$6:$D$33&gt;=D33)*$B$6:$B$33))</f>
        <v>130500000</v>
      </c>
      <c r="N33" s="13" t="n">
        <f aca="false">IF(M33="","",IF(M33&gt;=$B$34/2,D33,""))</f>
        <v>0</v>
      </c>
    </row>
    <row r="34" customFormat="false" ht="15" hidden="false" customHeight="false" outlineLevel="0" collapsed="false">
      <c r="A34" s="14" t="s">
        <v>61</v>
      </c>
      <c r="B34" s="15" t="n">
        <f aca="false">SUM(B6:B33)</f>
        <v>130500000</v>
      </c>
      <c r="C34" s="15" t="n">
        <f aca="false">SUM(C6:C33)</f>
        <v>348975000</v>
      </c>
      <c r="D34" s="16" t="n">
        <f aca="false">IF(B34=0,"",C34/B34)</f>
        <v>2.67413793103448</v>
      </c>
    </row>
    <row r="36" customFormat="false" ht="15" hidden="false" customHeight="false" outlineLevel="0" collapsed="false">
      <c r="A36" s="3" t="s">
        <v>144</v>
      </c>
    </row>
    <row r="37" customFormat="false" ht="15" hidden="false" customHeight="false" outlineLevel="0" collapsed="false">
      <c r="A37" s="5" t="s">
        <v>145</v>
      </c>
      <c r="B37" s="12" t="n">
        <f aca="false">SUMPRODUCT(B6:B33,G6:G33)</f>
        <v>130500000</v>
      </c>
    </row>
    <row r="38" customFormat="false" ht="15" hidden="false" customHeight="false" outlineLevel="0" collapsed="false">
      <c r="A38" s="5" t="s">
        <v>146</v>
      </c>
      <c r="B38" s="12" t="n">
        <f aca="false">SUMPRODUCT(C6:C33,G6:G33)</f>
        <v>348975000</v>
      </c>
    </row>
    <row r="39" customFormat="false" ht="15" hidden="false" customHeight="false" outlineLevel="0" collapsed="false">
      <c r="A39" s="14" t="s">
        <v>147</v>
      </c>
      <c r="B39" s="16" t="n">
        <f aca="false">IF(B37=0,"",B38/B37)</f>
        <v>2.67413793103448</v>
      </c>
    </row>
    <row r="40" customFormat="false" ht="15" hidden="false" customHeight="false" outlineLevel="0" collapsed="false">
      <c r="A40" s="5" t="s">
        <v>148</v>
      </c>
      <c r="B40" s="17" t="n">
        <f aca="false">SUM(G6:G33)</f>
        <v>28</v>
      </c>
    </row>
    <row r="42" customFormat="false" ht="15" hidden="false" customHeight="false" outlineLevel="0" collapsed="false">
      <c r="A42" s="3" t="s">
        <v>149</v>
      </c>
    </row>
    <row r="43" customFormat="false" ht="15" hidden="false" customHeight="false" outlineLevel="0" collapsed="false">
      <c r="A43" s="14" t="s">
        <v>150</v>
      </c>
      <c r="B43" s="22" t="n">
        <f aca="false">E6</f>
        <v>0.567375886524823</v>
      </c>
    </row>
    <row r="44" customFormat="false" ht="15" hidden="false" customHeight="false" outlineLevel="0" collapsed="false">
      <c r="A44" s="5" t="s">
        <v>151</v>
      </c>
      <c r="B44" s="20" t="n">
        <f aca="false">F7</f>
        <v>0.719249229887528</v>
      </c>
    </row>
    <row r="45" customFormat="false" ht="15" hidden="false" customHeight="false" outlineLevel="0" collapsed="false">
      <c r="A45" s="14" t="s">
        <v>152</v>
      </c>
      <c r="B45" s="22" t="n">
        <f aca="false">F8</f>
        <v>0.800487140912673</v>
      </c>
    </row>
    <row r="46" customFormat="false" ht="15" hidden="false" customHeight="false" outlineLevel="0" collapsed="false">
      <c r="A46" s="5" t="s">
        <v>153</v>
      </c>
      <c r="B46" s="20" t="n">
        <f aca="false">F10</f>
        <v>0.888387420302314</v>
      </c>
    </row>
    <row r="47" customFormat="false" ht="15" hidden="false" customHeight="false" outlineLevel="0" collapsed="false">
      <c r="A47" s="5" t="s">
        <v>154</v>
      </c>
      <c r="B47" s="20" t="n">
        <f aca="false">F15</f>
        <v>0.982591876208897</v>
      </c>
    </row>
    <row r="48" customFormat="false" ht="15" hidden="false" customHeight="false" outlineLevel="0" collapsed="false">
      <c r="A48" s="5" t="s">
        <v>155</v>
      </c>
      <c r="B48" s="20" t="n">
        <f aca="false">1-F15</f>
        <v>0.0174081237911026</v>
      </c>
    </row>
    <row r="49" customFormat="false" ht="15" hidden="false" customHeight="false" outlineLevel="0" collapsed="false">
      <c r="A49" s="14" t="s">
        <v>156</v>
      </c>
      <c r="B49" s="16" t="n">
        <f aca="false">C6/Inputs!B7</f>
        <v>1.32</v>
      </c>
    </row>
    <row r="50" customFormat="false" ht="15" hidden="false" customHeight="false" outlineLevel="0" collapsed="false">
      <c r="A50" s="5" t="s">
        <v>157</v>
      </c>
      <c r="B50" s="20" t="n">
        <f aca="false">SUM(B6:B8)/B34</f>
        <v>0.283524904214559</v>
      </c>
    </row>
    <row r="51" customFormat="false" ht="15" hidden="false" customHeight="false" outlineLevel="0" collapsed="false">
      <c r="A51" s="5" t="s">
        <v>158</v>
      </c>
      <c r="B51" s="20" t="n">
        <f aca="false">B6/B34</f>
        <v>0.114942528735632</v>
      </c>
    </row>
    <row r="52" customFormat="false" ht="15" hidden="false" customHeight="false" outlineLevel="0" collapsed="false">
      <c r="A52" s="5" t="s">
        <v>159</v>
      </c>
      <c r="B52" s="13" t="n">
        <f aca="false">SUM(C6:C8)/SUM(B6:B8)</f>
        <v>7.55</v>
      </c>
    </row>
    <row r="53" customFormat="false" ht="15" hidden="false" customHeight="false" outlineLevel="0" collapsed="false">
      <c r="A53" s="5" t="s">
        <v>160</v>
      </c>
      <c r="B53" s="20" t="n">
        <f aca="false">1-B50</f>
        <v>0.716475095785441</v>
      </c>
      <c r="C53" s="20" t="n">
        <f aca="false">1-F8</f>
        <v>0.199512859087327</v>
      </c>
    </row>
    <row r="54" customFormat="false" ht="15" hidden="false" customHeight="false" outlineLevel="0" collapsed="false">
      <c r="A54" s="3" t="s">
        <v>161</v>
      </c>
    </row>
    <row r="55" customFormat="false" ht="15" hidden="false" customHeight="false" outlineLevel="0" collapsed="false">
      <c r="A55" s="5" t="s">
        <v>162</v>
      </c>
      <c r="B55" s="17" t="n">
        <f aca="false">COUNTIFS(C6:C33,0,B6:B33,"&gt;0")</f>
        <v>13</v>
      </c>
    </row>
    <row r="56" customFormat="false" ht="15" hidden="false" customHeight="false" outlineLevel="0" collapsed="false">
      <c r="A56" s="5" t="s">
        <v>163</v>
      </c>
      <c r="B56" s="17" t="n">
        <f aca="false">SUMPRODUCT((C6:C33&lt;B6:B33)*1)</f>
        <v>21</v>
      </c>
    </row>
    <row r="57" customFormat="false" ht="15" hidden="false" customHeight="false" outlineLevel="0" collapsed="false">
      <c r="A57" s="5" t="s">
        <v>164</v>
      </c>
      <c r="B57" s="12" t="n">
        <f aca="false">SUMPRODUCT((C6:C33&lt;B6:B33)*B6:B33)</f>
        <v>62500000</v>
      </c>
    </row>
    <row r="58" customFormat="false" ht="15" hidden="false" customHeight="false" outlineLevel="0" collapsed="false">
      <c r="A58" s="5" t="s">
        <v>165</v>
      </c>
      <c r="B58" s="20" t="n">
        <f aca="false">B57/B34</f>
        <v>0.478927203065134</v>
      </c>
    </row>
    <row r="59" customFormat="false" ht="15" hidden="false" customHeight="false" outlineLevel="0" collapsed="false">
      <c r="A59" s="5" t="s">
        <v>166</v>
      </c>
      <c r="B59" s="12" t="n">
        <f aca="false">SUMPRODUCT((C6:C33&lt;B6:B33)*C6:C33)</f>
        <v>20000000</v>
      </c>
    </row>
    <row r="60" customFormat="false" ht="15" hidden="false" customHeight="false" outlineLevel="0" collapsed="false">
      <c r="A60" s="5" t="s">
        <v>167</v>
      </c>
      <c r="B60" s="13" t="n">
        <f aca="false">B59/B57</f>
        <v>0.32</v>
      </c>
    </row>
    <row r="61" customFormat="false" ht="15" hidden="false" customHeight="false" outlineLevel="0" collapsed="false">
      <c r="A61" s="5" t="s">
        <v>168</v>
      </c>
      <c r="B61" s="12" t="n">
        <f aca="false">SUMIFS(B6:B33,C6:C33,0)</f>
        <v>24500000</v>
      </c>
    </row>
    <row r="62" customFormat="false" ht="15" hidden="false" customHeight="false" outlineLevel="0" collapsed="false">
      <c r="A62" s="5" t="s">
        <v>165</v>
      </c>
      <c r="B62" s="20" t="n">
        <f aca="false">B61/B34</f>
        <v>0.187739463601533</v>
      </c>
    </row>
    <row r="63" customFormat="false" ht="15" hidden="false" customHeight="false" outlineLevel="0" collapsed="false">
      <c r="A63" s="14" t="s">
        <v>169</v>
      </c>
      <c r="B63" s="16" t="n">
        <f aca="false">LARGE(D6:D33,ROUNDUP(COUNT(D6:D33)/2,0))</f>
        <v>0.16</v>
      </c>
    </row>
    <row r="64" customFormat="false" ht="15" hidden="false" customHeight="false" outlineLevel="0" collapsed="false">
      <c r="A64" s="5" t="s">
        <v>170</v>
      </c>
      <c r="B64" s="13" t="n">
        <f aca="false">MEDIAN(D6:D33)</f>
        <v>0.124166666666667</v>
      </c>
    </row>
    <row r="65" customFormat="false" ht="15" hidden="false" customHeight="false" outlineLevel="0" collapsed="false">
      <c r="A65" s="5" t="s">
        <v>171</v>
      </c>
      <c r="B65" s="13" t="n">
        <f aca="false">AVERAGE(D6:D33)</f>
        <v>1.08952869454131</v>
      </c>
    </row>
    <row r="66" customFormat="false" ht="15" hidden="false" customHeight="false" outlineLevel="0" collapsed="false">
      <c r="A66" s="5" t="s">
        <v>172</v>
      </c>
      <c r="B66" s="21" t="n">
        <f aca="false">SUM(D6:D33)</f>
        <v>30.5068034471567</v>
      </c>
    </row>
    <row r="67" customFormat="false" ht="15" hidden="false" customHeight="false" outlineLevel="0" collapsed="false">
      <c r="A67" s="5" t="s">
        <v>173</v>
      </c>
      <c r="B67" s="20" t="n">
        <f aca="false">MAX(D6:D33)/B66</f>
        <v>0.432690367670437</v>
      </c>
    </row>
    <row r="68" customFormat="false" ht="15" hidden="false" customHeight="false" outlineLevel="0" collapsed="false">
      <c r="A68" s="5" t="s">
        <v>174</v>
      </c>
      <c r="B68" s="13" t="n">
        <f aca="false">C34/B34</f>
        <v>2.67413793103448</v>
      </c>
    </row>
    <row r="69" customFormat="false" ht="15" hidden="false" customHeight="false" outlineLevel="0" collapsed="false">
      <c r="A69" s="14" t="s">
        <v>175</v>
      </c>
      <c r="B69" s="16" t="n">
        <f aca="false">MAX(N6:N33)</f>
        <v>1.20714285714286</v>
      </c>
    </row>
    <row r="70" customFormat="false" ht="15" hidden="false" customHeight="false" outlineLevel="0" collapsed="false">
      <c r="A70" s="5" t="s">
        <v>176</v>
      </c>
      <c r="B70" s="20" t="n">
        <f aca="false">B55/COUNT(D6:D33)</f>
        <v>0.464285714285714</v>
      </c>
    </row>
    <row r="71" customFormat="false" ht="15" hidden="false" customHeight="false" outlineLevel="0" collapsed="false">
      <c r="A71" s="5" t="s">
        <v>177</v>
      </c>
      <c r="B71" s="20" t="n">
        <f aca="false">B56/COUNT(D6:D33)</f>
        <v>0.75</v>
      </c>
    </row>
    <row r="72" customFormat="false" ht="15" hidden="false" customHeight="false" outlineLevel="0" collapsed="false">
      <c r="A72" s="5" t="s">
        <v>178</v>
      </c>
      <c r="B72" s="21" t="n">
        <f aca="false">(C6-B6)/SUMPRODUCT((C6:C33&lt;B6:B33)*(B6:B33-C6:C33))</f>
        <v>4.30588235294118</v>
      </c>
    </row>
    <row r="74" customFormat="false" ht="15" hidden="false" customHeight="false" outlineLevel="0" collapsed="false">
      <c r="A74" s="3" t="s">
        <v>179</v>
      </c>
    </row>
    <row r="75" customFormat="false" ht="15" hidden="false" customHeight="false" outlineLevel="0" collapsed="false">
      <c r="A75" s="14" t="s">
        <v>180</v>
      </c>
      <c r="B75" s="16" t="n">
        <f aca="false">(C34-C6)/(B34-B6)</f>
        <v>1.30714285714286</v>
      </c>
    </row>
    <row r="76" customFormat="false" ht="15" hidden="false" customHeight="false" outlineLevel="0" collapsed="false">
      <c r="A76" s="14" t="s">
        <v>181</v>
      </c>
      <c r="B76" s="16" t="n">
        <f aca="false">(C34-SUM(C6:C8))/(B34-SUM(B6:B8))</f>
        <v>0.744652406417112</v>
      </c>
    </row>
    <row r="77" customFormat="false" ht="15" hidden="false" customHeight="false" outlineLevel="0" collapsed="false">
      <c r="A77" s="5" t="s">
        <v>182</v>
      </c>
      <c r="B77" s="13" t="n">
        <f aca="false">C34/(B34-B61)</f>
        <v>3.29221698113208</v>
      </c>
    </row>
    <row r="78" customFormat="false" ht="15" hidden="false" customHeight="false" outlineLevel="0" collapsed="false">
      <c r="A78" s="5" t="s">
        <v>183</v>
      </c>
      <c r="B78" s="12" t="n">
        <f aca="false">SMALL(B6:B33,COUNTIF(B6:B33,0)+1)</f>
        <v>1500000</v>
      </c>
    </row>
    <row r="79" customFormat="false" ht="15" hidden="false" customHeight="false" outlineLevel="0" collapsed="false">
      <c r="A79" s="5" t="s">
        <v>184</v>
      </c>
      <c r="B79" s="17" t="n">
        <f aca="false">COUNTIF(B6:B33,B78)</f>
        <v>5</v>
      </c>
    </row>
    <row r="80" customFormat="false" ht="15" hidden="false" customHeight="false" outlineLevel="0" collapsed="false">
      <c r="A80" s="5" t="s">
        <v>185</v>
      </c>
      <c r="B80" s="13" t="n">
        <f aca="false">(C34-SUMIF(B6:B33,B78,C6:C33))/(B34-SUMIF(B6:B33,B78,B6:B33))</f>
        <v>2.83719512195122</v>
      </c>
    </row>
    <row r="81" customFormat="false" ht="15" hidden="false" customHeight="false" outlineLevel="0" collapsed="false">
      <c r="A81" s="5" t="s">
        <v>186</v>
      </c>
      <c r="B81" s="13" t="n">
        <f aca="false">(C34-C6)/Inputs!B7</f>
        <v>1.0065</v>
      </c>
    </row>
    <row r="82" customFormat="false" ht="15" hidden="false" customHeight="false" outlineLevel="0" collapsed="false">
      <c r="A82" s="5" t="s">
        <v>187</v>
      </c>
      <c r="B82" s="13" t="n">
        <f aca="false">C6/Fund!B30</f>
        <v>1.30288872803843</v>
      </c>
    </row>
    <row r="83" customFormat="false" ht="15" hidden="false" customHeight="false" outlineLevel="0" collapsed="false">
      <c r="A83" s="5" t="s">
        <v>188</v>
      </c>
      <c r="B83" s="13" t="n">
        <f aca="false">(C34-C6)/Fund!B30</f>
        <v>0.993452655129302</v>
      </c>
    </row>
    <row r="84" customFormat="false" ht="15" hidden="false" customHeight="false" outlineLevel="0" collapsed="false">
      <c r="A84" s="5" t="s">
        <v>189</v>
      </c>
      <c r="B84" s="13" t="n">
        <f aca="false">(C34-SUM(C6:C8))/Fund!B30</f>
        <v>0.458149634796341</v>
      </c>
    </row>
    <row r="86" customFormat="false" ht="15" hidden="false" customHeight="false" outlineLevel="0" collapsed="false">
      <c r="A86" s="3" t="s">
        <v>190</v>
      </c>
    </row>
    <row r="87" customFormat="false" ht="15" hidden="false" customHeight="false" outlineLevel="0" collapsed="false">
      <c r="A87" s="5" t="s">
        <v>191</v>
      </c>
      <c r="B87" s="6" t="n">
        <v>2000000</v>
      </c>
    </row>
    <row r="88" customFormat="false" ht="15" hidden="false" customHeight="false" outlineLevel="0" collapsed="false">
      <c r="A88" s="5" t="s">
        <v>192</v>
      </c>
      <c r="B88" s="13" t="n">
        <f aca="false">B76</f>
        <v>0.744652406417112</v>
      </c>
    </row>
    <row r="89" customFormat="false" ht="15" hidden="false" customHeight="false" outlineLevel="0" collapsed="false">
      <c r="A89" s="5" t="s">
        <v>193</v>
      </c>
      <c r="B89" s="13" t="n">
        <f aca="false">(C34+B87*B88)/(B34+B87)</f>
        <v>2.64501362122894</v>
      </c>
    </row>
    <row r="90" customFormat="false" ht="15" hidden="false" customHeight="false" outlineLevel="0" collapsed="false">
      <c r="A90" s="5" t="s">
        <v>194</v>
      </c>
      <c r="B90" s="20" t="n">
        <f aca="false">SUM(C6:C8)/(C34+B87*B88)</f>
        <v>0.79708545539092</v>
      </c>
    </row>
    <row r="91" customFormat="false" ht="15" hidden="false" customHeight="false" outlineLevel="0" collapsed="false">
      <c r="A91" s="5" t="s">
        <v>195</v>
      </c>
      <c r="B91" s="13" t="n">
        <f aca="false">INDEX(Inputs!$E$14:$E$41,L6)</f>
        <v>6</v>
      </c>
    </row>
    <row r="92" customFormat="false" ht="15" hidden="false" customHeight="false" outlineLevel="0" collapsed="false">
      <c r="A92" s="5" t="s">
        <v>193</v>
      </c>
      <c r="B92" s="13" t="n">
        <f aca="false">(C34+B87*B91)/(B34+B87)</f>
        <v>2.72433962264151</v>
      </c>
    </row>
    <row r="93" customFormat="false" ht="15" hidden="false" customHeight="false" outlineLevel="0" collapsed="false">
      <c r="A93" s="3" t="s">
        <v>196</v>
      </c>
    </row>
    <row r="94" customFormat="false" ht="15" hidden="false" customHeight="false" outlineLevel="0" collapsed="false">
      <c r="A94" s="9"/>
      <c r="B94" s="9" t="s">
        <v>180</v>
      </c>
      <c r="C94" s="9" t="s">
        <v>197</v>
      </c>
    </row>
    <row r="95" customFormat="false" ht="15" hidden="false" customHeight="false" outlineLevel="0" collapsed="false">
      <c r="A95" s="5" t="s">
        <v>198</v>
      </c>
      <c r="B95" s="12" t="n">
        <f aca="false">(B34-B6)</f>
        <v>115500000</v>
      </c>
      <c r="C95" s="12" t="n">
        <f aca="false">B37</f>
        <v>130500000</v>
      </c>
    </row>
    <row r="96" customFormat="false" ht="15" hidden="false" customHeight="false" outlineLevel="0" collapsed="false">
      <c r="A96" s="5" t="s">
        <v>80</v>
      </c>
      <c r="B96" s="12" t="n">
        <f aca="false">(C34-C6)</f>
        <v>150975000</v>
      </c>
      <c r="C96" s="12" t="n">
        <f aca="false">B38</f>
        <v>348975000</v>
      </c>
    </row>
    <row r="97" customFormat="false" ht="15" hidden="false" customHeight="false" outlineLevel="0" collapsed="false">
      <c r="A97" s="5" t="s">
        <v>199</v>
      </c>
      <c r="B97" s="13" t="n">
        <f aca="false">B96/B95</f>
        <v>1.30714285714286</v>
      </c>
      <c r="C97" s="13" t="n">
        <f aca="false">C96/C95</f>
        <v>2.67413793103448</v>
      </c>
    </row>
    <row r="98" customFormat="false" ht="15" hidden="false" customHeight="false" outlineLevel="0" collapsed="false">
      <c r="A98" s="5" t="s">
        <v>200</v>
      </c>
      <c r="B98" s="13" t="n">
        <f aca="false">B96/Inputs!B7</f>
        <v>1.0065</v>
      </c>
      <c r="C98" s="13" t="n">
        <f aca="false">C96/Inputs!B7</f>
        <v>2.3265</v>
      </c>
    </row>
    <row r="99" customFormat="false" ht="15" hidden="false" customHeight="false" outlineLevel="0" collapsed="false">
      <c r="A99" s="5" t="s">
        <v>201</v>
      </c>
      <c r="B99" s="12" t="n">
        <f aca="false">Inputs!B10*MAX(0,B96-Inputs!B7)</f>
        <v>195000</v>
      </c>
      <c r="C99" s="12" t="n">
        <f aca="false">Inputs!B10*MAX(0,C96-Inputs!B7)</f>
        <v>39795000</v>
      </c>
    </row>
    <row r="100" customFormat="false" ht="15" hidden="false" customHeight="false" outlineLevel="0" collapsed="false">
      <c r="A100" s="5" t="s">
        <v>202</v>
      </c>
      <c r="B100" s="12" t="n">
        <f aca="false">B96-B99</f>
        <v>150780000</v>
      </c>
      <c r="C100" s="12" t="n">
        <f aca="false">C96-C99</f>
        <v>309180000</v>
      </c>
    </row>
    <row r="101" customFormat="false" ht="15" hidden="false" customHeight="false" outlineLevel="0" collapsed="false">
      <c r="A101" s="14" t="s">
        <v>203</v>
      </c>
      <c r="B101" s="16" t="n">
        <f aca="false">B100/Inputs!B7</f>
        <v>1.0052</v>
      </c>
      <c r="C101" s="16" t="n">
        <f aca="false">C100/Inputs!B7</f>
        <v>2.0612</v>
      </c>
    </row>
    <row r="102" customFormat="false" ht="15" hidden="false" customHeight="false" outlineLevel="0" collapsed="false">
      <c r="A102" s="14" t="s">
        <v>204</v>
      </c>
      <c r="B102" s="16" t="n">
        <f aca="false">B100/Fund!B30</f>
        <v>0.992169507139567</v>
      </c>
      <c r="C102" s="16" t="n">
        <f aca="false">C100/Fund!B30</f>
        <v>2.03448048957031</v>
      </c>
    </row>
    <row r="103" customFormat="false" ht="15" hidden="false" customHeight="false" outlineLevel="0" collapsed="false">
      <c r="A103" s="5" t="s">
        <v>205</v>
      </c>
      <c r="B103" s="12" t="n">
        <f aca="false">B100-Fund!B30</f>
        <v>-1190000</v>
      </c>
      <c r="C103" s="12" t="n">
        <f aca="false">C100-Fund!B30</f>
        <v>157210000</v>
      </c>
    </row>
    <row r="104" customFormat="false" ht="15" hidden="false" customHeight="false" outlineLevel="0" collapsed="false">
      <c r="A104" s="5" t="s">
        <v>206</v>
      </c>
      <c r="B104" s="12" t="n">
        <f aca="false">Inputs!B7*Inputs!B8*Inputs!B9+Inputs!B8*(SUMPRODUCT(B6:B33*((H6:H33-Inputs!B9)&gt;0)*(H6:H33-Inputs!B9))-B6*MAX(0,H6-Inputs!B9))</f>
        <v>20270000</v>
      </c>
      <c r="C104" s="12" t="n">
        <f aca="false">Inputs!B7*Inputs!B8*Inputs!B9+Inputs!B8*SUMPRODUCT(B6:B33*G6:G33*((H6:H33-Inputs!B9)&gt;0)*(H6:H33-Inputs!B9))</f>
        <v>21470000</v>
      </c>
    </row>
    <row r="105" customFormat="false" ht="15" hidden="false" customHeight="false" outlineLevel="0" collapsed="false">
      <c r="A105" s="5" t="s">
        <v>207</v>
      </c>
      <c r="B105" s="12" t="n">
        <f aca="false">B95+B104</f>
        <v>135770000</v>
      </c>
      <c r="C105" s="12" t="n">
        <f aca="false">C95+C104</f>
        <v>151970000</v>
      </c>
    </row>
    <row r="106" customFormat="false" ht="15" hidden="false" customHeight="false" outlineLevel="0" collapsed="false">
      <c r="A106" s="14" t="s">
        <v>208</v>
      </c>
      <c r="B106" s="16" t="n">
        <f aca="false">B100/B105</f>
        <v>1.11055461442145</v>
      </c>
      <c r="C106" s="16" t="n">
        <f aca="false">C100/C105</f>
        <v>2.03448048957031</v>
      </c>
    </row>
    <row r="107" customFormat="false" ht="15" hidden="false" customHeight="false" outlineLevel="0" collapsed="false">
      <c r="A107" s="5" t="s">
        <v>205</v>
      </c>
      <c r="B107" s="12" t="n">
        <f aca="false">B100-B105</f>
        <v>15010000</v>
      </c>
      <c r="C107" s="12" t="n">
        <f aca="false">C100-C105</f>
        <v>157210000</v>
      </c>
    </row>
    <row r="108" customFormat="false" ht="15" hidden="false" customHeight="false" outlineLevel="0" collapsed="false">
      <c r="A108" s="5" t="s">
        <v>209</v>
      </c>
      <c r="B108" s="20" t="n">
        <f aca="false">IF(Fund!B37=0,"",(Fund!B37-B99)/Fund!B37)</f>
        <v>0.995099886920467</v>
      </c>
      <c r="C108" s="20" t="n">
        <f aca="false">IF(Fund!B37=0,"",(Fund!B37-C99)/Fund!B37)</f>
        <v>0</v>
      </c>
    </row>
    <row r="109" customFormat="false" ht="15" hidden="false" customHeight="false" outlineLevel="0" collapsed="false">
      <c r="A109" s="5" t="s">
        <v>210</v>
      </c>
      <c r="B109" s="13" t="n">
        <f aca="false">(B96-B99-Fund!C18)/Inputs!B7</f>
        <v>0.862066666666667</v>
      </c>
      <c r="C109" s="13" t="n">
        <f aca="false">(C96-C99-Fund!C18)/Inputs!B7</f>
        <v>1.91806666666667</v>
      </c>
    </row>
    <row r="110" customFormat="false" ht="15" hidden="false" customHeight="false" outlineLevel="0" collapsed="false">
      <c r="A110" s="2" t="s">
        <v>211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6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0"/>
    <col collapsed="false" customWidth="true" hidden="false" outlineLevel="0" max="4" min="3" style="0" width="18"/>
    <col collapsed="false" customWidth="true" hidden="false" outlineLevel="0" max="5" min="5" style="0" width="12"/>
    <col collapsed="false" customWidth="true" hidden="false" outlineLevel="0" max="6" min="6" style="0" width="10"/>
    <col collapsed="false" customWidth="true" hidden="false" outlineLevel="0" max="7" min="7" style="0" width="58"/>
  </cols>
  <sheetData>
    <row r="1" customFormat="false" ht="19.7" hidden="false" customHeight="false" outlineLevel="0" collapsed="false">
      <c r="A1" s="1" t="s">
        <v>212</v>
      </c>
    </row>
    <row r="2" customFormat="false" ht="15" hidden="false" customHeight="false" outlineLevel="0" collapsed="false">
      <c r="A2" s="2" t="s">
        <v>213</v>
      </c>
    </row>
    <row r="5" customFormat="false" ht="15" hidden="false" customHeight="false" outlineLevel="0" collapsed="false">
      <c r="A5" s="9" t="s">
        <v>214</v>
      </c>
      <c r="B5" s="9" t="s">
        <v>215</v>
      </c>
      <c r="C5" s="9" t="s">
        <v>216</v>
      </c>
      <c r="D5" s="9" t="s">
        <v>217</v>
      </c>
      <c r="E5" s="9" t="s">
        <v>218</v>
      </c>
      <c r="F5" s="9" t="s">
        <v>219</v>
      </c>
      <c r="G5" s="9" t="s">
        <v>220</v>
      </c>
    </row>
    <row r="6" customFormat="false" ht="15" hidden="false" customHeight="false" outlineLevel="0" collapsed="false">
      <c r="A6" s="5" t="s">
        <v>221</v>
      </c>
      <c r="B6" s="4" t="s">
        <v>162</v>
      </c>
      <c r="C6" s="17" t="n">
        <v>13</v>
      </c>
      <c r="D6" s="17" t="n">
        <f aca="false">Power!B55</f>
        <v>13</v>
      </c>
      <c r="E6" s="24" t="n">
        <f aca="false">IF(ISNUMBER(D6),D6-C6,"")</f>
        <v>0</v>
      </c>
      <c r="F6" s="14" t="str">
        <f aca="false">IF(ISNUMBER(D6),IF(ABS(E6)&lt;=0,"PASS","FAIL"),"FAIL")</f>
        <v>PASS</v>
      </c>
      <c r="G6" s="2"/>
    </row>
    <row r="7" customFormat="false" ht="15" hidden="false" customHeight="false" outlineLevel="0" collapsed="false">
      <c r="A7" s="25" t="s">
        <v>221</v>
      </c>
      <c r="B7" s="26" t="s">
        <v>163</v>
      </c>
      <c r="C7" s="18" t="n">
        <v>21</v>
      </c>
      <c r="D7" s="18" t="n">
        <f aca="false">Power!B56</f>
        <v>21</v>
      </c>
      <c r="E7" s="27" t="n">
        <f aca="false">IF(ISNUMBER(D7),D7-C7,"")</f>
        <v>0</v>
      </c>
      <c r="F7" s="28" t="str">
        <f aca="false">IF(ISNUMBER(D7),IF(ABS(E7)&lt;=0,"PASS","FAIL"),"FAIL")</f>
        <v>PASS</v>
      </c>
      <c r="G7" s="29"/>
    </row>
    <row r="8" customFormat="false" ht="15" hidden="false" customHeight="false" outlineLevel="0" collapsed="false">
      <c r="A8" s="5" t="s">
        <v>221</v>
      </c>
      <c r="B8" s="4" t="s">
        <v>164</v>
      </c>
      <c r="C8" s="12" t="n">
        <v>62500000</v>
      </c>
      <c r="D8" s="12" t="n">
        <f aca="false">Power!B57</f>
        <v>62500000</v>
      </c>
      <c r="E8" s="24" t="n">
        <f aca="false">IF(ISNUMBER(D8),D8-C8,"")</f>
        <v>0</v>
      </c>
      <c r="F8" s="14" t="str">
        <f aca="false">IF(ISNUMBER(D8),IF(ABS(E8)&lt;=0.5,"PASS","FAIL"),"FAIL")</f>
        <v>PASS</v>
      </c>
      <c r="G8" s="2"/>
    </row>
    <row r="9" customFormat="false" ht="15" hidden="false" customHeight="false" outlineLevel="0" collapsed="false">
      <c r="A9" s="25" t="s">
        <v>221</v>
      </c>
      <c r="B9" s="26" t="s">
        <v>165</v>
      </c>
      <c r="C9" s="30" t="n">
        <v>0.478927</v>
      </c>
      <c r="D9" s="30" t="n">
        <f aca="false">Power!B58</f>
        <v>0.478927203065134</v>
      </c>
      <c r="E9" s="27" t="n">
        <f aca="false">IF(ISNUMBER(D9),D9-C9,"")</f>
        <v>2.03065134096736E-007</v>
      </c>
      <c r="F9" s="28" t="str">
        <f aca="false">IF(ISNUMBER(D9),IF(ABS(E9)&lt;=0.0000005,"PASS","FAIL"),"FAIL")</f>
        <v>PASS</v>
      </c>
      <c r="G9" s="29"/>
    </row>
    <row r="10" customFormat="false" ht="15" hidden="false" customHeight="false" outlineLevel="0" collapsed="false">
      <c r="A10" s="5" t="s">
        <v>221</v>
      </c>
      <c r="B10" s="4" t="s">
        <v>166</v>
      </c>
      <c r="C10" s="12" t="n">
        <v>20000000</v>
      </c>
      <c r="D10" s="12" t="n">
        <f aca="false">Power!B59</f>
        <v>20000000</v>
      </c>
      <c r="E10" s="24" t="n">
        <f aca="false">IF(ISNUMBER(D10),D10-C10,"")</f>
        <v>0</v>
      </c>
      <c r="F10" s="14" t="str">
        <f aca="false">IF(ISNUMBER(D10),IF(ABS(E10)&lt;=0.5,"PASS","FAIL"),"FAIL")</f>
        <v>PASS</v>
      </c>
      <c r="G10" s="2"/>
    </row>
    <row r="11" customFormat="false" ht="15" hidden="false" customHeight="false" outlineLevel="0" collapsed="false">
      <c r="A11" s="25" t="s">
        <v>221</v>
      </c>
      <c r="B11" s="26" t="s">
        <v>167</v>
      </c>
      <c r="C11" s="31" t="n">
        <v>0.32</v>
      </c>
      <c r="D11" s="31" t="n">
        <f aca="false">Power!B60</f>
        <v>0.32</v>
      </c>
      <c r="E11" s="27" t="n">
        <f aca="false">IF(ISNUMBER(D11),D11-C11,"")</f>
        <v>0</v>
      </c>
      <c r="F11" s="28" t="str">
        <f aca="false">IF(ISNUMBER(D11),IF(ABS(E11)&lt;=0.00005,"PASS","FAIL"),"FAIL")</f>
        <v>PASS</v>
      </c>
      <c r="G11" s="29"/>
    </row>
    <row r="12" customFormat="false" ht="15" hidden="false" customHeight="false" outlineLevel="0" collapsed="false">
      <c r="A12" s="5" t="s">
        <v>221</v>
      </c>
      <c r="B12" s="4" t="s">
        <v>222</v>
      </c>
      <c r="C12" s="13" t="n">
        <v>4.8379</v>
      </c>
      <c r="D12" s="13" t="n">
        <f aca="false">(Power!C34-Power!B59)/(Power!B34-Power!B57)</f>
        <v>4.83786764705882</v>
      </c>
      <c r="E12" s="24" t="n">
        <f aca="false">IF(ISNUMBER(D12),D12-C12,"")</f>
        <v>-3.23529411767609E-005</v>
      </c>
      <c r="F12" s="14" t="str">
        <f aca="false">IF(ISNUMBER(D12),IF(ABS(E12)&lt;=0.00005,"PASS","FAIL"),"FAIL")</f>
        <v>PASS</v>
      </c>
      <c r="G12" s="2"/>
    </row>
    <row r="13" customFormat="false" ht="15" hidden="false" customHeight="false" outlineLevel="0" collapsed="false">
      <c r="A13" s="25" t="s">
        <v>221</v>
      </c>
      <c r="B13" s="26" t="s">
        <v>223</v>
      </c>
      <c r="C13" s="19" t="n">
        <v>24500000</v>
      </c>
      <c r="D13" s="19" t="n">
        <f aca="false">Power!B61</f>
        <v>24500000</v>
      </c>
      <c r="E13" s="27" t="n">
        <f aca="false">IF(ISNUMBER(D13),D13-C13,"")</f>
        <v>0</v>
      </c>
      <c r="F13" s="28" t="str">
        <f aca="false">IF(ISNUMBER(D13),IF(ABS(E13)&lt;=0.5,"PASS","FAIL"),"FAIL")</f>
        <v>PASS</v>
      </c>
      <c r="G13" s="29"/>
    </row>
    <row r="14" customFormat="false" ht="15" hidden="false" customHeight="false" outlineLevel="0" collapsed="false">
      <c r="A14" s="5" t="s">
        <v>221</v>
      </c>
      <c r="B14" s="4" t="s">
        <v>224</v>
      </c>
      <c r="C14" s="20" t="n">
        <v>0.187739</v>
      </c>
      <c r="D14" s="20" t="n">
        <f aca="false">Power!B62</f>
        <v>0.187739463601533</v>
      </c>
      <c r="E14" s="24" t="n">
        <f aca="false">IF(ISNUMBER(D14),D14-C14,"")</f>
        <v>4.63601532579849E-007</v>
      </c>
      <c r="F14" s="14" t="str">
        <f aca="false">IF(ISNUMBER(D14),IF(ABS(E14)&lt;=0.0000005,"PASS","FAIL"),"FAIL")</f>
        <v>PASS</v>
      </c>
      <c r="G14" s="2"/>
    </row>
    <row r="15" customFormat="false" ht="15" hidden="false" customHeight="false" outlineLevel="0" collapsed="false">
      <c r="A15" s="25" t="s">
        <v>221</v>
      </c>
      <c r="B15" s="26" t="s">
        <v>225</v>
      </c>
      <c r="C15" s="30" t="n">
        <v>0.567376</v>
      </c>
      <c r="D15" s="30" t="n">
        <f aca="false">Power!B43</f>
        <v>0.567375886524823</v>
      </c>
      <c r="E15" s="27" t="n">
        <f aca="false">IF(ISNUMBER(D15),D15-C15,"")</f>
        <v>-1.13475177254685E-007</v>
      </c>
      <c r="F15" s="28" t="str">
        <f aca="false">IF(ISNUMBER(D15),IF(ABS(E15)&lt;=0.0000005,"PASS","FAIL"),"FAIL")</f>
        <v>PASS</v>
      </c>
      <c r="G15" s="29"/>
    </row>
    <row r="16" customFormat="false" ht="15" hidden="false" customHeight="false" outlineLevel="0" collapsed="false">
      <c r="A16" s="5" t="s">
        <v>221</v>
      </c>
      <c r="B16" s="4" t="s">
        <v>151</v>
      </c>
      <c r="C16" s="20" t="n">
        <v>0.719249</v>
      </c>
      <c r="D16" s="20" t="n">
        <f aca="false">Power!B44</f>
        <v>0.719249229887528</v>
      </c>
      <c r="E16" s="24" t="n">
        <f aca="false">IF(ISNUMBER(D16),D16-C16,"")</f>
        <v>2.29887527680717E-007</v>
      </c>
      <c r="F16" s="14" t="str">
        <f aca="false">IF(ISNUMBER(D16),IF(ABS(E16)&lt;=0.0000005,"PASS","FAIL"),"FAIL")</f>
        <v>PASS</v>
      </c>
      <c r="G16" s="2"/>
    </row>
    <row r="17" customFormat="false" ht="15" hidden="false" customHeight="false" outlineLevel="0" collapsed="false">
      <c r="A17" s="25" t="s">
        <v>221</v>
      </c>
      <c r="B17" s="26" t="s">
        <v>152</v>
      </c>
      <c r="C17" s="30" t="n">
        <v>0.800487</v>
      </c>
      <c r="D17" s="30" t="n">
        <f aca="false">Power!B45</f>
        <v>0.800487140912673</v>
      </c>
      <c r="E17" s="27" t="n">
        <f aca="false">IF(ISNUMBER(D17),D17-C17,"")</f>
        <v>1.40912672863536E-007</v>
      </c>
      <c r="F17" s="28" t="str">
        <f aca="false">IF(ISNUMBER(D17),IF(ABS(E17)&lt;=0.0000005,"PASS","FAIL"),"FAIL")</f>
        <v>PASS</v>
      </c>
      <c r="G17" s="29"/>
    </row>
    <row r="18" customFormat="false" ht="15" hidden="false" customHeight="false" outlineLevel="0" collapsed="false">
      <c r="A18" s="5" t="s">
        <v>221</v>
      </c>
      <c r="B18" s="4" t="s">
        <v>153</v>
      </c>
      <c r="C18" s="20" t="n">
        <v>0.888387</v>
      </c>
      <c r="D18" s="20" t="n">
        <f aca="false">Power!B46</f>
        <v>0.888387420302314</v>
      </c>
      <c r="E18" s="24" t="n">
        <f aca="false">IF(ISNUMBER(D18),D18-C18,"")</f>
        <v>4.20302313841603E-007</v>
      </c>
      <c r="F18" s="14" t="str">
        <f aca="false">IF(ISNUMBER(D18),IF(ABS(E18)&lt;=0.0000005,"PASS","FAIL"),"FAIL")</f>
        <v>PASS</v>
      </c>
      <c r="G18" s="2"/>
    </row>
    <row r="19" customFormat="false" ht="15" hidden="false" customHeight="false" outlineLevel="0" collapsed="false">
      <c r="A19" s="25" t="s">
        <v>221</v>
      </c>
      <c r="B19" s="26" t="s">
        <v>154</v>
      </c>
      <c r="C19" s="30" t="n">
        <v>0.982592</v>
      </c>
      <c r="D19" s="30" t="n">
        <f aca="false">Power!B47</f>
        <v>0.982591876208897</v>
      </c>
      <c r="E19" s="27" t="n">
        <f aca="false">IF(ISNUMBER(D19),D19-C19,"")</f>
        <v>-1.23791102590864E-007</v>
      </c>
      <c r="F19" s="28" t="str">
        <f aca="false">IF(ISNUMBER(D19),IF(ABS(E19)&lt;=0.0000005,"PASS","FAIL"),"FAIL")</f>
        <v>PASS</v>
      </c>
      <c r="G19" s="29"/>
    </row>
    <row r="20" customFormat="false" ht="15" hidden="false" customHeight="false" outlineLevel="0" collapsed="false">
      <c r="A20" s="5" t="s">
        <v>221</v>
      </c>
      <c r="B20" s="4" t="s">
        <v>226</v>
      </c>
      <c r="C20" s="20" t="n">
        <v>0.017408</v>
      </c>
      <c r="D20" s="20" t="n">
        <f aca="false">Power!B48</f>
        <v>0.0174081237911026</v>
      </c>
      <c r="E20" s="24" t="n">
        <f aca="false">IF(ISNUMBER(D20),D20-C20,"")</f>
        <v>1.23791102570048E-007</v>
      </c>
      <c r="F20" s="14" t="str">
        <f aca="false">IF(ISNUMBER(D20),IF(ABS(E20)&lt;=0.0000005,"PASS","FAIL"),"FAIL")</f>
        <v>PASS</v>
      </c>
      <c r="G20" s="2"/>
    </row>
    <row r="21" customFormat="false" ht="15" hidden="false" customHeight="false" outlineLevel="0" collapsed="false">
      <c r="A21" s="25" t="s">
        <v>221</v>
      </c>
      <c r="B21" s="26" t="s">
        <v>227</v>
      </c>
      <c r="C21" s="32" t="n">
        <v>4.3059</v>
      </c>
      <c r="D21" s="32" t="n">
        <f aca="false">Power!B72</f>
        <v>4.30588235294118</v>
      </c>
      <c r="E21" s="27" t="n">
        <f aca="false">IF(ISNUMBER(D21),D21-C21,"")</f>
        <v>-1.76470588240107E-005</v>
      </c>
      <c r="F21" s="28" t="str">
        <f aca="false">IF(ISNUMBER(D21),IF(ABS(E21)&lt;=0.00005,"PASS","FAIL"),"FAIL")</f>
        <v>PASS</v>
      </c>
      <c r="G21" s="29"/>
    </row>
    <row r="22" customFormat="false" ht="15" hidden="false" customHeight="false" outlineLevel="0" collapsed="false">
      <c r="A22" s="5" t="s">
        <v>221</v>
      </c>
      <c r="B22" s="4" t="s">
        <v>228</v>
      </c>
      <c r="C22" s="13" t="n">
        <v>3.2922</v>
      </c>
      <c r="D22" s="13" t="n">
        <f aca="false">Power!B77</f>
        <v>3.29221698113208</v>
      </c>
      <c r="E22" s="24" t="n">
        <f aca="false">IF(ISNUMBER(D22),D22-C22,"")</f>
        <v>1.69811320755997E-005</v>
      </c>
      <c r="F22" s="14" t="str">
        <f aca="false">IF(ISNUMBER(D22),IF(ABS(E22)&lt;=0.00005,"PASS","FAIL"),"FAIL")</f>
        <v>PASS</v>
      </c>
      <c r="G22" s="2"/>
    </row>
    <row r="23" customFormat="false" ht="15" hidden="false" customHeight="false" outlineLevel="0" collapsed="false">
      <c r="A23" s="25" t="s">
        <v>229</v>
      </c>
      <c r="B23" s="26" t="s">
        <v>230</v>
      </c>
      <c r="C23" s="31" t="n">
        <v>1.32</v>
      </c>
      <c r="D23" s="31" t="n">
        <f aca="false">Power!B49</f>
        <v>1.32</v>
      </c>
      <c r="E23" s="27" t="n">
        <f aca="false">IF(ISNUMBER(D23),D23-C23,"")</f>
        <v>0</v>
      </c>
      <c r="F23" s="28" t="str">
        <f aca="false">IF(ISNUMBER(D23),IF(ABS(E23)&lt;=0.00005,"PASS","FAIL"),"FAIL")</f>
        <v>PASS</v>
      </c>
      <c r="G23" s="29"/>
    </row>
    <row r="24" customFormat="false" ht="15" hidden="false" customHeight="false" outlineLevel="0" collapsed="false">
      <c r="A24" s="5" t="s">
        <v>229</v>
      </c>
      <c r="B24" s="4" t="s">
        <v>187</v>
      </c>
      <c r="C24" s="13" t="n">
        <v>1.3029</v>
      </c>
      <c r="D24" s="13" t="n">
        <f aca="false">Power!B82</f>
        <v>1.30288872803843</v>
      </c>
      <c r="E24" s="24" t="n">
        <f aca="false">IF(ISNUMBER(D24),D24-C24,"")</f>
        <v>-1.12719615712464E-005</v>
      </c>
      <c r="F24" s="14" t="str">
        <f aca="false">IF(ISNUMBER(D24),IF(ABS(E24)&lt;=0.00005,"PASS","FAIL"),"FAIL")</f>
        <v>PASS</v>
      </c>
      <c r="G24" s="2"/>
    </row>
    <row r="25" customFormat="false" ht="15" hidden="false" customHeight="false" outlineLevel="0" collapsed="false">
      <c r="A25" s="25" t="s">
        <v>229</v>
      </c>
      <c r="B25" s="26" t="s">
        <v>231</v>
      </c>
      <c r="C25" s="30" t="n">
        <v>0.114943</v>
      </c>
      <c r="D25" s="30" t="n">
        <f aca="false">Power!B51</f>
        <v>0.114942528735632</v>
      </c>
      <c r="E25" s="27" t="n">
        <f aca="false">IF(ISNUMBER(D25),D25-C25,"")</f>
        <v>-4.71264367821189E-007</v>
      </c>
      <c r="F25" s="28" t="str">
        <f aca="false">IF(ISNUMBER(D25),IF(ABS(E25)&lt;=0.0000005,"PASS","FAIL"),"FAIL")</f>
        <v>PASS</v>
      </c>
      <c r="G25" s="29"/>
    </row>
    <row r="26" customFormat="false" ht="15" hidden="false" customHeight="false" outlineLevel="0" collapsed="false">
      <c r="A26" s="5" t="s">
        <v>229</v>
      </c>
      <c r="B26" s="4" t="s">
        <v>180</v>
      </c>
      <c r="C26" s="13" t="n">
        <v>1.3071</v>
      </c>
      <c r="D26" s="13" t="n">
        <f aca="false">Power!B75</f>
        <v>1.30714285714286</v>
      </c>
      <c r="E26" s="24" t="n">
        <f aca="false">IF(ISNUMBER(D26),D26-C26,"")</f>
        <v>4.28571428572333E-005</v>
      </c>
      <c r="F26" s="14" t="str">
        <f aca="false">IF(ISNUMBER(D26),IF(ABS(E26)&lt;=0.00005,"PASS","FAIL"),"FAIL")</f>
        <v>PASS</v>
      </c>
      <c r="G26" s="2"/>
    </row>
    <row r="27" customFormat="false" ht="15" hidden="false" customHeight="false" outlineLevel="0" collapsed="false">
      <c r="A27" s="25" t="s">
        <v>229</v>
      </c>
      <c r="B27" s="26" t="s">
        <v>232</v>
      </c>
      <c r="C27" s="31" t="n">
        <v>1.0065</v>
      </c>
      <c r="D27" s="31" t="n">
        <f aca="false">Power!B81</f>
        <v>1.0065</v>
      </c>
      <c r="E27" s="27" t="n">
        <f aca="false">IF(ISNUMBER(D27),D27-C27,"")</f>
        <v>0</v>
      </c>
      <c r="F27" s="28" t="str">
        <f aca="false">IF(ISNUMBER(D27),IF(ABS(E27)&lt;=0.00005,"PASS","FAIL"),"FAIL")</f>
        <v>PASS</v>
      </c>
      <c r="G27" s="29"/>
    </row>
    <row r="28" customFormat="false" ht="15" hidden="false" customHeight="false" outlineLevel="0" collapsed="false">
      <c r="A28" s="5" t="s">
        <v>229</v>
      </c>
      <c r="B28" s="4" t="s">
        <v>233</v>
      </c>
      <c r="C28" s="12" t="n">
        <v>195000</v>
      </c>
      <c r="D28" s="12" t="n">
        <f aca="false">Power!B99</f>
        <v>195000</v>
      </c>
      <c r="E28" s="24" t="n">
        <f aca="false">IF(ISNUMBER(D28),D28-C28,"")</f>
        <v>0</v>
      </c>
      <c r="F28" s="14" t="str">
        <f aca="false">IF(ISNUMBER(D28),IF(ABS(E28)&lt;=0.5,"PASS","FAIL"),"FAIL")</f>
        <v>PASS</v>
      </c>
      <c r="G28" s="2"/>
    </row>
    <row r="29" customFormat="false" ht="15" hidden="false" customHeight="false" outlineLevel="0" collapsed="false">
      <c r="A29" s="25" t="s">
        <v>229</v>
      </c>
      <c r="B29" s="26" t="s">
        <v>234</v>
      </c>
      <c r="C29" s="30" t="n">
        <v>0.9951</v>
      </c>
      <c r="D29" s="30" t="n">
        <f aca="false">Power!B108</f>
        <v>0.995099886920467</v>
      </c>
      <c r="E29" s="27" t="n">
        <f aca="false">IF(ISNUMBER(D29),D29-C29,"")</f>
        <v>-1.13079532626514E-007</v>
      </c>
      <c r="F29" s="28" t="str">
        <f aca="false">IF(ISNUMBER(D29),IF(ABS(E29)&lt;=0.0000005,"PASS","FAIL"),"FAIL")</f>
        <v>PASS</v>
      </c>
      <c r="G29" s="29"/>
    </row>
    <row r="30" customFormat="false" ht="15" hidden="false" customHeight="false" outlineLevel="0" collapsed="false">
      <c r="A30" s="5" t="s">
        <v>229</v>
      </c>
      <c r="B30" s="4" t="s">
        <v>235</v>
      </c>
      <c r="C30" s="12" t="n">
        <v>150780000</v>
      </c>
      <c r="D30" s="12" t="n">
        <f aca="false">Power!B100</f>
        <v>150780000</v>
      </c>
      <c r="E30" s="24" t="n">
        <f aca="false">IF(ISNUMBER(D30),D30-C30,"")</f>
        <v>0</v>
      </c>
      <c r="F30" s="14" t="str">
        <f aca="false">IF(ISNUMBER(D30),IF(ABS(E30)&lt;=0.5,"PASS","FAIL"),"FAIL")</f>
        <v>PASS</v>
      </c>
      <c r="G30" s="2"/>
    </row>
    <row r="31" customFormat="false" ht="15" hidden="false" customHeight="false" outlineLevel="0" collapsed="false">
      <c r="A31" s="25" t="s">
        <v>229</v>
      </c>
      <c r="B31" s="26" t="s">
        <v>236</v>
      </c>
      <c r="C31" s="31" t="n">
        <v>1.0052</v>
      </c>
      <c r="D31" s="31" t="n">
        <f aca="false">Power!B101</f>
        <v>1.0052</v>
      </c>
      <c r="E31" s="27" t="n">
        <f aca="false">IF(ISNUMBER(D31),D31-C31,"")</f>
        <v>0</v>
      </c>
      <c r="F31" s="28" t="str">
        <f aca="false">IF(ISNUMBER(D31),IF(ABS(E31)&lt;=0.00005,"PASS","FAIL"),"FAIL")</f>
        <v>PASS</v>
      </c>
      <c r="G31" s="29" t="s">
        <v>237</v>
      </c>
    </row>
    <row r="32" customFormat="false" ht="15" hidden="false" customHeight="false" outlineLevel="0" collapsed="false">
      <c r="A32" s="5" t="s">
        <v>229</v>
      </c>
      <c r="B32" s="4" t="s">
        <v>238</v>
      </c>
      <c r="C32" s="13" t="n">
        <v>0.9922</v>
      </c>
      <c r="D32" s="13" t="n">
        <f aca="false">Power!B102</f>
        <v>0.992169507139567</v>
      </c>
      <c r="E32" s="24" t="n">
        <f aca="false">IF(ISNUMBER(D32),D32-C32,"")</f>
        <v>-3.04928604329957E-005</v>
      </c>
      <c r="F32" s="14" t="str">
        <f aca="false">IF(ISNUMBER(D32),IF(ABS(E32)&lt;=0.00005,"PASS","FAIL"),"FAIL")</f>
        <v>PASS</v>
      </c>
      <c r="G32" s="2" t="s">
        <v>239</v>
      </c>
    </row>
    <row r="33" customFormat="false" ht="15" hidden="false" customHeight="false" outlineLevel="0" collapsed="false">
      <c r="A33" s="25" t="s">
        <v>229</v>
      </c>
      <c r="B33" s="26" t="s">
        <v>240</v>
      </c>
      <c r="C33" s="19" t="n">
        <v>-1190000</v>
      </c>
      <c r="D33" s="19" t="n">
        <f aca="false">Power!B103</f>
        <v>-1190000</v>
      </c>
      <c r="E33" s="27" t="n">
        <f aca="false">IF(ISNUMBER(D33),D33-C33,"")</f>
        <v>0</v>
      </c>
      <c r="F33" s="28" t="str">
        <f aca="false">IF(ISNUMBER(D33),IF(ABS(E33)&lt;=0.5,"PASS","FAIL"),"FAIL")</f>
        <v>PASS</v>
      </c>
      <c r="G33" s="29"/>
    </row>
    <row r="34" customFormat="false" ht="15" hidden="false" customHeight="false" outlineLevel="0" collapsed="false">
      <c r="A34" s="5" t="s">
        <v>229</v>
      </c>
      <c r="B34" s="4" t="s">
        <v>241</v>
      </c>
      <c r="C34" s="12" t="n">
        <v>20270000</v>
      </c>
      <c r="D34" s="12" t="n">
        <f aca="false">Power!B104</f>
        <v>20270000</v>
      </c>
      <c r="E34" s="24" t="n">
        <f aca="false">IF(ISNUMBER(D34),D34-C34,"")</f>
        <v>0</v>
      </c>
      <c r="F34" s="14" t="str">
        <f aca="false">IF(ISNUMBER(D34),IF(ABS(E34)&lt;=0.5,"PASS","FAIL"),"FAIL")</f>
        <v>PASS</v>
      </c>
      <c r="G34" s="2" t="s">
        <v>242</v>
      </c>
    </row>
    <row r="35" customFormat="false" ht="15" hidden="false" customHeight="false" outlineLevel="0" collapsed="false">
      <c r="A35" s="25" t="s">
        <v>229</v>
      </c>
      <c r="B35" s="26" t="s">
        <v>243</v>
      </c>
      <c r="C35" s="19" t="n">
        <v>135770000</v>
      </c>
      <c r="D35" s="19" t="n">
        <f aca="false">Power!B105</f>
        <v>135770000</v>
      </c>
      <c r="E35" s="27" t="n">
        <f aca="false">IF(ISNUMBER(D35),D35-C35,"")</f>
        <v>0</v>
      </c>
      <c r="F35" s="28" t="str">
        <f aca="false">IF(ISNUMBER(D35),IF(ABS(E35)&lt;=0.5,"PASS","FAIL"),"FAIL")</f>
        <v>PASS</v>
      </c>
      <c r="G35" s="29"/>
    </row>
    <row r="36" customFormat="false" ht="15" hidden="false" customHeight="false" outlineLevel="0" collapsed="false">
      <c r="A36" s="5" t="s">
        <v>229</v>
      </c>
      <c r="B36" s="4" t="s">
        <v>244</v>
      </c>
      <c r="C36" s="13" t="n">
        <v>1.1106</v>
      </c>
      <c r="D36" s="13" t="n">
        <f aca="false">Power!B106</f>
        <v>1.11055461442145</v>
      </c>
      <c r="E36" s="24" t="n">
        <f aca="false">IF(ISNUMBER(D36),D36-C36,"")</f>
        <v>-4.53855785520485E-005</v>
      </c>
      <c r="F36" s="14" t="str">
        <f aca="false">IF(ISNUMBER(D36),IF(ABS(E36)&lt;=0.00005,"PASS","FAIL"),"FAIL")</f>
        <v>PASS</v>
      </c>
      <c r="G36" s="2" t="s">
        <v>245</v>
      </c>
    </row>
    <row r="37" customFormat="false" ht="15" hidden="false" customHeight="false" outlineLevel="0" collapsed="false">
      <c r="A37" s="25" t="s">
        <v>229</v>
      </c>
      <c r="B37" s="26" t="s">
        <v>246</v>
      </c>
      <c r="C37" s="19" t="n">
        <v>15010000</v>
      </c>
      <c r="D37" s="19" t="n">
        <f aca="false">Power!B107</f>
        <v>15010000</v>
      </c>
      <c r="E37" s="27" t="n">
        <f aca="false">IF(ISNUMBER(D37),D37-C37,"")</f>
        <v>0</v>
      </c>
      <c r="F37" s="28" t="str">
        <f aca="false">IF(ISNUMBER(D37),IF(ABS(E37)&lt;=0.5,"PASS","FAIL"),"FAIL")</f>
        <v>PASS</v>
      </c>
      <c r="G37" s="29"/>
    </row>
    <row r="38" customFormat="false" ht="15" hidden="false" customHeight="false" outlineLevel="0" collapsed="false">
      <c r="A38" s="5" t="s">
        <v>229</v>
      </c>
      <c r="B38" s="4" t="s">
        <v>247</v>
      </c>
      <c r="C38" s="13" t="n">
        <v>0.8621</v>
      </c>
      <c r="D38" s="13" t="n">
        <f aca="false">Power!B109</f>
        <v>0.862066666666667</v>
      </c>
      <c r="E38" s="24" t="n">
        <f aca="false">IF(ISNUMBER(D38),D38-C38,"")</f>
        <v>-3.33333333333297E-005</v>
      </c>
      <c r="F38" s="14" t="str">
        <f aca="false">IF(ISNUMBER(D38),IF(ABS(E38)&lt;=0.00005,"PASS","FAIL"),"FAIL")</f>
        <v>PASS</v>
      </c>
      <c r="G38" s="2" t="s">
        <v>248</v>
      </c>
    </row>
    <row r="39" customFormat="false" ht="15" hidden="false" customHeight="false" outlineLevel="0" collapsed="false">
      <c r="A39" s="25" t="s">
        <v>229</v>
      </c>
      <c r="B39" s="26" t="s">
        <v>249</v>
      </c>
      <c r="C39" s="33"/>
      <c r="D39" s="25" t="str">
        <f aca="false">IF(OR(Power!B40&lt;28,ABS(Power!C104-Fund!C18)&lt;0.01),"holds","does not hold")</f>
        <v>holds</v>
      </c>
      <c r="E39" s="33"/>
      <c r="F39" s="28" t="str">
        <f aca="false">IF(D39="holds","PASS","FAIL")</f>
        <v>PASS</v>
      </c>
      <c r="G39" s="29" t="s">
        <v>250</v>
      </c>
    </row>
    <row r="40" customFormat="false" ht="15" hidden="false" customHeight="false" outlineLevel="0" collapsed="false">
      <c r="A40" s="5" t="s">
        <v>251</v>
      </c>
      <c r="B40" s="4" t="s">
        <v>252</v>
      </c>
      <c r="C40" s="13" t="n">
        <v>0.16</v>
      </c>
      <c r="D40" s="13" t="n">
        <f aca="false">Power!B63</f>
        <v>0.16</v>
      </c>
      <c r="E40" s="24" t="n">
        <f aca="false">IF(ISNUMBER(D40),D40-C40,"")</f>
        <v>0</v>
      </c>
      <c r="F40" s="14" t="str">
        <f aca="false">IF(ISNUMBER(D40),IF(ABS(E40)&lt;=0.00005,"PASS","FAIL"),"FAIL")</f>
        <v>PASS</v>
      </c>
      <c r="G40" s="2"/>
    </row>
    <row r="41" customFormat="false" ht="15" hidden="false" customHeight="false" outlineLevel="0" collapsed="false">
      <c r="A41" s="25" t="s">
        <v>251</v>
      </c>
      <c r="B41" s="26" t="s">
        <v>170</v>
      </c>
      <c r="C41" s="31" t="n">
        <v>0.1242</v>
      </c>
      <c r="D41" s="31" t="n">
        <f aca="false">Power!B64</f>
        <v>0.124166666666667</v>
      </c>
      <c r="E41" s="27" t="n">
        <f aca="false">IF(ISNUMBER(D41),D41-C41,"")</f>
        <v>-3.33333333333297E-005</v>
      </c>
      <c r="F41" s="28" t="str">
        <f aca="false">IF(ISNUMBER(D41),IF(ABS(E41)&lt;=0.00005,"PASS","FAIL"),"FAIL")</f>
        <v>PASS</v>
      </c>
      <c r="G41" s="29"/>
    </row>
    <row r="42" customFormat="false" ht="15" hidden="false" customHeight="false" outlineLevel="0" collapsed="false">
      <c r="A42" s="5" t="s">
        <v>251</v>
      </c>
      <c r="B42" s="4" t="s">
        <v>171</v>
      </c>
      <c r="C42" s="13" t="n">
        <v>1.0895</v>
      </c>
      <c r="D42" s="13" t="n">
        <f aca="false">Power!B65</f>
        <v>1.08952869454131</v>
      </c>
      <c r="E42" s="24" t="n">
        <f aca="false">IF(ISNUMBER(D42),D42-C42,"")</f>
        <v>2.86945413110473E-005</v>
      </c>
      <c r="F42" s="14" t="str">
        <f aca="false">IF(ISNUMBER(D42),IF(ABS(E42)&lt;=0.00005,"PASS","FAIL"),"FAIL")</f>
        <v>PASS</v>
      </c>
      <c r="G42" s="2"/>
    </row>
    <row r="43" customFormat="false" ht="15" hidden="false" customHeight="false" outlineLevel="0" collapsed="false">
      <c r="A43" s="25" t="s">
        <v>251</v>
      </c>
      <c r="B43" s="26" t="s">
        <v>172</v>
      </c>
      <c r="C43" s="32" t="n">
        <v>30.5068</v>
      </c>
      <c r="D43" s="32" t="n">
        <f aca="false">Power!B66</f>
        <v>30.5068034471567</v>
      </c>
      <c r="E43" s="27" t="n">
        <f aca="false">IF(ISNUMBER(D43),D43-C43,"")</f>
        <v>3.44715671118934E-006</v>
      </c>
      <c r="F43" s="28" t="str">
        <f aca="false">IF(ISNUMBER(D43),IF(ABS(E43)&lt;=0.00005,"PASS","FAIL"),"FAIL")</f>
        <v>PASS</v>
      </c>
      <c r="G43" s="29"/>
    </row>
    <row r="44" customFormat="false" ht="15" hidden="false" customHeight="false" outlineLevel="0" collapsed="false">
      <c r="A44" s="5" t="s">
        <v>251</v>
      </c>
      <c r="B44" s="4" t="s">
        <v>253</v>
      </c>
      <c r="C44" s="20" t="n">
        <v>0.43269</v>
      </c>
      <c r="D44" s="20" t="n">
        <f aca="false">Power!B67</f>
        <v>0.432690367670437</v>
      </c>
      <c r="E44" s="24" t="n">
        <f aca="false">IF(ISNUMBER(D44),D44-C44,"")</f>
        <v>3.6767043726238E-007</v>
      </c>
      <c r="F44" s="14" t="str">
        <f aca="false">IF(ISNUMBER(D44),IF(ABS(E44)&lt;=0.0000005,"PASS","FAIL"),"FAIL")</f>
        <v>PASS</v>
      </c>
      <c r="G44" s="2"/>
    </row>
    <row r="45" customFormat="false" ht="15" hidden="false" customHeight="false" outlineLevel="0" collapsed="false">
      <c r="A45" s="25" t="s">
        <v>251</v>
      </c>
      <c r="B45" s="26" t="s">
        <v>254</v>
      </c>
      <c r="C45" s="31" t="n">
        <v>2.6741</v>
      </c>
      <c r="D45" s="31" t="n">
        <f aca="false">Power!B68</f>
        <v>2.67413793103448</v>
      </c>
      <c r="E45" s="27" t="n">
        <f aca="false">IF(ISNUMBER(D45),D45-C45,"")</f>
        <v>3.79310344826855E-005</v>
      </c>
      <c r="F45" s="28" t="str">
        <f aca="false">IF(ISNUMBER(D45),IF(ABS(E45)&lt;=0.00005,"PASS","FAIL"),"FAIL")</f>
        <v>PASS</v>
      </c>
      <c r="G45" s="29"/>
    </row>
    <row r="46" customFormat="false" ht="15" hidden="false" customHeight="false" outlineLevel="0" collapsed="false">
      <c r="A46" s="5" t="s">
        <v>251</v>
      </c>
      <c r="B46" s="4" t="s">
        <v>255</v>
      </c>
      <c r="C46" s="13" t="n">
        <v>1.2071</v>
      </c>
      <c r="D46" s="13" t="n">
        <f aca="false">Power!B69</f>
        <v>1.20714285714286</v>
      </c>
      <c r="E46" s="24" t="n">
        <f aca="false">IF(ISNUMBER(D46),D46-C46,"")</f>
        <v>4.28571428570113E-005</v>
      </c>
      <c r="F46" s="14" t="str">
        <f aca="false">IF(ISNUMBER(D46),IF(ABS(E46)&lt;=0.00005,"PASS","FAIL"),"FAIL")</f>
        <v>PASS</v>
      </c>
      <c r="G46" s="2"/>
    </row>
    <row r="47" customFormat="false" ht="15" hidden="false" customHeight="false" outlineLevel="0" collapsed="false">
      <c r="A47" s="25" t="s">
        <v>251</v>
      </c>
      <c r="B47" s="26" t="s">
        <v>256</v>
      </c>
      <c r="C47" s="30" t="n">
        <v>0.464286</v>
      </c>
      <c r="D47" s="30" t="n">
        <f aca="false">Power!B70</f>
        <v>0.464285714285714</v>
      </c>
      <c r="E47" s="27" t="n">
        <f aca="false">IF(ISNUMBER(D47),D47-C47,"")</f>
        <v>-2.85714285674921E-007</v>
      </c>
      <c r="F47" s="28" t="str">
        <f aca="false">IF(ISNUMBER(D47),IF(ABS(E47)&lt;=0.0000005,"PASS","FAIL"),"FAIL")</f>
        <v>PASS</v>
      </c>
      <c r="G47" s="29"/>
    </row>
    <row r="48" customFormat="false" ht="15" hidden="false" customHeight="false" outlineLevel="0" collapsed="false">
      <c r="A48" s="5" t="s">
        <v>251</v>
      </c>
      <c r="B48" s="4" t="s">
        <v>257</v>
      </c>
      <c r="C48" s="20" t="n">
        <v>0.75</v>
      </c>
      <c r="D48" s="20" t="n">
        <f aca="false">Power!B71</f>
        <v>0.75</v>
      </c>
      <c r="E48" s="24" t="n">
        <f aca="false">IF(ISNUMBER(D48),D48-C48,"")</f>
        <v>0</v>
      </c>
      <c r="F48" s="14" t="str">
        <f aca="false">IF(ISNUMBER(D48),IF(ABS(E48)&lt;=0.0000005,"PASS","FAIL"),"FAIL")</f>
        <v>PASS</v>
      </c>
      <c r="G48" s="2"/>
    </row>
    <row r="49" customFormat="false" ht="15" hidden="false" customHeight="false" outlineLevel="0" collapsed="false">
      <c r="A49" s="25" t="s">
        <v>258</v>
      </c>
      <c r="B49" s="26" t="s">
        <v>259</v>
      </c>
      <c r="C49" s="31" t="n">
        <v>2.6741</v>
      </c>
      <c r="D49" s="31" t="n">
        <f aca="false">Power!B39</f>
        <v>2.67413793103448</v>
      </c>
      <c r="E49" s="27" t="n">
        <f aca="false">IF(ISNUMBER(D49),D49-C49,"")</f>
        <v>3.79310344826855E-005</v>
      </c>
      <c r="F49" s="28" t="str">
        <f aca="false">IF(ISNUMBER(D49),IF(ABS(E49)&lt;=0.00005,"PASS","FAIL"),"FAIL")</f>
        <v>PASS</v>
      </c>
      <c r="G49" s="29"/>
    </row>
    <row r="50" customFormat="false" ht="15" hidden="false" customHeight="false" outlineLevel="0" collapsed="false">
      <c r="A50" s="5" t="s">
        <v>258</v>
      </c>
      <c r="B50" s="4" t="s">
        <v>181</v>
      </c>
      <c r="C50" s="13" t="n">
        <v>0.7447</v>
      </c>
      <c r="D50" s="13" t="n">
        <f aca="false">Power!B76</f>
        <v>0.744652406417112</v>
      </c>
      <c r="E50" s="24" t="n">
        <f aca="false">IF(ISNUMBER(D50),D50-C50,"")</f>
        <v>-4.75935828877505E-005</v>
      </c>
      <c r="F50" s="14" t="str">
        <f aca="false">IF(ISNUMBER(D50),IF(ABS(E50)&lt;=0.00005,"PASS","FAIL"),"FAIL")</f>
        <v>PASS</v>
      </c>
      <c r="G50" s="2"/>
    </row>
    <row r="51" customFormat="false" ht="15" hidden="false" customHeight="false" outlineLevel="0" collapsed="false">
      <c r="A51" s="25" t="s">
        <v>258</v>
      </c>
      <c r="B51" s="26" t="s">
        <v>159</v>
      </c>
      <c r="C51" s="31" t="n">
        <v>7.55</v>
      </c>
      <c r="D51" s="31" t="n">
        <f aca="false">Power!B52</f>
        <v>7.55</v>
      </c>
      <c r="E51" s="27" t="n">
        <f aca="false">IF(ISNUMBER(D51),D51-C51,"")</f>
        <v>0</v>
      </c>
      <c r="F51" s="28" t="str">
        <f aca="false">IF(ISNUMBER(D51),IF(ABS(E51)&lt;=0.00005,"PASS","FAIL"),"FAIL")</f>
        <v>PASS</v>
      </c>
      <c r="G51" s="29"/>
    </row>
    <row r="52" customFormat="false" ht="15" hidden="false" customHeight="false" outlineLevel="0" collapsed="false">
      <c r="A52" s="5" t="s">
        <v>258</v>
      </c>
      <c r="B52" s="4" t="s">
        <v>260</v>
      </c>
      <c r="C52" s="20" t="n">
        <v>0.283525</v>
      </c>
      <c r="D52" s="20" t="n">
        <f aca="false">Power!B50</f>
        <v>0.283524904214559</v>
      </c>
      <c r="E52" s="24" t="n">
        <f aca="false">IF(ISNUMBER(D52),D52-C52,"")</f>
        <v>-9.57854406347103E-008</v>
      </c>
      <c r="F52" s="14" t="str">
        <f aca="false">IF(ISNUMBER(D52),IF(ABS(E52)&lt;=0.0000005,"PASS","FAIL"),"FAIL")</f>
        <v>PASS</v>
      </c>
      <c r="G52" s="2"/>
    </row>
    <row r="53" customFormat="false" ht="15" hidden="false" customHeight="false" outlineLevel="0" collapsed="false">
      <c r="A53" s="25" t="s">
        <v>258</v>
      </c>
      <c r="B53" s="26" t="s">
        <v>261</v>
      </c>
      <c r="C53" s="30" t="n">
        <v>0.716475</v>
      </c>
      <c r="D53" s="30" t="n">
        <f aca="false">Power!B53</f>
        <v>0.716475095785441</v>
      </c>
      <c r="E53" s="27" t="n">
        <f aca="false">IF(ISNUMBER(D53),D53-C53,"")</f>
        <v>9.57854406902214E-008</v>
      </c>
      <c r="F53" s="28" t="str">
        <f aca="false">IF(ISNUMBER(D53),IF(ABS(E53)&lt;=0.0000005,"PASS","FAIL"),"FAIL")</f>
        <v>PASS</v>
      </c>
      <c r="G53" s="29"/>
    </row>
    <row r="54" customFormat="false" ht="15" hidden="false" customHeight="false" outlineLevel="0" collapsed="false">
      <c r="A54" s="5" t="s">
        <v>258</v>
      </c>
      <c r="B54" s="4" t="s">
        <v>262</v>
      </c>
      <c r="C54" s="20" t="n">
        <v>0.199513</v>
      </c>
      <c r="D54" s="20" t="n">
        <f aca="false">Power!C53</f>
        <v>0.199512859087327</v>
      </c>
      <c r="E54" s="24" t="n">
        <f aca="false">IF(ISNUMBER(D54),D54-C54,"")</f>
        <v>-1.40912672808025E-007</v>
      </c>
      <c r="F54" s="14" t="str">
        <f aca="false">IF(ISNUMBER(D54),IF(ABS(E54)&lt;=0.0000005,"PASS","FAIL"),"FAIL")</f>
        <v>PASS</v>
      </c>
      <c r="G54" s="2"/>
    </row>
    <row r="55" customFormat="false" ht="15" hidden="false" customHeight="false" outlineLevel="0" collapsed="false">
      <c r="A55" s="25" t="s">
        <v>258</v>
      </c>
      <c r="B55" s="26" t="s">
        <v>263</v>
      </c>
      <c r="C55" s="31" t="n">
        <v>0.4581</v>
      </c>
      <c r="D55" s="31" t="n">
        <f aca="false">Power!B84</f>
        <v>0.458149634796341</v>
      </c>
      <c r="E55" s="27" t="n">
        <f aca="false">IF(ISNUMBER(D55),D55-C55,"")</f>
        <v>4.96347963414023E-005</v>
      </c>
      <c r="F55" s="28" t="str">
        <f aca="false">IF(ISNUMBER(D55),IF(ABS(E55)&lt;=0.00005,"PASS","FAIL"),"FAIL")</f>
        <v>PASS</v>
      </c>
      <c r="G55" s="29" t="s">
        <v>264</v>
      </c>
    </row>
    <row r="56" customFormat="false" ht="15" hidden="false" customHeight="false" outlineLevel="0" collapsed="false">
      <c r="A56" s="5" t="s">
        <v>258</v>
      </c>
      <c r="B56" s="4" t="s">
        <v>265</v>
      </c>
      <c r="C56" s="13" t="n">
        <v>0.9935</v>
      </c>
      <c r="D56" s="13" t="n">
        <f aca="false">Power!B83</f>
        <v>0.993452655129302</v>
      </c>
      <c r="E56" s="24" t="n">
        <f aca="false">IF(ISNUMBER(D56),D56-C56,"")</f>
        <v>-4.73448706982405E-005</v>
      </c>
      <c r="F56" s="14" t="str">
        <f aca="false">IF(ISNUMBER(D56),IF(ABS(E56)&lt;=0.00005,"PASS","FAIL"),"FAIL")</f>
        <v>PASS</v>
      </c>
      <c r="G56" s="2"/>
    </row>
    <row r="57" customFormat="false" ht="15" hidden="false" customHeight="false" outlineLevel="0" collapsed="false">
      <c r="A57" s="25" t="s">
        <v>258</v>
      </c>
      <c r="B57" s="26" t="s">
        <v>266</v>
      </c>
      <c r="C57" s="31" t="n">
        <v>2.645</v>
      </c>
      <c r="D57" s="31" t="n">
        <f aca="false">Power!B89</f>
        <v>2.64501362122894</v>
      </c>
      <c r="E57" s="27" t="n">
        <f aca="false">IF(ISNUMBER(D57),D57-C57,"")</f>
        <v>1.36212289372217E-005</v>
      </c>
      <c r="F57" s="28" t="str">
        <f aca="false">IF(ISNUMBER(D57),IF(ABS(E57)&lt;=0.00005,"PASS","FAIL"),"FAIL")</f>
        <v>PASS</v>
      </c>
      <c r="G57" s="29"/>
    </row>
    <row r="58" customFormat="false" ht="15" hidden="false" customHeight="false" outlineLevel="0" collapsed="false">
      <c r="A58" s="5" t="s">
        <v>258</v>
      </c>
      <c r="B58" s="4" t="s">
        <v>267</v>
      </c>
      <c r="C58" s="20" t="n">
        <v>0.797085</v>
      </c>
      <c r="D58" s="20" t="n">
        <f aca="false">Power!B90</f>
        <v>0.79708545539092</v>
      </c>
      <c r="E58" s="24" t="n">
        <f aca="false">IF(ISNUMBER(D58),D58-C58,"")</f>
        <v>4.55390919529286E-007</v>
      </c>
      <c r="F58" s="14" t="str">
        <f aca="false">IF(ISNUMBER(D58),IF(ABS(E58)&lt;=0.0000005,"PASS","FAIL"),"FAIL")</f>
        <v>PASS</v>
      </c>
      <c r="G58" s="2"/>
    </row>
    <row r="59" customFormat="false" ht="15" hidden="false" customHeight="false" outlineLevel="0" collapsed="false">
      <c r="A59" s="25" t="s">
        <v>258</v>
      </c>
      <c r="B59" s="26" t="s">
        <v>268</v>
      </c>
      <c r="C59" s="31" t="n">
        <v>2.7243</v>
      </c>
      <c r="D59" s="31" t="n">
        <f aca="false">Power!B92</f>
        <v>2.72433962264151</v>
      </c>
      <c r="E59" s="27" t="n">
        <f aca="false">IF(ISNUMBER(D59),D59-C59,"")</f>
        <v>3.96226415095846E-005</v>
      </c>
      <c r="F59" s="28" t="str">
        <f aca="false">IF(ISNUMBER(D59),IF(ABS(E59)&lt;=0.00005,"PASS","FAIL"),"FAIL")</f>
        <v>PASS</v>
      </c>
      <c r="G59" s="29"/>
    </row>
    <row r="60" customFormat="false" ht="15" hidden="false" customHeight="false" outlineLevel="0" collapsed="false">
      <c r="A60" s="5" t="s">
        <v>258</v>
      </c>
      <c r="B60" s="4" t="s">
        <v>269</v>
      </c>
      <c r="C60" s="13" t="n">
        <v>2.8372</v>
      </c>
      <c r="D60" s="13" t="n">
        <f aca="false">Power!B80</f>
        <v>2.83719512195122</v>
      </c>
      <c r="E60" s="24" t="n">
        <f aca="false">IF(ISNUMBER(D60),D60-C60,"")</f>
        <v>-4.87804878046561E-006</v>
      </c>
      <c r="F60" s="14" t="str">
        <f aca="false">IF(ISNUMBER(D60),IF(ABS(E60)&lt;=0.00005,"PASS","FAIL"),"FAIL")</f>
        <v>PASS</v>
      </c>
      <c r="G60" s="2" t="s">
        <v>270</v>
      </c>
    </row>
    <row r="61" customFormat="false" ht="15" hidden="false" customHeight="false" outlineLevel="0" collapsed="false">
      <c r="A61" s="25" t="s">
        <v>258</v>
      </c>
      <c r="B61" s="26" t="s">
        <v>271</v>
      </c>
      <c r="C61" s="18" t="n">
        <v>5</v>
      </c>
      <c r="D61" s="18" t="n">
        <f aca="false">Power!B79</f>
        <v>5</v>
      </c>
      <c r="E61" s="27" t="n">
        <f aca="false">IF(ISNUMBER(D61),D61-C61,"")</f>
        <v>0</v>
      </c>
      <c r="F61" s="28" t="str">
        <f aca="false">IF(ISNUMBER(D61),IF(ABS(E61)&lt;=0,"PASS","FAIL"),"FAIL")</f>
        <v>PASS</v>
      </c>
      <c r="G61" s="29"/>
    </row>
    <row r="62" customFormat="false" ht="15" hidden="false" customHeight="false" outlineLevel="0" collapsed="false">
      <c r="A62" s="5" t="s">
        <v>221</v>
      </c>
      <c r="B62" s="4" t="s">
        <v>272</v>
      </c>
      <c r="D62" s="5" t="str">
        <f aca="false">IF(SUMPRODUCT((COUNTIF(Power!L6:L33,ROW(Inputs!A14:A41)-13)=1)*1)=28,"holds","does not hold")</f>
        <v>holds</v>
      </c>
      <c r="F62" s="14" t="str">
        <f aca="false">IF(D62="holds","PASS","FAIL")</f>
        <v>PASS</v>
      </c>
      <c r="G62" s="2" t="s">
        <v>250</v>
      </c>
    </row>
    <row r="64" customFormat="false" ht="15" hidden="false" customHeight="false" outlineLevel="0" collapsed="false">
      <c r="B64" s="14" t="s">
        <v>273</v>
      </c>
      <c r="C64" s="34" t="n">
        <f aca="false">COUNTIF(F6:F62,"PASS")</f>
        <v>57</v>
      </c>
    </row>
    <row r="65" customFormat="false" ht="15" hidden="false" customHeight="false" outlineLevel="0" collapsed="false">
      <c r="B65" s="14" t="s">
        <v>274</v>
      </c>
      <c r="C65" s="34" t="n">
        <f aca="false">COUNTIF(F6:F62,"FAIL")</f>
        <v>0</v>
      </c>
    </row>
    <row r="66" customFormat="false" ht="15" hidden="false" customHeight="false" outlineLevel="0" collapsed="false">
      <c r="B66" s="14" t="s">
        <v>275</v>
      </c>
      <c r="C66" s="14" t="str">
        <f aca="false">IF(C64=57,"ALL OK",C65&amp;"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2026-09-24T01:20:16Z</dcterms:created>
  <dc:creator>openpyxl</dc:creator>
  <dc:description/>
  <dc:language>en-US</dc:language>
  <cp:lastModifiedBy/>
  <dcterms:modified xsi:type="dcterms:W3CDTF">2026-09-24T01:20:16Z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