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Fund" sheetId="3" state="visible" r:id="rId5"/>
    <sheet name="Reserve"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<sst xmlns="http://schemas.openxmlformats.org/spreadsheetml/2006/main" count="433" uniqueCount="309">
  <si>
    <t xml:space="preserve">The Reserve</t>
  </si>
  <si>
    <t xml:space="preserve">Companion workbook 3 of Venture Capital, by Julian R. Sterling. julianrsterling.com/venture</t>
  </si>
  <si>
    <t xml:space="preserve">What this workbook does</t>
  </si>
  <si>
    <t xml:space="preserve">The initial cheques and the follow-ons, measured separately, line by line: each tranche's proceeds, the implied step-up, and the two multiples the fund's 2.6741x averages. Then the reserve half from inside, the counterfactual of Chapter 12, and the two funds of Chapter 11 with their fees and carried interest.</t>
  </si>
  <si>
    <t xml:space="preserve">The experiment to run first</t>
  </si>
  <si>
    <t xml:space="preserve">On the Inputs sheet, set Aldwyn's reserve to 0. The reserve multiple on row 39 of the Reserve sheet falls from 1.7886x to 0.8862x, and the gap to the initial cheques widens. Then set it back to 12,000,000.</t>
  </si>
  <si>
    <t xml:space="preserve">One rule</t>
  </si>
  <si>
    <t xml:space="preserve">The counterfactual of rows 82 to 94 uses the initial cheque's final multiple, which exists only at exit. It sizes the prize for a better follow-on policy; it is not money left on the table.</t>
  </si>
  <si>
    <t xml:space="preserve">The checks</t>
  </si>
  <si>
    <t xml:space="preserve">The Checks sheet sets each figure the book prints beside the value computed here, to the precision printed. With the book's inputs every check passes.</t>
  </si>
  <si>
    <t xml:space="preserve">Revised 24 September 2026.</t>
  </si>
  <si>
    <t xml:space="preserve">The workbook is now in English, like the book. New: the reserve half from inside (the twelve that returned less than cost, the three that carried it), the fund without its best line, the cash side of the counterfactual, and the two funds of Chapter 11 with their carried interest, the lighter-terms variant and the shortcut to avoid. Checks are held to the printed precision; the first version accepted 0.05 on a multiple.</t>
  </si>
  <si>
    <t xml:space="preserve">Kelvinside Ventures Fund III: the twenty-eight lines</t>
  </si>
  <si>
    <t xml:space="preserve">Blue on pale yellow: inputs. Everything else is a formula.</t>
  </si>
  <si>
    <t xml:space="preserve">The terms of the fund</t>
  </si>
  <si>
    <t xml:space="preserve">Commitment</t>
  </si>
  <si>
    <t xml:space="preserve">Management fee, a year</t>
  </si>
  <si>
    <t xml:space="preserve">Years at the full rate on the commitment</t>
  </si>
  <si>
    <t xml:space="preserve">Carried interest</t>
  </si>
  <si>
    <t xml:space="preserve">Fund life, years</t>
  </si>
  <si>
    <t xml:space="preserve">Company</t>
  </si>
  <si>
    <t xml:space="preserve">Initial cheque</t>
  </si>
  <si>
    <t xml:space="preserve">Reserve</t>
  </si>
  <si>
    <t xml:space="preserve">Initial multiple</t>
  </si>
  <si>
    <t xml:space="preserve">Reserve multiple</t>
  </si>
  <si>
    <t xml:space="preserve">Exit year</t>
  </si>
  <si>
    <t xml:space="preserve">Invested</t>
  </si>
  <si>
    <t xml:space="preserve">Proceeds</t>
  </si>
  <si>
    <t xml:space="preserve">Multiple</t>
  </si>
  <si>
    <t xml:space="preserve">Aldwyn</t>
  </si>
  <si>
    <t xml:space="preserve">Brackenhall</t>
  </si>
  <si>
    <t xml:space="preserve">Corriemore</t>
  </si>
  <si>
    <t xml:space="preserve">Dunsyre</t>
  </si>
  <si>
    <t xml:space="preserve">Ellisland</t>
  </si>
  <si>
    <t xml:space="preserve">Fettercairn</t>
  </si>
  <si>
    <t xml:space="preserve">Glenlyon</t>
  </si>
  <si>
    <t xml:space="preserve">Hazelbank</t>
  </si>
  <si>
    <t xml:space="preserve">Inverleith</t>
  </si>
  <si>
    <t xml:space="preserve">Jedburgh</t>
  </si>
  <si>
    <t xml:space="preserve">Kirkliston</t>
  </si>
  <si>
    <t xml:space="preserve">Lauriston</t>
  </si>
  <si>
    <t xml:space="preserve">Morningside</t>
  </si>
  <si>
    <t xml:space="preserve">Newington</t>
  </si>
  <si>
    <t xml:space="preserve">Ochiltree</t>
  </si>
  <si>
    <t xml:space="preserve">Polwarth</t>
  </si>
  <si>
    <t xml:space="preserve">Quothquan</t>
  </si>
  <si>
    <t xml:space="preserve">Restalrig</t>
  </si>
  <si>
    <t xml:space="preserve">Slateford</t>
  </si>
  <si>
    <t xml:space="preserve">Torphichen</t>
  </si>
  <si>
    <t xml:space="preserve">Uddingston</t>
  </si>
  <si>
    <t xml:space="preserve">Viewforth</t>
  </si>
  <si>
    <t xml:space="preserve">Wardieburn</t>
  </si>
  <si>
    <t xml:space="preserve">Xerisburn</t>
  </si>
  <si>
    <t xml:space="preserve">Yarrowford</t>
  </si>
  <si>
    <t xml:space="preserve">Zetlandhaugh</t>
  </si>
  <si>
    <t xml:space="preserve">Abbeyhill</t>
  </si>
  <si>
    <t xml:space="preserve">Blackford</t>
  </si>
  <si>
    <t xml:space="preserve">Total</t>
  </si>
  <si>
    <t xml:space="preserve">Exit year: the year the whole position is realised, initial cheque and reserve together. A line with no reserve takes 0 in columns C and E.</t>
  </si>
  <si>
    <t xml:space="preserve">Change a cheque, a multiple or an exit year and all four workbooks move with it: each carries this same sheet.</t>
  </si>
  <si>
    <t xml:space="preserve">The fund, from the commitment to the bank account</t>
  </si>
  <si>
    <t xml:space="preserve">Fees are called: they sit inside the capital called and are not deducted from proceeds. Carried interest is deducted from distributions.</t>
  </si>
  <si>
    <t xml:space="preserve">The management fee, year by year</t>
  </si>
  <si>
    <t xml:space="preserve">Year</t>
  </si>
  <si>
    <t xml:space="preserve">Cost of positions not yet exited</t>
  </si>
  <si>
    <t xml:space="preserve">Fee</t>
  </si>
  <si>
    <t xml:space="preserve">Total fees</t>
  </si>
  <si>
    <t xml:space="preserve">As a share of the commitment</t>
  </si>
  <si>
    <t xml:space="preserve">Investable capital (commitment less fees)</t>
  </si>
  <si>
    <t xml:space="preserve">Threshold: what that capital must return to give back the commitment</t>
  </si>
  <si>
    <t xml:space="preserve">Convention: the basis after the full-rate years is the cost of every position not yet exited, reserves included, as the fund charged it (Chapter 2).</t>
  </si>
  <si>
    <t xml:space="preserve">The capital and the proceeds</t>
  </si>
  <si>
    <t xml:space="preserve">Initial cheques</t>
  </si>
  <si>
    <t xml:space="preserve">Reserves</t>
  </si>
  <si>
    <t xml:space="preserve">Total invested</t>
  </si>
  <si>
    <t xml:space="preserve">Reserves as a share of the capital invested</t>
  </si>
  <si>
    <t xml:space="preserve">Gross proceeds</t>
  </si>
  <si>
    <t xml:space="preserve">Capital called (invested plus fees)</t>
  </si>
  <si>
    <t xml:space="preserve">The four multiples of the same fund</t>
  </si>
  <si>
    <t xml:space="preserve">1. Multiple on the initial cheques</t>
  </si>
  <si>
    <t xml:space="preserve">2. Gross multiple on the capital invested</t>
  </si>
  <si>
    <t xml:space="preserve">3. Gross multiple on the commitment</t>
  </si>
  <si>
    <t xml:space="preserve">Carried interest (whole-of-fund, commitment threshold, no hurdle)</t>
  </si>
  <si>
    <t xml:space="preserve">Distributed to the limited partners</t>
  </si>
  <si>
    <t xml:space="preserve">4. Net TVPI to the limited partner (distributed over commitment)</t>
  </si>
  <si>
    <t xml:space="preserve">Spread, highest to lowest</t>
  </si>
  <si>
    <t xml:space="preserve">Ratio, highest to lowest</t>
  </si>
  <si>
    <t xml:space="preserve">What the manager takes, and the limited partner's invariant</t>
  </si>
  <si>
    <t xml:space="preserve">Fees plus carried interest</t>
  </si>
  <si>
    <t xml:space="preserve">As a share of gross proceeds</t>
  </si>
  <si>
    <t xml:space="preserve">THE LIMITED PARTNER'S NET GAIN (distributed less called)</t>
  </si>
  <si>
    <t xml:space="preserve">The same gain read on the capital invested (proceeds less fees less carried less invested)</t>
  </si>
  <si>
    <t xml:space="preserve">The two lines above must be equal: that is the invariant. Mixing the two readings counts the fee twice (row 86).</t>
  </si>
  <si>
    <t xml:space="preserve">The fee, read two ways (Chapter 2)</t>
  </si>
  <si>
    <t xml:space="preserve">Fees in the full-rate years</t>
  </si>
  <si>
    <t xml:space="preserve">  as a share of all fees</t>
  </si>
  <si>
    <t xml:space="preserve">Fees as a share of the investable capital: the gain the invested capital needs to bring the limited partner level</t>
  </si>
  <si>
    <t xml:space="preserve">The same fee rate on the commitment for the whole life, no step-down</t>
  </si>
  <si>
    <t xml:space="preserve">  investable capital without the step-down</t>
  </si>
  <si>
    <t xml:space="preserve">  threshold without the step-down</t>
  </si>
  <si>
    <t xml:space="preserve">  the threshold moves by</t>
  </si>
  <si>
    <t xml:space="preserve">What the step-down saves</t>
  </si>
  <si>
    <t xml:space="preserve">  as a share of the commitment</t>
  </si>
  <si>
    <t xml:space="preserve">Recycling (Chapter 3)</t>
  </si>
  <si>
    <t xml:space="preserve">Called above the commitment: the recycled capital</t>
  </si>
  <si>
    <t xml:space="preserve">Invested above the investable capital (the same number)</t>
  </si>
  <si>
    <t xml:space="preserve">The committee's shortcut: gross multiple on invested x investable share of the commitment</t>
  </si>
  <si>
    <t xml:space="preserve">Actual multiple on the commitment less the shortcut</t>
  </si>
  <si>
    <t xml:space="preserve">Direct route: recycled capital earning the gross multiple, over the commitment</t>
  </si>
  <si>
    <t xml:space="preserve">  in proceeds</t>
  </si>
  <si>
    <t xml:space="preserve">Break-even multiple on the capital actually at work</t>
  </si>
  <si>
    <t xml:space="preserve">  against the threshold on investable capital</t>
  </si>
  <si>
    <t xml:space="preserve">Share of the fee drag the recycling restores</t>
  </si>
  <si>
    <t xml:space="preserve">Carried paid on the recycled capital: the threshold is the commitment, not the calls</t>
  </si>
  <si>
    <t xml:space="preserve">Distributions over the capital actually called</t>
  </si>
  <si>
    <t xml:space="preserve">Fee a year on the recycled capital while it is held</t>
  </si>
  <si>
    <t xml:space="preserve">The manager's take, on four bases (Chapter 13)</t>
  </si>
  <si>
    <t xml:space="preserve">As a share of the capital called</t>
  </si>
  <si>
    <t xml:space="preserve">Gain on the capital invested (proceeds less invested)</t>
  </si>
  <si>
    <t xml:space="preserve">  take as a share of it</t>
  </si>
  <si>
    <t xml:space="preserve">Gain over the calls (proceeds less called)</t>
  </si>
  <si>
    <t xml:space="preserve">The two readings mixed: fee deducted twice (wrong, and common)</t>
  </si>
  <si>
    <t xml:space="preserve">Take as a share of the limited partner's net gain</t>
  </si>
  <si>
    <t xml:space="preserve">Carried as a share of the gain on invested</t>
  </si>
  <si>
    <t xml:space="preserve">Carried as a share of the gain over calls</t>
  </si>
  <si>
    <t xml:space="preserve">"Twenty per cent of the gain" on invested, as heard</t>
  </si>
  <si>
    <t xml:space="preserve">  actual take over that</t>
  </si>
  <si>
    <t xml:space="preserve">"Twenty per cent" of the gain over calls</t>
  </si>
  <si>
    <t xml:space="preserve">Fees a year, over the life</t>
  </si>
  <si>
    <t xml:space="preserve">Fees per position</t>
  </si>
  <si>
    <t xml:space="preserve">The initial cheque and the follow-on, measured separately</t>
  </si>
  <si>
    <t xml:space="preserve">Half the fund goes in after the decision. It does not return the same.</t>
  </si>
  <si>
    <t xml:space="preserve">Initial</t>
  </si>
  <si>
    <t xml:space="preserve">Initial proceeds</t>
  </si>
  <si>
    <t xml:space="preserve">Reserve proceeds</t>
  </si>
  <si>
    <t xml:space="preserve">Implied step-up</t>
  </si>
  <si>
    <t xml:space="preserve">Followed</t>
  </si>
  <si>
    <t xml:space="preserve">Position multiple</t>
  </si>
  <si>
    <t xml:space="preserve">Reserve over cheque</t>
  </si>
  <si>
    <t xml:space="preserve">The two halves</t>
  </si>
  <si>
    <t xml:space="preserve">MULTIPLE ON THE INITIAL CHEQUES</t>
  </si>
  <si>
    <t xml:space="preserve">MULTIPLE ON THE RESERVES</t>
  </si>
  <si>
    <t xml:space="preserve">Gap, in turns</t>
  </si>
  <si>
    <t xml:space="preserve">Ratio</t>
  </si>
  <si>
    <t xml:space="preserve">The blended multiple the fund publishes</t>
  </si>
  <si>
    <t xml:space="preserve">Share of the fund placed at the lower multiple</t>
  </si>
  <si>
    <t xml:space="preserve">Companies that received a follow-on</t>
  </si>
  <si>
    <t xml:space="preserve">Management fee borne by the reserves, pro rata to capital</t>
  </si>
  <si>
    <t xml:space="preserve">Management fee borne by the initial cheques</t>
  </si>
  <si>
    <t xml:space="preserve">  fee as a share of the capital it sits on (both halves)</t>
  </si>
  <si>
    <t xml:space="preserve">Initial cheques, with their fees in the denominator</t>
  </si>
  <si>
    <t xml:space="preserve">Reserves, with their fees in the denominator</t>
  </si>
  <si>
    <t xml:space="preserve">  ratio: a pro rata cost cannot move it</t>
  </si>
  <si>
    <t xml:space="preserve">Initial cheques' share of the proceeds</t>
  </si>
  <si>
    <t xml:space="preserve">Reserves' share of the proceeds</t>
  </si>
  <si>
    <t xml:space="preserve">Inside the reserve half</t>
  </si>
  <si>
    <t xml:space="preserve">Reserves that returned less than their cost</t>
  </si>
  <si>
    <t xml:space="preserve">  their capital</t>
  </si>
  <si>
    <t xml:space="preserve">  their proceeds</t>
  </si>
  <si>
    <t xml:space="preserve">  their multiple</t>
  </si>
  <si>
    <t xml:space="preserve">  share of reserve capital</t>
  </si>
  <si>
    <t xml:space="preserve">The largest reserve's share of reserve proceeds</t>
  </si>
  <si>
    <t xml:space="preserve">The other reserves, without the largest reserve's proceeds</t>
  </si>
  <si>
    <t xml:space="preserve">Reserves in the three positions with the largest proceeds</t>
  </si>
  <si>
    <t xml:space="preserve">  their share of reserve proceeds</t>
  </si>
  <si>
    <t xml:space="preserve">Reserves in positions that returned less than their total cost</t>
  </si>
  <si>
    <t xml:space="preserve">Initial cheques of the companies followed</t>
  </si>
  <si>
    <t xml:space="preserve">  reserves as a multiple of those cheques</t>
  </si>
  <si>
    <t xml:space="preserve">  share of the fund invested in the companies followed</t>
  </si>
  <si>
    <t xml:space="preserve">Companies never followed</t>
  </si>
  <si>
    <t xml:space="preserve">  share of the initial capital</t>
  </si>
  <si>
    <t xml:space="preserve">  share of the fund</t>
  </si>
  <si>
    <t xml:space="preserve">Average initial cheque, and average reserve cheque</t>
  </si>
  <si>
    <t xml:space="preserve">Without the best line</t>
  </si>
  <si>
    <t xml:space="preserve">Row of the position with the largest proceeds</t>
  </si>
  <si>
    <t xml:space="preserve">Initial cheques without it</t>
  </si>
  <si>
    <t xml:space="preserve">Reserves without it</t>
  </si>
  <si>
    <t xml:space="preserve">The counterfactual: withhold the reserves from lines whose initial cheque is below cost (Chapter 12)</t>
  </si>
  <si>
    <t xml:space="preserve">Reserves so withheld</t>
  </si>
  <si>
    <t xml:space="preserve">Proceeds so withheld</t>
  </si>
  <si>
    <t xml:space="preserve">MULTIPLE OF THE FUND WITHOUT THOSE RESERVES</t>
  </si>
  <si>
    <t xml:space="preserve">Gain in multiple</t>
  </si>
  <si>
    <t xml:space="preserve">Distributed to the limited partner</t>
  </si>
  <si>
    <t xml:space="preserve">Net TVPI on the commitment</t>
  </si>
  <si>
    <t xml:space="preserve">Capital called, fees held</t>
  </si>
  <si>
    <t xml:space="preserve">Limited partner better off in cash (kept the reserves, lost some distribution)</t>
  </si>
  <si>
    <t xml:space="preserve">The same line drawn at 1.00x inclusive: multiple</t>
  </si>
  <si>
    <t xml:space="preserve">A rear-view mirror: on the day of the follow-on, the initial cheque's final multiple is not known. The rows size the prize; they are not a policy.</t>
  </si>
  <si>
    <t xml:space="preserve">Two funds glued together (Chapter 11)</t>
  </si>
  <si>
    <t xml:space="preserve">Seed</t>
  </si>
  <si>
    <t xml:space="preserve">Growth</t>
  </si>
  <si>
    <t xml:space="preserve">Both</t>
  </si>
  <si>
    <t xml:space="preserve">Positions</t>
  </si>
  <si>
    <t xml:space="preserve">Capital invested</t>
  </si>
  <si>
    <t xml:space="preserve">Management fees, pro rata</t>
  </si>
  <si>
    <t xml:space="preserve">Paid in by the investors</t>
  </si>
  <si>
    <t xml:space="preserve">Gross multiple on capital</t>
  </si>
  <si>
    <t xml:space="preserve">Carried interest, each half on its own paid-in</t>
  </si>
  <si>
    <t xml:space="preserve">Distributed, net</t>
  </si>
  <si>
    <t xml:space="preserve">Net multiple to the investor</t>
  </si>
  <si>
    <t xml:space="preserve">Manager's take</t>
  </si>
  <si>
    <t xml:space="preserve">  as a share of the half's proceeds</t>
  </si>
  <si>
    <t xml:space="preserve">Carried interest of the fund as one (commitment threshold)</t>
  </si>
  <si>
    <t xml:space="preserve">  the two halves pay less by</t>
  </si>
  <si>
    <t xml:space="preserve">The growth half on lighter terms (Chapter 11)</t>
  </si>
  <si>
    <t xml:space="preserve">Fee on the growth half, as a share of the actual rate</t>
  </si>
  <si>
    <t xml:space="preserve">Carried rate on the growth half</t>
  </si>
  <si>
    <t xml:space="preserve">Fees</t>
  </si>
  <si>
    <t xml:space="preserve">Paid in</t>
  </si>
  <si>
    <t xml:space="preserve">Total charged</t>
  </si>
  <si>
    <t xml:space="preserve">Total charged at the actual terms</t>
  </si>
  <si>
    <t xml:space="preserve">SAVING TO THE INVESTOR</t>
  </si>
  <si>
    <t xml:space="preserve">  share of the commitment</t>
  </si>
  <si>
    <t xml:space="preserve">  share of the growth half's proceeds</t>
  </si>
  <si>
    <t xml:space="preserve">Net multiple on the growth half at lighter terms</t>
  </si>
  <si>
    <t xml:space="preserve">  improvement, in turns</t>
  </si>
  <si>
    <t xml:space="preserve">The shortcut to avoid</t>
  </si>
  <si>
    <t xml:space="preserve">Carried allocated to the growth half in proportion to proceeds</t>
  </si>
  <si>
    <t xml:space="preserve">  overstatement against the excess-based figure</t>
  </si>
  <si>
    <t xml:space="preserve">Checks</t>
  </si>
  <si>
    <t xml:space="preserve">Each line sets a figure printed in the book beside the value this workbook computes, to the precision printed.</t>
  </si>
  <si>
    <t xml:space="preserve">Ch.</t>
  </si>
  <si>
    <t xml:space="preserve">Figure</t>
  </si>
  <si>
    <t xml:space="preserve">The book</t>
  </si>
  <si>
    <t xml:space="preserve">This workbook</t>
  </si>
  <si>
    <t xml:space="preserve">Difference</t>
  </si>
  <si>
    <t xml:space="preserve">Result</t>
  </si>
  <si>
    <t xml:space="preserve">Note</t>
  </si>
  <si>
    <t xml:space="preserve">9</t>
  </si>
  <si>
    <t xml:space="preserve">  of the commitment</t>
  </si>
  <si>
    <t xml:space="preserve">  of the investable capital</t>
  </si>
  <si>
    <t xml:space="preserve">Companies followed</t>
  </si>
  <si>
    <t xml:space="preserve">  reserves as a multiple of them</t>
  </si>
  <si>
    <t xml:space="preserve">  share of the fund in the companies followed</t>
  </si>
  <si>
    <t xml:space="preserve">all twelve returned nothing</t>
  </si>
  <si>
    <t xml:space="preserve">Aldwyn: implied step-up</t>
  </si>
  <si>
    <t xml:space="preserve">Corriemore: implied step-up</t>
  </si>
  <si>
    <t xml:space="preserve">Hazelbank: implied step-up</t>
  </si>
  <si>
    <t xml:space="preserve">Ochiltree: implied step-up</t>
  </si>
  <si>
    <t xml:space="preserve">Aldwyn's reserve: share of the fund invested</t>
  </si>
  <si>
    <t xml:space="preserve">  share of everything returned</t>
  </si>
  <si>
    <t xml:space="preserve">8</t>
  </si>
  <si>
    <t xml:space="preserve">Average initial cheque</t>
  </si>
  <si>
    <t xml:space="preserve">Average reserve cheque</t>
  </si>
  <si>
    <t xml:space="preserve">  the follow-on decision is larger by</t>
  </si>
  <si>
    <t xml:space="preserve">Reserves in the three largest positions</t>
  </si>
  <si>
    <t xml:space="preserve">  share of reserve proceeds</t>
  </si>
  <si>
    <t xml:space="preserve">Reserves in positions below total cost</t>
  </si>
  <si>
    <t xml:space="preserve">10</t>
  </si>
  <si>
    <t xml:space="preserve">Multiple on the initial cheques</t>
  </si>
  <si>
    <t xml:space="preserve">Multiple on the reserves</t>
  </si>
  <si>
    <t xml:space="preserve">Gap</t>
  </si>
  <si>
    <t xml:space="preserve">Blended</t>
  </si>
  <si>
    <t xml:space="preserve">Proceeds of the initial cheques</t>
  </si>
  <si>
    <t xml:space="preserve">Proceeds of the reserves</t>
  </si>
  <si>
    <t xml:space="preserve">Fee borne by the reserves, pro rata</t>
  </si>
  <si>
    <t xml:space="preserve">Initial cheques with their fees</t>
  </si>
  <si>
    <t xml:space="preserve">Reserves with their fees</t>
  </si>
  <si>
    <t xml:space="preserve">The ratio does not move with a pro rata fee</t>
  </si>
  <si>
    <t xml:space="preserve">any inputs</t>
  </si>
  <si>
    <t xml:space="preserve">Reserves below cost</t>
  </si>
  <si>
    <t xml:space="preserve">Aldwyn's reserve: share of reserve proceeds</t>
  </si>
  <si>
    <t xml:space="preserve">The other fifteen reserves</t>
  </si>
  <si>
    <t xml:space="preserve">Without Aldwyn: initial cheques</t>
  </si>
  <si>
    <t xml:space="preserve">Without Aldwyn: reserves</t>
  </si>
  <si>
    <t xml:space="preserve">Without Aldwyn: ratio</t>
  </si>
  <si>
    <t xml:space="preserve">11</t>
  </si>
  <si>
    <t xml:space="preserve">Fee borne by the initial cheques</t>
  </si>
  <si>
    <t xml:space="preserve">Fee as a share of the capital it sits on</t>
  </si>
  <si>
    <t xml:space="preserve">Seed paid in</t>
  </si>
  <si>
    <t xml:space="preserve">Growth paid in</t>
  </si>
  <si>
    <t xml:space="preserve">The two paid-in lines add to the calls</t>
  </si>
  <si>
    <t xml:space="preserve">Seed carried</t>
  </si>
  <si>
    <t xml:space="preserve">Growth carried</t>
  </si>
  <si>
    <t xml:space="preserve">The two carried together</t>
  </si>
  <si>
    <t xml:space="preserve">  less than the fund's by</t>
  </si>
  <si>
    <t xml:space="preserve">Seed distributed, net</t>
  </si>
  <si>
    <t xml:space="preserve">Growth distributed, net</t>
  </si>
  <si>
    <t xml:space="preserve">Seed net multiple</t>
  </si>
  <si>
    <t xml:space="preserve">Growth net multiple</t>
  </si>
  <si>
    <t xml:space="preserve">Take on the seed half</t>
  </si>
  <si>
    <t xml:space="preserve">  share of its proceeds</t>
  </si>
  <si>
    <t xml:space="preserve">Take on the growth half</t>
  </si>
  <si>
    <t xml:space="preserve">Growth fees at half the rate</t>
  </si>
  <si>
    <t xml:space="preserve">  paid in</t>
  </si>
  <si>
    <t xml:space="preserve">  carried at 10 per cent</t>
  </si>
  <si>
    <t xml:space="preserve">  total charged</t>
  </si>
  <si>
    <t xml:space="preserve">the book adds the two rounded parts</t>
  </si>
  <si>
    <t xml:space="preserve">Saving to the investor</t>
  </si>
  <si>
    <t xml:space="preserve">  share of the growth proceeds</t>
  </si>
  <si>
    <t xml:space="preserve">Growth net multiple at lighter terms</t>
  </si>
  <si>
    <t xml:space="preserve">  improvement</t>
  </si>
  <si>
    <t xml:space="preserve">Carried allocated by proceeds</t>
  </si>
  <si>
    <t xml:space="preserve">  overstatement</t>
  </si>
  <si>
    <t xml:space="preserve">12</t>
  </si>
  <si>
    <t xml:space="preserve">Reserves withheld</t>
  </si>
  <si>
    <t xml:space="preserve">Proceeds withheld</t>
  </si>
  <si>
    <t xml:space="preserve">The fund without them</t>
  </si>
  <si>
    <t xml:space="preserve">Carried</t>
  </si>
  <si>
    <t xml:space="preserve">Distributed</t>
  </si>
  <si>
    <t xml:space="preserve">Called</t>
  </si>
  <si>
    <t xml:space="preserve">Limited partner better off in cash</t>
  </si>
  <si>
    <t xml:space="preserve">With the 1.00x line included</t>
  </si>
  <si>
    <t xml:space="preserve">Jedburgh: blended</t>
  </si>
  <si>
    <t xml:space="preserve">Hazelbank: blended</t>
  </si>
  <si>
    <t xml:space="preserve">the book rounds to 0.93x</t>
  </si>
  <si>
    <t xml:space="preserve">Checks that pass</t>
  </si>
  <si>
    <t xml:space="preserve">Checks that fail</t>
  </si>
  <si>
    <t xml:space="preserve">All checks</t>
  </si>
</sst>
</file>

<file path=xl/styles.xml><?xml version="1.0" encoding="utf-8"?>
<styleSheet xmlns="http://schemas.openxmlformats.org/spreadsheetml/2006/main">
  <numFmts count="10">
    <numFmt numFmtId="164" formatCode="General"/>
    <numFmt numFmtId="165" formatCode="#,##0;\-#,##0"/>
    <numFmt numFmtId="166" formatCode="0.00%"/>
    <numFmt numFmtId="167" formatCode="0"/>
    <numFmt numFmtId="168" formatCode="0.00"/>
    <numFmt numFmtId="169" formatCode="0.0000\x"/>
    <numFmt numFmtId="170" formatCode="0.0000%"/>
    <numFmt numFmtId="171" formatCode="0.0000"/>
    <numFmt numFmtId="172" formatCode="0%"/>
    <numFmt numFmtId="173" formatCode="0.000000"/>
  </numFmts>
  <fonts count="11">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3">
    <border diagonalUp="false" diagonalDown="false">
      <left/>
      <right/>
      <top/>
      <bottom/>
      <diagonal/>
    </border>
    <border diagonalUp="false" diagonalDown="false">
      <left/>
      <right/>
      <top/>
      <bottom style="thin">
        <color rgb="FF1F4E5F"/>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2" xfId="0" applyFont="true" applyBorder="true" applyAlignment="false" applyProtection="false">
      <alignment horizontal="general"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7" fontId="8"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false" applyProtection="false">
      <alignment horizontal="general" vertical="bottom" textRotation="0" wrapText="false" indent="0" shrinkToFit="false"/>
      <protection locked="true" hidden="false"/>
    </xf>
    <xf numFmtId="168" fontId="8" fillId="2" borderId="2"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72" fontId="8" fillId="2" borderId="2" xfId="0" applyFont="true" applyBorder="tru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3B2"/>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60" hidden="false" customHeight="true" outlineLevel="0" collapsed="false">
      <c r="A7" s="4" t="s">
        <v>3</v>
      </c>
    </row>
    <row r="9" customFormat="false" ht="15" hidden="false" customHeight="false" outlineLevel="0" collapsed="false">
      <c r="A9" s="3" t="s">
        <v>4</v>
      </c>
    </row>
    <row r="11" customFormat="false" ht="45" hidden="false" customHeight="true" outlineLevel="0" collapsed="false">
      <c r="A11" s="4" t="s">
        <v>5</v>
      </c>
    </row>
    <row r="13" customFormat="false" ht="15" hidden="false" customHeight="false" outlineLevel="0" collapsed="false">
      <c r="A13" s="3" t="s">
        <v>6</v>
      </c>
    </row>
    <row r="15" customFormat="false" ht="30" hidden="false" customHeight="true" outlineLevel="0" collapsed="false">
      <c r="A15" s="4" t="s">
        <v>7</v>
      </c>
    </row>
    <row r="17" customFormat="false" ht="15" hidden="false" customHeight="false" outlineLevel="0" collapsed="false">
      <c r="A17" s="3" t="s">
        <v>8</v>
      </c>
    </row>
    <row r="19" customFormat="false" ht="30" hidden="false" customHeight="true" outlineLevel="0" collapsed="false">
      <c r="A19" s="4" t="s">
        <v>9</v>
      </c>
    </row>
    <row r="21" customFormat="false" ht="15" hidden="false" customHeight="false" outlineLevel="0" collapsed="false">
      <c r="A21" s="3" t="s">
        <v>10</v>
      </c>
    </row>
    <row r="23" customFormat="false" ht="75" hidden="false" customHeight="true" outlineLevel="0" collapsed="false">
      <c r="A23" s="4"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3" min="2" style="0" width="16"/>
    <col collapsed="false" customWidth="true" hidden="false" outlineLevel="0" max="5" min="4" style="0" width="14"/>
    <col collapsed="false" customWidth="true" hidden="false" outlineLevel="0" max="6" min="6" style="0" width="10"/>
    <col collapsed="false" customWidth="true" hidden="false" outlineLevel="0" max="8" min="7" style="0" width="18"/>
    <col collapsed="false" customWidth="true" hidden="false" outlineLevel="0" max="9" min="9" style="0" width="12"/>
  </cols>
  <sheetData>
    <row r="1" customFormat="false" ht="19.7" hidden="false" customHeight="false" outlineLevel="0" collapsed="false">
      <c r="A1" s="1" t="s">
        <v>12</v>
      </c>
    </row>
    <row r="2" customFormat="false" ht="15" hidden="false" customHeight="false" outlineLevel="0" collapsed="false">
      <c r="A2" s="2" t="s">
        <v>13</v>
      </c>
    </row>
    <row r="5" customFormat="false" ht="15" hidden="false" customHeight="false" outlineLevel="0" collapsed="false">
      <c r="A5" s="3" t="s">
        <v>14</v>
      </c>
    </row>
    <row r="7" customFormat="false" ht="15" hidden="false" customHeight="false" outlineLevel="0" collapsed="false">
      <c r="A7" s="5" t="s">
        <v>15</v>
      </c>
      <c r="B7" s="6" t="n">
        <v>150000000</v>
      </c>
    </row>
    <row r="8" customFormat="false" ht="15" hidden="false" customHeight="false" outlineLevel="0" collapsed="false">
      <c r="A8" s="5" t="s">
        <v>16</v>
      </c>
      <c r="B8" s="7" t="n">
        <v>0.02</v>
      </c>
    </row>
    <row r="9" customFormat="false" ht="15" hidden="false" customHeight="false" outlineLevel="0" collapsed="false">
      <c r="A9" s="5" t="s">
        <v>17</v>
      </c>
      <c r="B9" s="8" t="n">
        <v>5</v>
      </c>
    </row>
    <row r="10" customFormat="false" ht="15" hidden="false" customHeight="false" outlineLevel="0" collapsed="false">
      <c r="A10" s="5" t="s">
        <v>18</v>
      </c>
      <c r="B10" s="7" t="n">
        <v>0.2</v>
      </c>
    </row>
    <row r="11" customFormat="false" ht="15" hidden="false" customHeight="false" outlineLevel="0" collapsed="false">
      <c r="A11" s="5" t="s">
        <v>19</v>
      </c>
      <c r="B11" s="8" t="n">
        <v>10</v>
      </c>
    </row>
    <row r="13" customFormat="false" ht="23.85" hidden="false" customHeight="false" outlineLevel="0" collapsed="false">
      <c r="A13" s="9" t="s">
        <v>20</v>
      </c>
      <c r="B13" s="9" t="s">
        <v>21</v>
      </c>
      <c r="C13" s="9" t="s">
        <v>22</v>
      </c>
      <c r="D13" s="9" t="s">
        <v>23</v>
      </c>
      <c r="E13" s="9" t="s">
        <v>24</v>
      </c>
      <c r="F13" s="9" t="s">
        <v>25</v>
      </c>
      <c r="G13" s="9" t="s">
        <v>26</v>
      </c>
      <c r="H13" s="9" t="s">
        <v>27</v>
      </c>
      <c r="I13" s="9" t="s">
        <v>28</v>
      </c>
    </row>
    <row r="14" customFormat="false" ht="15" hidden="false" customHeight="false" outlineLevel="0" collapsed="false">
      <c r="A14" s="10" t="s">
        <v>29</v>
      </c>
      <c r="B14" s="6" t="n">
        <v>3000000</v>
      </c>
      <c r="C14" s="6" t="n">
        <v>12000000</v>
      </c>
      <c r="D14" s="11" t="n">
        <v>42</v>
      </c>
      <c r="E14" s="11" t="n">
        <v>6</v>
      </c>
      <c r="F14" s="8" t="n">
        <v>9</v>
      </c>
      <c r="G14" s="12" t="n">
        <f aca="false">B14+C14</f>
        <v>15000000</v>
      </c>
      <c r="H14" s="12" t="n">
        <f aca="false">B14*D14+C14*E14</f>
        <v>198000000</v>
      </c>
      <c r="I14" s="13" t="n">
        <f aca="false">IF(G14=0,"",H14/G14)</f>
        <v>13.2</v>
      </c>
    </row>
    <row r="15" customFormat="false" ht="15" hidden="false" customHeight="false" outlineLevel="0" collapsed="false">
      <c r="A15" s="10" t="s">
        <v>30</v>
      </c>
      <c r="B15" s="6" t="n">
        <v>2500000</v>
      </c>
      <c r="C15" s="6" t="n">
        <v>9000000</v>
      </c>
      <c r="D15" s="11" t="n">
        <v>14</v>
      </c>
      <c r="E15" s="11" t="n">
        <v>2</v>
      </c>
      <c r="F15" s="8" t="n">
        <v>8</v>
      </c>
      <c r="G15" s="12" t="n">
        <f aca="false">B15+C15</f>
        <v>11500000</v>
      </c>
      <c r="H15" s="12" t="n">
        <f aca="false">B15*D15+C15*E15</f>
        <v>53000000</v>
      </c>
      <c r="I15" s="13" t="n">
        <f aca="false">IF(G15=0,"",H15/G15)</f>
        <v>4.60869565217391</v>
      </c>
    </row>
    <row r="16" customFormat="false" ht="15" hidden="false" customHeight="false" outlineLevel="0" collapsed="false">
      <c r="A16" s="10" t="s">
        <v>31</v>
      </c>
      <c r="B16" s="6" t="n">
        <v>3000000</v>
      </c>
      <c r="C16" s="6" t="n">
        <v>7500000</v>
      </c>
      <c r="D16" s="11" t="n">
        <v>6.2</v>
      </c>
      <c r="E16" s="11" t="n">
        <v>1.3</v>
      </c>
      <c r="F16" s="8" t="n">
        <v>9</v>
      </c>
      <c r="G16" s="12" t="n">
        <f aca="false">B16+C16</f>
        <v>10500000</v>
      </c>
      <c r="H16" s="12" t="n">
        <f aca="false">B16*D16+C16*E16</f>
        <v>28350000</v>
      </c>
      <c r="I16" s="13" t="n">
        <f aca="false">IF(G16=0,"",H16/G16)</f>
        <v>2.7</v>
      </c>
    </row>
    <row r="17" customFormat="false" ht="15" hidden="false" customHeight="false" outlineLevel="0" collapsed="false">
      <c r="A17" s="10" t="s">
        <v>32</v>
      </c>
      <c r="B17" s="6" t="n">
        <v>2500000</v>
      </c>
      <c r="C17" s="6" t="n">
        <v>6000000</v>
      </c>
      <c r="D17" s="11" t="n">
        <v>4.4</v>
      </c>
      <c r="E17" s="11" t="n">
        <v>1</v>
      </c>
      <c r="F17" s="8" t="n">
        <v>7</v>
      </c>
      <c r="G17" s="12" t="n">
        <f aca="false">B17+C17</f>
        <v>8500000</v>
      </c>
      <c r="H17" s="12" t="n">
        <f aca="false">B17*D17+C17*E17</f>
        <v>17000000</v>
      </c>
      <c r="I17" s="13" t="n">
        <f aca="false">IF(G17=0,"",H17/G17)</f>
        <v>2</v>
      </c>
    </row>
    <row r="18" customFormat="false" ht="15" hidden="false" customHeight="false" outlineLevel="0" collapsed="false">
      <c r="A18" s="10" t="s">
        <v>33</v>
      </c>
      <c r="B18" s="6" t="n">
        <v>2500000</v>
      </c>
      <c r="C18" s="6" t="n">
        <v>5500000</v>
      </c>
      <c r="D18" s="11" t="n">
        <v>3.6</v>
      </c>
      <c r="E18" s="11" t="n">
        <v>0.85</v>
      </c>
      <c r="F18" s="8" t="n">
        <v>8</v>
      </c>
      <c r="G18" s="12" t="n">
        <f aca="false">B18+C18</f>
        <v>8000000</v>
      </c>
      <c r="H18" s="12" t="n">
        <f aca="false">B18*D18+C18*E18</f>
        <v>13675000</v>
      </c>
      <c r="I18" s="13" t="n">
        <f aca="false">IF(G18=0,"",H18/G18)</f>
        <v>1.709375</v>
      </c>
    </row>
    <row r="19" customFormat="false" ht="15" hidden="false" customHeight="false" outlineLevel="0" collapsed="false">
      <c r="A19" s="10" t="s">
        <v>34</v>
      </c>
      <c r="B19" s="6" t="n">
        <v>2500000</v>
      </c>
      <c r="C19" s="6" t="n">
        <v>5000000</v>
      </c>
      <c r="D19" s="11" t="n">
        <v>2.8</v>
      </c>
      <c r="E19" s="11" t="n">
        <v>0.7</v>
      </c>
      <c r="F19" s="8" t="n">
        <v>10</v>
      </c>
      <c r="G19" s="12" t="n">
        <f aca="false">B19+C19</f>
        <v>7500000</v>
      </c>
      <c r="H19" s="12" t="n">
        <f aca="false">B19*D19+C19*E19</f>
        <v>10500000</v>
      </c>
      <c r="I19" s="13" t="n">
        <f aca="false">IF(G19=0,"",H19/G19)</f>
        <v>1.4</v>
      </c>
    </row>
    <row r="20" customFormat="false" ht="15" hidden="false" customHeight="false" outlineLevel="0" collapsed="false">
      <c r="A20" s="10" t="s">
        <v>35</v>
      </c>
      <c r="B20" s="6" t="n">
        <v>2500000</v>
      </c>
      <c r="C20" s="6" t="n">
        <v>4500000</v>
      </c>
      <c r="D20" s="11" t="n">
        <v>2.3</v>
      </c>
      <c r="E20" s="11" t="n">
        <v>0.6</v>
      </c>
      <c r="F20" s="8" t="n">
        <v>7</v>
      </c>
      <c r="G20" s="12" t="n">
        <f aca="false">B20+C20</f>
        <v>7000000</v>
      </c>
      <c r="H20" s="12" t="n">
        <f aca="false">B20*D20+C20*E20</f>
        <v>8450000</v>
      </c>
      <c r="I20" s="13" t="n">
        <f aca="false">IF(G20=0,"",H20/G20)</f>
        <v>1.20714285714286</v>
      </c>
    </row>
    <row r="21" customFormat="false" ht="15" hidden="false" customHeight="false" outlineLevel="0" collapsed="false">
      <c r="A21" s="10" t="s">
        <v>36</v>
      </c>
      <c r="B21" s="6" t="n">
        <v>2500000</v>
      </c>
      <c r="C21" s="6" t="n">
        <v>4000000</v>
      </c>
      <c r="D21" s="11" t="n">
        <v>1.7</v>
      </c>
      <c r="E21" s="11" t="n">
        <v>0.45</v>
      </c>
      <c r="F21" s="8" t="n">
        <v>9</v>
      </c>
      <c r="G21" s="12" t="n">
        <f aca="false">B21+C21</f>
        <v>6500000</v>
      </c>
      <c r="H21" s="12" t="n">
        <f aca="false">B21*D21+C21*E21</f>
        <v>6050000</v>
      </c>
      <c r="I21" s="13" t="n">
        <f aca="false">IF(G21=0,"",H21/G21)</f>
        <v>0.930769230769231</v>
      </c>
    </row>
    <row r="22" customFormat="false" ht="15" hidden="false" customHeight="false" outlineLevel="0" collapsed="false">
      <c r="A22" s="10" t="s">
        <v>37</v>
      </c>
      <c r="B22" s="6" t="n">
        <v>2500000</v>
      </c>
      <c r="C22" s="6" t="n">
        <v>3500000</v>
      </c>
      <c r="D22" s="11" t="n">
        <v>1.3</v>
      </c>
      <c r="E22" s="11" t="n">
        <v>0.35</v>
      </c>
      <c r="F22" s="8" t="n">
        <v>8</v>
      </c>
      <c r="G22" s="12" t="n">
        <f aca="false">B22+C22</f>
        <v>6000000</v>
      </c>
      <c r="H22" s="12" t="n">
        <f aca="false">B22*D22+C22*E22</f>
        <v>4475000</v>
      </c>
      <c r="I22" s="13" t="n">
        <f aca="false">IF(G22=0,"",H22/G22)</f>
        <v>0.745833333333333</v>
      </c>
    </row>
    <row r="23" customFormat="false" ht="15" hidden="false" customHeight="false" outlineLevel="0" collapsed="false">
      <c r="A23" s="10" t="s">
        <v>38</v>
      </c>
      <c r="B23" s="6" t="n">
        <v>2500000</v>
      </c>
      <c r="C23" s="6" t="n">
        <v>3000000</v>
      </c>
      <c r="D23" s="11" t="n">
        <v>1</v>
      </c>
      <c r="E23" s="11" t="n">
        <v>0.3</v>
      </c>
      <c r="F23" s="8" t="n">
        <v>10</v>
      </c>
      <c r="G23" s="12" t="n">
        <f aca="false">B23+C23</f>
        <v>5500000</v>
      </c>
      <c r="H23" s="12" t="n">
        <f aca="false">B23*D23+C23*E23</f>
        <v>3400000</v>
      </c>
      <c r="I23" s="13" t="n">
        <f aca="false">IF(G23=0,"",H23/G23)</f>
        <v>0.618181818181818</v>
      </c>
    </row>
    <row r="24" customFormat="false" ht="15" hidden="false" customHeight="false" outlineLevel="0" collapsed="false">
      <c r="A24" s="10" t="s">
        <v>39</v>
      </c>
      <c r="B24" s="6" t="n">
        <v>2500000</v>
      </c>
      <c r="C24" s="6" t="n">
        <v>2500000</v>
      </c>
      <c r="D24" s="11" t="n">
        <v>0.8</v>
      </c>
      <c r="E24" s="11" t="n">
        <v>0.22</v>
      </c>
      <c r="F24" s="8" t="n">
        <v>6</v>
      </c>
      <c r="G24" s="12" t="n">
        <f aca="false">B24+C24</f>
        <v>5000000</v>
      </c>
      <c r="H24" s="12" t="n">
        <f aca="false">B24*D24+C24*E24</f>
        <v>2550000</v>
      </c>
      <c r="I24" s="13" t="n">
        <f aca="false">IF(G24=0,"",H24/G24)</f>
        <v>0.51</v>
      </c>
    </row>
    <row r="25" customFormat="false" ht="15" hidden="false" customHeight="false" outlineLevel="0" collapsed="false">
      <c r="A25" s="10" t="s">
        <v>40</v>
      </c>
      <c r="B25" s="6" t="n">
        <v>2500000</v>
      </c>
      <c r="C25" s="6" t="n">
        <v>2000000</v>
      </c>
      <c r="D25" s="11" t="n">
        <v>0.55</v>
      </c>
      <c r="E25" s="11" t="n">
        <v>0.15</v>
      </c>
      <c r="F25" s="8" t="n">
        <v>7</v>
      </c>
      <c r="G25" s="12" t="n">
        <f aca="false">B25+C25</f>
        <v>4500000</v>
      </c>
      <c r="H25" s="12" t="n">
        <f aca="false">B25*D25+C25*E25</f>
        <v>1675000</v>
      </c>
      <c r="I25" s="13" t="n">
        <f aca="false">IF(G25=0,"",H25/G25)</f>
        <v>0.372222222222222</v>
      </c>
    </row>
    <row r="26" customFormat="false" ht="15" hidden="false" customHeight="false" outlineLevel="0" collapsed="false">
      <c r="A26" s="10" t="s">
        <v>41</v>
      </c>
      <c r="B26" s="6" t="n">
        <v>2500000</v>
      </c>
      <c r="C26" s="6" t="n">
        <v>1500000</v>
      </c>
      <c r="D26" s="11" t="n">
        <v>0.35</v>
      </c>
      <c r="E26" s="11" t="n">
        <v>0.1</v>
      </c>
      <c r="F26" s="8" t="n">
        <v>6</v>
      </c>
      <c r="G26" s="12" t="n">
        <f aca="false">B26+C26</f>
        <v>4000000</v>
      </c>
      <c r="H26" s="12" t="n">
        <f aca="false">B26*D26+C26*E26</f>
        <v>1025000</v>
      </c>
      <c r="I26" s="13" t="n">
        <f aca="false">IF(G26=0,"",H26/G26)</f>
        <v>0.25625</v>
      </c>
    </row>
    <row r="27" customFormat="false" ht="15" hidden="false" customHeight="false" outlineLevel="0" collapsed="false">
      <c r="A27" s="10" t="s">
        <v>42</v>
      </c>
      <c r="B27" s="6" t="n">
        <v>2500000</v>
      </c>
      <c r="C27" s="6" t="n">
        <v>1000000</v>
      </c>
      <c r="D27" s="11" t="n">
        <v>0.2</v>
      </c>
      <c r="E27" s="11" t="n">
        <v>0.06</v>
      </c>
      <c r="F27" s="8" t="n">
        <v>5</v>
      </c>
      <c r="G27" s="12" t="n">
        <f aca="false">B27+C27</f>
        <v>3500000</v>
      </c>
      <c r="H27" s="12" t="n">
        <f aca="false">B27*D27+C27*E27</f>
        <v>560000</v>
      </c>
      <c r="I27" s="13" t="n">
        <f aca="false">IF(G27=0,"",H27/G27)</f>
        <v>0.16</v>
      </c>
    </row>
    <row r="28" customFormat="false" ht="15" hidden="false" customHeight="false" outlineLevel="0" collapsed="false">
      <c r="A28" s="10" t="s">
        <v>43</v>
      </c>
      <c r="B28" s="6" t="n">
        <v>2500000</v>
      </c>
      <c r="C28" s="6" t="n">
        <v>500000</v>
      </c>
      <c r="D28" s="11" t="n">
        <v>0.1</v>
      </c>
      <c r="E28" s="11" t="n">
        <v>0.03</v>
      </c>
      <c r="F28" s="8" t="n">
        <v>6</v>
      </c>
      <c r="G28" s="12" t="n">
        <f aca="false">B28+C28</f>
        <v>3000000</v>
      </c>
      <c r="H28" s="12" t="n">
        <f aca="false">B28*D28+C28*E28</f>
        <v>265000</v>
      </c>
      <c r="I28" s="13" t="n">
        <f aca="false">IF(G28=0,"",H28/G28)</f>
        <v>0.0883333333333333</v>
      </c>
    </row>
    <row r="29" customFormat="false" ht="15" hidden="false" customHeight="false" outlineLevel="0" collapsed="false">
      <c r="A29" s="10" t="s">
        <v>44</v>
      </c>
      <c r="B29" s="6" t="n">
        <v>2500000</v>
      </c>
      <c r="C29" s="6" t="n">
        <v>500000</v>
      </c>
      <c r="D29" s="11" t="n">
        <v>0</v>
      </c>
      <c r="E29" s="11" t="n">
        <v>0</v>
      </c>
      <c r="F29" s="8" t="n">
        <v>5</v>
      </c>
      <c r="G29" s="12" t="n">
        <f aca="false">B29+C29</f>
        <v>3000000</v>
      </c>
      <c r="H29" s="12" t="n">
        <f aca="false">B29*D29+C29*E29</f>
        <v>0</v>
      </c>
      <c r="I29" s="13" t="n">
        <f aca="false">IF(G29=0,"",H29/G29)</f>
        <v>0</v>
      </c>
    </row>
    <row r="30" customFormat="false" ht="15" hidden="false" customHeight="false" outlineLevel="0" collapsed="false">
      <c r="A30" s="10" t="s">
        <v>45</v>
      </c>
      <c r="B30" s="6" t="n">
        <v>2000000</v>
      </c>
      <c r="C30" s="6" t="n">
        <v>0</v>
      </c>
      <c r="D30" s="11" t="n">
        <v>0</v>
      </c>
      <c r="E30" s="11" t="n">
        <v>0</v>
      </c>
      <c r="F30" s="8" t="n">
        <v>4</v>
      </c>
      <c r="G30" s="12" t="n">
        <f aca="false">B30+C30</f>
        <v>2000000</v>
      </c>
      <c r="H30" s="12" t="n">
        <f aca="false">B30*D30+C30*E30</f>
        <v>0</v>
      </c>
      <c r="I30" s="13" t="n">
        <f aca="false">IF(G30=0,"",H30/G30)</f>
        <v>0</v>
      </c>
    </row>
    <row r="31" customFormat="false" ht="15" hidden="false" customHeight="false" outlineLevel="0" collapsed="false">
      <c r="A31" s="10" t="s">
        <v>46</v>
      </c>
      <c r="B31" s="6" t="n">
        <v>2000000</v>
      </c>
      <c r="C31" s="6" t="n">
        <v>0</v>
      </c>
      <c r="D31" s="11" t="n">
        <v>0</v>
      </c>
      <c r="E31" s="11" t="n">
        <v>0</v>
      </c>
      <c r="F31" s="8" t="n">
        <v>5</v>
      </c>
      <c r="G31" s="12" t="n">
        <f aca="false">B31+C31</f>
        <v>2000000</v>
      </c>
      <c r="H31" s="12" t="n">
        <f aca="false">B31*D31+C31*E31</f>
        <v>0</v>
      </c>
      <c r="I31" s="13" t="n">
        <f aca="false">IF(G31=0,"",H31/G31)</f>
        <v>0</v>
      </c>
    </row>
    <row r="32" customFormat="false" ht="15" hidden="false" customHeight="false" outlineLevel="0" collapsed="false">
      <c r="A32" s="10" t="s">
        <v>47</v>
      </c>
      <c r="B32" s="6" t="n">
        <v>2000000</v>
      </c>
      <c r="C32" s="6" t="n">
        <v>0</v>
      </c>
      <c r="D32" s="11" t="n">
        <v>0</v>
      </c>
      <c r="E32" s="11" t="n">
        <v>0</v>
      </c>
      <c r="F32" s="8" t="n">
        <v>4</v>
      </c>
      <c r="G32" s="12" t="n">
        <f aca="false">B32+C32</f>
        <v>2000000</v>
      </c>
      <c r="H32" s="12" t="n">
        <f aca="false">B32*D32+C32*E32</f>
        <v>0</v>
      </c>
      <c r="I32" s="13" t="n">
        <f aca="false">IF(G32=0,"",H32/G32)</f>
        <v>0</v>
      </c>
    </row>
    <row r="33" customFormat="false" ht="15" hidden="false" customHeight="false" outlineLevel="0" collapsed="false">
      <c r="A33" s="10" t="s">
        <v>48</v>
      </c>
      <c r="B33" s="6" t="n">
        <v>2000000</v>
      </c>
      <c r="C33" s="6" t="n">
        <v>0</v>
      </c>
      <c r="D33" s="11" t="n">
        <v>0</v>
      </c>
      <c r="E33" s="11" t="n">
        <v>0</v>
      </c>
      <c r="F33" s="8" t="n">
        <v>6</v>
      </c>
      <c r="G33" s="12" t="n">
        <f aca="false">B33+C33</f>
        <v>2000000</v>
      </c>
      <c r="H33" s="12" t="n">
        <f aca="false">B33*D33+C33*E33</f>
        <v>0</v>
      </c>
      <c r="I33" s="13" t="n">
        <f aca="false">IF(G33=0,"",H33/G33)</f>
        <v>0</v>
      </c>
    </row>
    <row r="34" customFormat="false" ht="15" hidden="false" customHeight="false" outlineLevel="0" collapsed="false">
      <c r="A34" s="10" t="s">
        <v>49</v>
      </c>
      <c r="B34" s="6" t="n">
        <v>2000000</v>
      </c>
      <c r="C34" s="6" t="n">
        <v>0</v>
      </c>
      <c r="D34" s="11" t="n">
        <v>0</v>
      </c>
      <c r="E34" s="11" t="n">
        <v>0</v>
      </c>
      <c r="F34" s="8" t="n">
        <v>5</v>
      </c>
      <c r="G34" s="12" t="n">
        <f aca="false">B34+C34</f>
        <v>2000000</v>
      </c>
      <c r="H34" s="12" t="n">
        <f aca="false">B34*D34+C34*E34</f>
        <v>0</v>
      </c>
      <c r="I34" s="13" t="n">
        <f aca="false">IF(G34=0,"",H34/G34)</f>
        <v>0</v>
      </c>
    </row>
    <row r="35" customFormat="false" ht="15" hidden="false" customHeight="false" outlineLevel="0" collapsed="false">
      <c r="A35" s="10" t="s">
        <v>50</v>
      </c>
      <c r="B35" s="6" t="n">
        <v>2000000</v>
      </c>
      <c r="C35" s="6" t="n">
        <v>0</v>
      </c>
      <c r="D35" s="11" t="n">
        <v>0</v>
      </c>
      <c r="E35" s="11" t="n">
        <v>0</v>
      </c>
      <c r="F35" s="8" t="n">
        <v>4</v>
      </c>
      <c r="G35" s="12" t="n">
        <f aca="false">B35+C35</f>
        <v>2000000</v>
      </c>
      <c r="H35" s="12" t="n">
        <f aca="false">B35*D35+C35*E35</f>
        <v>0</v>
      </c>
      <c r="I35" s="13" t="n">
        <f aca="false">IF(G35=0,"",H35/G35)</f>
        <v>0</v>
      </c>
    </row>
    <row r="36" customFormat="false" ht="15" hidden="false" customHeight="false" outlineLevel="0" collapsed="false">
      <c r="A36" s="10" t="s">
        <v>51</v>
      </c>
      <c r="B36" s="6" t="n">
        <v>2000000</v>
      </c>
      <c r="C36" s="6" t="n">
        <v>0</v>
      </c>
      <c r="D36" s="11" t="n">
        <v>0</v>
      </c>
      <c r="E36" s="11" t="n">
        <v>0</v>
      </c>
      <c r="F36" s="8" t="n">
        <v>5</v>
      </c>
      <c r="G36" s="12" t="n">
        <f aca="false">B36+C36</f>
        <v>2000000</v>
      </c>
      <c r="H36" s="12" t="n">
        <f aca="false">B36*D36+C36*E36</f>
        <v>0</v>
      </c>
      <c r="I36" s="13" t="n">
        <f aca="false">IF(G36=0,"",H36/G36)</f>
        <v>0</v>
      </c>
    </row>
    <row r="37" customFormat="false" ht="15" hidden="false" customHeight="false" outlineLevel="0" collapsed="false">
      <c r="A37" s="10" t="s">
        <v>52</v>
      </c>
      <c r="B37" s="6" t="n">
        <v>1500000</v>
      </c>
      <c r="C37" s="6" t="n">
        <v>0</v>
      </c>
      <c r="D37" s="11" t="n">
        <v>0</v>
      </c>
      <c r="E37" s="11" t="n">
        <v>0</v>
      </c>
      <c r="F37" s="8" t="n">
        <v>3</v>
      </c>
      <c r="G37" s="12" t="n">
        <f aca="false">B37+C37</f>
        <v>1500000</v>
      </c>
      <c r="H37" s="12" t="n">
        <f aca="false">B37*D37+C37*E37</f>
        <v>0</v>
      </c>
      <c r="I37" s="13" t="n">
        <f aca="false">IF(G37=0,"",H37/G37)</f>
        <v>0</v>
      </c>
    </row>
    <row r="38" customFormat="false" ht="15" hidden="false" customHeight="false" outlineLevel="0" collapsed="false">
      <c r="A38" s="10" t="s">
        <v>53</v>
      </c>
      <c r="B38" s="6" t="n">
        <v>1500000</v>
      </c>
      <c r="C38" s="6" t="n">
        <v>0</v>
      </c>
      <c r="D38" s="11" t="n">
        <v>0</v>
      </c>
      <c r="E38" s="11" t="n">
        <v>0</v>
      </c>
      <c r="F38" s="8" t="n">
        <v>4</v>
      </c>
      <c r="G38" s="12" t="n">
        <f aca="false">B38+C38</f>
        <v>1500000</v>
      </c>
      <c r="H38" s="12" t="n">
        <f aca="false">B38*D38+C38*E38</f>
        <v>0</v>
      </c>
      <c r="I38" s="13" t="n">
        <f aca="false">IF(G38=0,"",H38/G38)</f>
        <v>0</v>
      </c>
    </row>
    <row r="39" customFormat="false" ht="15" hidden="false" customHeight="false" outlineLevel="0" collapsed="false">
      <c r="A39" s="10" t="s">
        <v>54</v>
      </c>
      <c r="B39" s="6" t="n">
        <v>1500000</v>
      </c>
      <c r="C39" s="6" t="n">
        <v>0</v>
      </c>
      <c r="D39" s="11" t="n">
        <v>0</v>
      </c>
      <c r="E39" s="11" t="n">
        <v>0</v>
      </c>
      <c r="F39" s="8" t="n">
        <v>4</v>
      </c>
      <c r="G39" s="12" t="n">
        <f aca="false">B39+C39</f>
        <v>1500000</v>
      </c>
      <c r="H39" s="12" t="n">
        <f aca="false">B39*D39+C39*E39</f>
        <v>0</v>
      </c>
      <c r="I39" s="13" t="n">
        <f aca="false">IF(G39=0,"",H39/G39)</f>
        <v>0</v>
      </c>
    </row>
    <row r="40" customFormat="false" ht="15" hidden="false" customHeight="false" outlineLevel="0" collapsed="false">
      <c r="A40" s="10" t="s">
        <v>55</v>
      </c>
      <c r="B40" s="6" t="n">
        <v>1500000</v>
      </c>
      <c r="C40" s="6" t="n">
        <v>0</v>
      </c>
      <c r="D40" s="11" t="n">
        <v>0</v>
      </c>
      <c r="E40" s="11" t="n">
        <v>0</v>
      </c>
      <c r="F40" s="8" t="n">
        <v>3</v>
      </c>
      <c r="G40" s="12" t="n">
        <f aca="false">B40+C40</f>
        <v>1500000</v>
      </c>
      <c r="H40" s="12" t="n">
        <f aca="false">B40*D40+C40*E40</f>
        <v>0</v>
      </c>
      <c r="I40" s="13" t="n">
        <f aca="false">IF(G40=0,"",H40/G40)</f>
        <v>0</v>
      </c>
    </row>
    <row r="41" customFormat="false" ht="15" hidden="false" customHeight="false" outlineLevel="0" collapsed="false">
      <c r="A41" s="10" t="s">
        <v>56</v>
      </c>
      <c r="B41" s="6" t="n">
        <v>1500000</v>
      </c>
      <c r="C41" s="6" t="n">
        <v>0</v>
      </c>
      <c r="D41" s="11" t="n">
        <v>0</v>
      </c>
      <c r="E41" s="11" t="n">
        <v>0</v>
      </c>
      <c r="F41" s="8" t="n">
        <v>3</v>
      </c>
      <c r="G41" s="12" t="n">
        <f aca="false">B41+C41</f>
        <v>1500000</v>
      </c>
      <c r="H41" s="12" t="n">
        <f aca="false">B41*D41+C41*E41</f>
        <v>0</v>
      </c>
      <c r="I41" s="13" t="n">
        <f aca="false">IF(G41=0,"",H41/G41)</f>
        <v>0</v>
      </c>
    </row>
    <row r="42" customFormat="false" ht="15" hidden="false" customHeight="false" outlineLevel="0" collapsed="false">
      <c r="A42" s="14" t="s">
        <v>57</v>
      </c>
      <c r="B42" s="15" t="n">
        <f aca="false">SUM(B14:B41)</f>
        <v>62500000</v>
      </c>
      <c r="C42" s="15" t="n">
        <f aca="false">SUM(C14:C41)</f>
        <v>68000000</v>
      </c>
      <c r="G42" s="15" t="n">
        <f aca="false">SUM(G14:G41)</f>
        <v>130500000</v>
      </c>
      <c r="H42" s="15" t="n">
        <f aca="false">SUM(H14:H41)</f>
        <v>348975000</v>
      </c>
      <c r="I42" s="16" t="n">
        <f aca="false">IF(G42=0,"",H42/G42)</f>
        <v>2.67413793103448</v>
      </c>
    </row>
    <row r="44" customFormat="false" ht="15" hidden="false" customHeight="false" outlineLevel="0" collapsed="false">
      <c r="A44" s="2" t="s">
        <v>58</v>
      </c>
    </row>
    <row r="45" customFormat="false" ht="15" hidden="false" customHeight="false" outlineLevel="0" collapsed="false">
      <c r="A45" s="2" t="s">
        <v>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4"/>
    <col collapsed="false" customWidth="true" hidden="false" outlineLevel="0" max="3" min="2" style="0" width="20"/>
    <col collapsed="false" customWidth="true" hidden="false" outlineLevel="0" max="4" min="4" style="0" width="18"/>
  </cols>
  <sheetData>
    <row r="1" customFormat="false" ht="19.7" hidden="false" customHeight="false" outlineLevel="0" collapsed="false">
      <c r="A1" s="1" t="s">
        <v>60</v>
      </c>
    </row>
    <row r="2" customFormat="false" ht="15" hidden="false" customHeight="false" outlineLevel="0" collapsed="false">
      <c r="A2" s="2" t="s">
        <v>61</v>
      </c>
    </row>
    <row r="5" customFormat="false" ht="15" hidden="false" customHeight="false" outlineLevel="0" collapsed="false">
      <c r="A5" s="3" t="s">
        <v>62</v>
      </c>
    </row>
    <row r="7" customFormat="false" ht="23.85" hidden="false" customHeight="false" outlineLevel="0" collapsed="false">
      <c r="A7" s="9" t="s">
        <v>63</v>
      </c>
      <c r="B7" s="9" t="s">
        <v>64</v>
      </c>
      <c r="C7" s="9" t="s">
        <v>65</v>
      </c>
    </row>
    <row r="8" customFormat="false" ht="15" hidden="false" customHeight="false" outlineLevel="0" collapsed="false">
      <c r="A8" s="17" t="n">
        <v>1</v>
      </c>
      <c r="B8" s="12" t="n">
        <f aca="false">SUMIF(Inputs!$F$14:$F$41,"&gt;="&amp;A8,Inputs!$G$14:$G$41)</f>
        <v>130500000</v>
      </c>
      <c r="C8" s="12" t="n">
        <f aca="false">IF(A8&lt;=Inputs!$B$9,Inputs!$B$7*Inputs!$B$8,B8*Inputs!$B$8)</f>
        <v>3000000</v>
      </c>
    </row>
    <row r="9" customFormat="false" ht="15" hidden="false" customHeight="false" outlineLevel="0" collapsed="false">
      <c r="A9" s="18" t="n">
        <v>2</v>
      </c>
      <c r="B9" s="19" t="n">
        <f aca="false">SUMIF(Inputs!$F$14:$F$41,"&gt;="&amp;A9,Inputs!$G$14:$G$41)</f>
        <v>130500000</v>
      </c>
      <c r="C9" s="19" t="n">
        <f aca="false">IF(A9&lt;=Inputs!$B$9,Inputs!$B$7*Inputs!$B$8,B9*Inputs!$B$8)</f>
        <v>3000000</v>
      </c>
    </row>
    <row r="10" customFormat="false" ht="15" hidden="false" customHeight="false" outlineLevel="0" collapsed="false">
      <c r="A10" s="17" t="n">
        <v>3</v>
      </c>
      <c r="B10" s="12" t="n">
        <f aca="false">SUMIF(Inputs!$F$14:$F$41,"&gt;="&amp;A10,Inputs!$G$14:$G$41)</f>
        <v>130500000</v>
      </c>
      <c r="C10" s="12" t="n">
        <f aca="false">IF(A10&lt;=Inputs!$B$9,Inputs!$B$7*Inputs!$B$8,B10*Inputs!$B$8)</f>
        <v>3000000</v>
      </c>
    </row>
    <row r="11" customFormat="false" ht="15" hidden="false" customHeight="false" outlineLevel="0" collapsed="false">
      <c r="A11" s="18" t="n">
        <v>4</v>
      </c>
      <c r="B11" s="19" t="n">
        <f aca="false">SUMIF(Inputs!$F$14:$F$41,"&gt;="&amp;A11,Inputs!$G$14:$G$41)</f>
        <v>126000000</v>
      </c>
      <c r="C11" s="19" t="n">
        <f aca="false">IF(A11&lt;=Inputs!$B$9,Inputs!$B$7*Inputs!$B$8,B11*Inputs!$B$8)</f>
        <v>3000000</v>
      </c>
    </row>
    <row r="12" customFormat="false" ht="15" hidden="false" customHeight="false" outlineLevel="0" collapsed="false">
      <c r="A12" s="17" t="n">
        <v>5</v>
      </c>
      <c r="B12" s="12" t="n">
        <f aca="false">SUMIF(Inputs!$F$14:$F$41,"&gt;="&amp;A12,Inputs!$G$14:$G$41)</f>
        <v>117000000</v>
      </c>
      <c r="C12" s="12" t="n">
        <f aca="false">IF(A12&lt;=Inputs!$B$9,Inputs!$B$7*Inputs!$B$8,B12*Inputs!$B$8)</f>
        <v>3000000</v>
      </c>
    </row>
    <row r="13" customFormat="false" ht="15" hidden="false" customHeight="false" outlineLevel="0" collapsed="false">
      <c r="A13" s="18" t="n">
        <v>6</v>
      </c>
      <c r="B13" s="19" t="n">
        <f aca="false">SUMIF(Inputs!$F$14:$F$41,"&gt;="&amp;A13,Inputs!$G$14:$G$41)</f>
        <v>104500000</v>
      </c>
      <c r="C13" s="19" t="n">
        <f aca="false">IF(A13&lt;=Inputs!$B$9,Inputs!$B$7*Inputs!$B$8,B13*Inputs!$B$8)</f>
        <v>2090000</v>
      </c>
    </row>
    <row r="14" customFormat="false" ht="15" hidden="false" customHeight="false" outlineLevel="0" collapsed="false">
      <c r="A14" s="17" t="n">
        <v>7</v>
      </c>
      <c r="B14" s="12" t="n">
        <f aca="false">SUMIF(Inputs!$F$14:$F$41,"&gt;="&amp;A14,Inputs!$G$14:$G$41)</f>
        <v>90500000</v>
      </c>
      <c r="C14" s="12" t="n">
        <f aca="false">IF(A14&lt;=Inputs!$B$9,Inputs!$B$7*Inputs!$B$8,B14*Inputs!$B$8)</f>
        <v>1810000</v>
      </c>
    </row>
    <row r="15" customFormat="false" ht="15" hidden="false" customHeight="false" outlineLevel="0" collapsed="false">
      <c r="A15" s="18" t="n">
        <v>8</v>
      </c>
      <c r="B15" s="19" t="n">
        <f aca="false">SUMIF(Inputs!$F$14:$F$41,"&gt;="&amp;A15,Inputs!$G$14:$G$41)</f>
        <v>70500000</v>
      </c>
      <c r="C15" s="19" t="n">
        <f aca="false">IF(A15&lt;=Inputs!$B$9,Inputs!$B$7*Inputs!$B$8,B15*Inputs!$B$8)</f>
        <v>1410000</v>
      </c>
    </row>
    <row r="16" customFormat="false" ht="15" hidden="false" customHeight="false" outlineLevel="0" collapsed="false">
      <c r="A16" s="17" t="n">
        <v>9</v>
      </c>
      <c r="B16" s="12" t="n">
        <f aca="false">SUMIF(Inputs!$F$14:$F$41,"&gt;="&amp;A16,Inputs!$G$14:$G$41)</f>
        <v>45000000</v>
      </c>
      <c r="C16" s="12" t="n">
        <f aca="false">IF(A16&lt;=Inputs!$B$9,Inputs!$B$7*Inputs!$B$8,B16*Inputs!$B$8)</f>
        <v>900000</v>
      </c>
    </row>
    <row r="17" customFormat="false" ht="15" hidden="false" customHeight="false" outlineLevel="0" collapsed="false">
      <c r="A17" s="18" t="n">
        <v>10</v>
      </c>
      <c r="B17" s="19" t="n">
        <f aca="false">SUMIF(Inputs!$F$14:$F$41,"&gt;="&amp;A17,Inputs!$G$14:$G$41)</f>
        <v>13000000</v>
      </c>
      <c r="C17" s="19" t="n">
        <f aca="false">IF(A17&lt;=Inputs!$B$9,Inputs!$B$7*Inputs!$B$8,B17*Inputs!$B$8)</f>
        <v>260000</v>
      </c>
    </row>
    <row r="18" customFormat="false" ht="15" hidden="false" customHeight="false" outlineLevel="0" collapsed="false">
      <c r="A18" s="14" t="s">
        <v>66</v>
      </c>
      <c r="C18" s="15" t="n">
        <f aca="false">SUM(C8:C17)</f>
        <v>21470000</v>
      </c>
    </row>
    <row r="19" customFormat="false" ht="15" hidden="false" customHeight="false" outlineLevel="0" collapsed="false">
      <c r="A19" s="5" t="s">
        <v>67</v>
      </c>
      <c r="C19" s="20" t="n">
        <f aca="false">C18/Inputs!B7</f>
        <v>0.143133333333333</v>
      </c>
    </row>
    <row r="20" customFormat="false" ht="15" hidden="false" customHeight="false" outlineLevel="0" collapsed="false">
      <c r="A20" s="14" t="s">
        <v>68</v>
      </c>
      <c r="C20" s="15" t="n">
        <f aca="false">Inputs!B7-C18</f>
        <v>128530000</v>
      </c>
    </row>
    <row r="21" customFormat="false" ht="15" hidden="false" customHeight="false" outlineLevel="0" collapsed="false">
      <c r="A21" s="14" t="s">
        <v>69</v>
      </c>
      <c r="C21" s="16" t="n">
        <f aca="false">Inputs!B7/C20</f>
        <v>1.16704271376332</v>
      </c>
    </row>
    <row r="22" customFormat="false" ht="15" hidden="false" customHeight="false" outlineLevel="0" collapsed="false">
      <c r="A22" s="2" t="s">
        <v>70</v>
      </c>
    </row>
    <row r="23" customFormat="false" ht="15" hidden="false" customHeight="false" outlineLevel="0" collapsed="false">
      <c r="A23" s="3" t="s">
        <v>71</v>
      </c>
    </row>
    <row r="25" customFormat="false" ht="15" hidden="false" customHeight="false" outlineLevel="0" collapsed="false">
      <c r="A25" s="5" t="s">
        <v>72</v>
      </c>
      <c r="B25" s="12" t="n">
        <f aca="false">Inputs!B42</f>
        <v>62500000</v>
      </c>
    </row>
    <row r="26" customFormat="false" ht="15" hidden="false" customHeight="false" outlineLevel="0" collapsed="false">
      <c r="A26" s="5" t="s">
        <v>73</v>
      </c>
      <c r="B26" s="12" t="n">
        <f aca="false">Inputs!C42</f>
        <v>68000000</v>
      </c>
    </row>
    <row r="27" customFormat="false" ht="15" hidden="false" customHeight="false" outlineLevel="0" collapsed="false">
      <c r="A27" s="14" t="s">
        <v>74</v>
      </c>
      <c r="B27" s="15" t="n">
        <f aca="false">Inputs!G42</f>
        <v>130500000</v>
      </c>
    </row>
    <row r="28" customFormat="false" ht="15" hidden="false" customHeight="false" outlineLevel="0" collapsed="false">
      <c r="A28" s="5" t="s">
        <v>75</v>
      </c>
      <c r="B28" s="20" t="n">
        <f aca="false">B26/B27</f>
        <v>0.521072796934866</v>
      </c>
    </row>
    <row r="29" customFormat="false" ht="15" hidden="false" customHeight="false" outlineLevel="0" collapsed="false">
      <c r="A29" s="14" t="s">
        <v>76</v>
      </c>
      <c r="B29" s="15" t="n">
        <f aca="false">Inputs!H42</f>
        <v>348975000</v>
      </c>
    </row>
    <row r="30" customFormat="false" ht="15" hidden="false" customHeight="false" outlineLevel="0" collapsed="false">
      <c r="A30" s="14" t="s">
        <v>77</v>
      </c>
      <c r="B30" s="15" t="n">
        <f aca="false">B27+C18</f>
        <v>151970000</v>
      </c>
    </row>
    <row r="32" customFormat="false" ht="15" hidden="false" customHeight="false" outlineLevel="0" collapsed="false">
      <c r="A32" s="3" t="s">
        <v>78</v>
      </c>
    </row>
    <row r="34" customFormat="false" ht="15" hidden="false" customHeight="false" outlineLevel="0" collapsed="false">
      <c r="A34" s="14" t="s">
        <v>79</v>
      </c>
      <c r="B34" s="16" t="n">
        <f aca="false">SUMPRODUCT(Inputs!B14:B41,Inputs!D14:D41)/Inputs!B42</f>
        <v>3.6376</v>
      </c>
    </row>
    <row r="35" customFormat="false" ht="15" hidden="false" customHeight="false" outlineLevel="0" collapsed="false">
      <c r="A35" s="14" t="s">
        <v>80</v>
      </c>
      <c r="B35" s="16" t="n">
        <f aca="false">B29/B27</f>
        <v>2.67413793103448</v>
      </c>
    </row>
    <row r="36" customFormat="false" ht="15" hidden="false" customHeight="false" outlineLevel="0" collapsed="false">
      <c r="A36" s="14" t="s">
        <v>81</v>
      </c>
      <c r="B36" s="16" t="n">
        <f aca="false">B29/Inputs!B7</f>
        <v>2.3265</v>
      </c>
    </row>
    <row r="37" customFormat="false" ht="15" hidden="false" customHeight="false" outlineLevel="0" collapsed="false">
      <c r="A37" s="5" t="s">
        <v>82</v>
      </c>
      <c r="B37" s="12" t="n">
        <f aca="false">MAX(0,B29-Inputs!B7)*Inputs!B10</f>
        <v>39795000</v>
      </c>
    </row>
    <row r="38" customFormat="false" ht="15" hidden="false" customHeight="false" outlineLevel="0" collapsed="false">
      <c r="A38" s="5" t="s">
        <v>83</v>
      </c>
      <c r="B38" s="12" t="n">
        <f aca="false">B29-B37</f>
        <v>309180000</v>
      </c>
    </row>
    <row r="39" customFormat="false" ht="15" hidden="false" customHeight="false" outlineLevel="0" collapsed="false">
      <c r="A39" s="14" t="s">
        <v>84</v>
      </c>
      <c r="B39" s="16" t="n">
        <f aca="false">B38/Inputs!B7</f>
        <v>2.0612</v>
      </c>
    </row>
    <row r="40" customFormat="false" ht="15" hidden="false" customHeight="false" outlineLevel="0" collapsed="false">
      <c r="A40" s="5" t="s">
        <v>85</v>
      </c>
      <c r="B40" s="21" t="n">
        <f aca="false">B34-B39</f>
        <v>1.5764</v>
      </c>
    </row>
    <row r="41" customFormat="false" ht="15" hidden="false" customHeight="false" outlineLevel="0" collapsed="false">
      <c r="A41" s="5" t="s">
        <v>86</v>
      </c>
      <c r="B41" s="21" t="n">
        <f aca="false">B34/B39</f>
        <v>1.76479720551135</v>
      </c>
    </row>
    <row r="43" customFormat="false" ht="15" hidden="false" customHeight="false" outlineLevel="0" collapsed="false">
      <c r="A43" s="3" t="s">
        <v>87</v>
      </c>
    </row>
    <row r="45" customFormat="false" ht="15" hidden="false" customHeight="false" outlineLevel="0" collapsed="false">
      <c r="A45" s="5" t="s">
        <v>88</v>
      </c>
      <c r="B45" s="12" t="n">
        <f aca="false">C18+B37</f>
        <v>61265000</v>
      </c>
    </row>
    <row r="46" customFormat="false" ht="15" hidden="false" customHeight="false" outlineLevel="0" collapsed="false">
      <c r="A46" s="5" t="s">
        <v>89</v>
      </c>
      <c r="B46" s="20" t="n">
        <f aca="false">B45/B29</f>
        <v>0.175556988322946</v>
      </c>
    </row>
    <row r="47" customFormat="false" ht="15" hidden="false" customHeight="false" outlineLevel="0" collapsed="false">
      <c r="A47" s="14" t="s">
        <v>90</v>
      </c>
      <c r="B47" s="15" t="n">
        <f aca="false">B38-B30</f>
        <v>157210000</v>
      </c>
    </row>
    <row r="48" customFormat="false" ht="15" hidden="false" customHeight="false" outlineLevel="0" collapsed="false">
      <c r="A48" s="14" t="s">
        <v>91</v>
      </c>
      <c r="B48" s="15" t="n">
        <f aca="false">B29-C18-B37-B27</f>
        <v>157210000</v>
      </c>
    </row>
    <row r="49" customFormat="false" ht="15" hidden="false" customHeight="false" outlineLevel="0" collapsed="false">
      <c r="A49" s="2" t="s">
        <v>92</v>
      </c>
    </row>
    <row r="51" customFormat="false" ht="15" hidden="false" customHeight="false" outlineLevel="0" collapsed="false">
      <c r="A51" s="3" t="s">
        <v>93</v>
      </c>
    </row>
    <row r="53" customFormat="false" ht="15" hidden="false" customHeight="false" outlineLevel="0" collapsed="false">
      <c r="A53" s="5" t="s">
        <v>94</v>
      </c>
      <c r="B53" s="12" t="n">
        <f aca="false">SUMIF(A8:A17,"&lt;="&amp;Inputs!B9,C8:C17)</f>
        <v>15000000</v>
      </c>
    </row>
    <row r="54" customFormat="false" ht="15" hidden="false" customHeight="false" outlineLevel="0" collapsed="false">
      <c r="A54" s="5" t="s">
        <v>95</v>
      </c>
      <c r="B54" s="20" t="n">
        <f aca="false">B53/C18</f>
        <v>0.698649278062413</v>
      </c>
    </row>
    <row r="55" customFormat="false" ht="15" hidden="false" customHeight="false" outlineLevel="0" collapsed="false">
      <c r="A55" s="14" t="s">
        <v>96</v>
      </c>
      <c r="B55" s="22" t="n">
        <f aca="false">C18/C20</f>
        <v>0.167042713763324</v>
      </c>
    </row>
    <row r="56" customFormat="false" ht="15" hidden="false" customHeight="false" outlineLevel="0" collapsed="false">
      <c r="A56" s="5" t="s">
        <v>97</v>
      </c>
      <c r="B56" s="12" t="n">
        <f aca="false">Inputs!B7*Inputs!B8*Inputs!B11</f>
        <v>30000000</v>
      </c>
    </row>
    <row r="57" customFormat="false" ht="15" hidden="false" customHeight="false" outlineLevel="0" collapsed="false">
      <c r="A57" s="5" t="s">
        <v>98</v>
      </c>
      <c r="B57" s="12" t="n">
        <f aca="false">Inputs!B7-B56</f>
        <v>120000000</v>
      </c>
    </row>
    <row r="58" customFormat="false" ht="15" hidden="false" customHeight="false" outlineLevel="0" collapsed="false">
      <c r="A58" s="5" t="s">
        <v>99</v>
      </c>
      <c r="B58" s="13" t="n">
        <f aca="false">Inputs!B7/B57</f>
        <v>1.25</v>
      </c>
    </row>
    <row r="59" customFormat="false" ht="15" hidden="false" customHeight="false" outlineLevel="0" collapsed="false">
      <c r="A59" s="14" t="s">
        <v>100</v>
      </c>
      <c r="B59" s="23" t="n">
        <f aca="false">B58-C21</f>
        <v>0.0829572862366763</v>
      </c>
    </row>
    <row r="60" customFormat="false" ht="15" hidden="false" customHeight="false" outlineLevel="0" collapsed="false">
      <c r="A60" s="14" t="s">
        <v>101</v>
      </c>
      <c r="B60" s="15" t="n">
        <f aca="false">B56-C18</f>
        <v>8530000</v>
      </c>
    </row>
    <row r="61" customFormat="false" ht="15" hidden="false" customHeight="false" outlineLevel="0" collapsed="false">
      <c r="A61" s="5" t="s">
        <v>102</v>
      </c>
      <c r="B61" s="20" t="n">
        <f aca="false">B60/Inputs!B7</f>
        <v>0.0568666666666667</v>
      </c>
    </row>
    <row r="64" customFormat="false" ht="15" hidden="false" customHeight="false" outlineLevel="0" collapsed="false">
      <c r="A64" s="3" t="s">
        <v>103</v>
      </c>
    </row>
    <row r="66" customFormat="false" ht="15" hidden="false" customHeight="false" outlineLevel="0" collapsed="false">
      <c r="A66" s="14" t="s">
        <v>104</v>
      </c>
      <c r="B66" s="15" t="n">
        <f aca="false">B30-Inputs!B7</f>
        <v>1970000</v>
      </c>
    </row>
    <row r="67" customFormat="false" ht="15" hidden="false" customHeight="false" outlineLevel="0" collapsed="false">
      <c r="A67" s="5" t="s">
        <v>105</v>
      </c>
      <c r="B67" s="12" t="n">
        <f aca="false">B27-C20</f>
        <v>1970000</v>
      </c>
    </row>
    <row r="68" customFormat="false" ht="15" hidden="false" customHeight="false" outlineLevel="0" collapsed="false">
      <c r="A68" s="5" t="s">
        <v>106</v>
      </c>
      <c r="B68" s="13" t="n">
        <f aca="false">B35*C20/Inputs!B7</f>
        <v>2.29137965517241</v>
      </c>
    </row>
    <row r="69" customFormat="false" ht="15" hidden="false" customHeight="false" outlineLevel="0" collapsed="false">
      <c r="A69" s="14" t="s">
        <v>107</v>
      </c>
      <c r="B69" s="23" t="n">
        <f aca="false">B36-B68</f>
        <v>0.0351203448275856</v>
      </c>
    </row>
    <row r="70" customFormat="false" ht="15" hidden="false" customHeight="false" outlineLevel="0" collapsed="false">
      <c r="A70" s="5" t="s">
        <v>108</v>
      </c>
      <c r="B70" s="21" t="n">
        <f aca="false">B66*B35/Inputs!B7</f>
        <v>0.0351203448275862</v>
      </c>
    </row>
    <row r="71" customFormat="false" ht="15" hidden="false" customHeight="false" outlineLevel="0" collapsed="false">
      <c r="A71" s="5" t="s">
        <v>109</v>
      </c>
      <c r="B71" s="12" t="n">
        <f aca="false">B66*B35</f>
        <v>5268051.72413793</v>
      </c>
    </row>
    <row r="72" customFormat="false" ht="15" hidden="false" customHeight="false" outlineLevel="0" collapsed="false">
      <c r="A72" s="5" t="s">
        <v>110</v>
      </c>
      <c r="B72" s="13" t="n">
        <f aca="false">Inputs!B7/B27</f>
        <v>1.14942528735632</v>
      </c>
    </row>
    <row r="73" customFormat="false" ht="15" hidden="false" customHeight="false" outlineLevel="0" collapsed="false">
      <c r="A73" s="5" t="s">
        <v>111</v>
      </c>
      <c r="B73" s="21" t="n">
        <f aca="false">C21-B72</f>
        <v>0.0176174264070019</v>
      </c>
    </row>
    <row r="74" customFormat="false" ht="15" hidden="false" customHeight="false" outlineLevel="0" collapsed="false">
      <c r="A74" s="5" t="s">
        <v>112</v>
      </c>
      <c r="B74" s="20" t="n">
        <f aca="false">B66/C18</f>
        <v>0.0917559385188635</v>
      </c>
    </row>
    <row r="75" customFormat="false" ht="15" hidden="false" customHeight="false" outlineLevel="0" collapsed="false">
      <c r="A75" s="14" t="s">
        <v>113</v>
      </c>
      <c r="B75" s="15" t="n">
        <f aca="false">B37-Inputs!B10*MAX(0,B29-B30)</f>
        <v>394000</v>
      </c>
    </row>
    <row r="76" customFormat="false" ht="15" hidden="false" customHeight="false" outlineLevel="0" collapsed="false">
      <c r="A76" s="5" t="s">
        <v>114</v>
      </c>
      <c r="B76" s="13" t="n">
        <f aca="false">B38/B30</f>
        <v>2.03448048957031</v>
      </c>
    </row>
    <row r="77" customFormat="false" ht="15" hidden="false" customHeight="false" outlineLevel="0" collapsed="false">
      <c r="A77" s="5" t="s">
        <v>115</v>
      </c>
      <c r="B77" s="12" t="n">
        <f aca="false">B66*Inputs!B8</f>
        <v>39400</v>
      </c>
    </row>
    <row r="79" customFormat="false" ht="15" hidden="false" customHeight="false" outlineLevel="0" collapsed="false">
      <c r="A79" s="3" t="s">
        <v>116</v>
      </c>
    </row>
    <row r="81" customFormat="false" ht="15" hidden="false" customHeight="false" outlineLevel="0" collapsed="false">
      <c r="A81" s="5" t="s">
        <v>117</v>
      </c>
      <c r="B81" s="20" t="n">
        <f aca="false">B45/B30</f>
        <v>0.403138777390274</v>
      </c>
    </row>
    <row r="82" customFormat="false" ht="15" hidden="false" customHeight="false" outlineLevel="0" collapsed="false">
      <c r="A82" s="5" t="s">
        <v>118</v>
      </c>
      <c r="B82" s="12" t="n">
        <f aca="false">B29-B27</f>
        <v>218475000</v>
      </c>
    </row>
    <row r="83" customFormat="false" ht="15" hidden="false" customHeight="false" outlineLevel="0" collapsed="false">
      <c r="A83" s="14" t="s">
        <v>119</v>
      </c>
      <c r="B83" s="22" t="n">
        <f aca="false">B45/B82</f>
        <v>0.28042110081245</v>
      </c>
    </row>
    <row r="84" customFormat="false" ht="15" hidden="false" customHeight="false" outlineLevel="0" collapsed="false">
      <c r="A84" s="5" t="s">
        <v>120</v>
      </c>
      <c r="B84" s="12" t="n">
        <f aca="false">B29-B30</f>
        <v>197005000</v>
      </c>
    </row>
    <row r="85" customFormat="false" ht="15" hidden="false" customHeight="false" outlineLevel="0" collapsed="false">
      <c r="A85" s="5" t="s">
        <v>119</v>
      </c>
      <c r="B85" s="20" t="n">
        <f aca="false">B45/B84</f>
        <v>0.310981954772722</v>
      </c>
    </row>
    <row r="86" customFormat="false" ht="15" hidden="false" customHeight="false" outlineLevel="0" collapsed="false">
      <c r="A86" s="5" t="s">
        <v>121</v>
      </c>
      <c r="B86" s="12" t="n">
        <f aca="false">B29-B37-C18-B30</f>
        <v>135740000</v>
      </c>
    </row>
    <row r="87" customFormat="false" ht="15" hidden="false" customHeight="false" outlineLevel="0" collapsed="false">
      <c r="A87" s="5" t="s">
        <v>122</v>
      </c>
      <c r="B87" s="20" t="n">
        <f aca="false">B45/B47</f>
        <v>0.38970167292157</v>
      </c>
    </row>
    <row r="88" customFormat="false" ht="15" hidden="false" customHeight="false" outlineLevel="0" collapsed="false">
      <c r="A88" s="5" t="s">
        <v>123</v>
      </c>
      <c r="B88" s="20" t="n">
        <f aca="false">B37/B82</f>
        <v>0.182148987298318</v>
      </c>
    </row>
    <row r="89" customFormat="false" ht="15" hidden="false" customHeight="false" outlineLevel="0" collapsed="false">
      <c r="A89" s="5" t="s">
        <v>124</v>
      </c>
      <c r="B89" s="20" t="n">
        <f aca="false">B37/B84</f>
        <v>0.201999949239867</v>
      </c>
    </row>
    <row r="90" customFormat="false" ht="15" hidden="false" customHeight="false" outlineLevel="0" collapsed="false">
      <c r="A90" s="5" t="s">
        <v>125</v>
      </c>
      <c r="B90" s="12" t="n">
        <f aca="false">Inputs!B10*B82</f>
        <v>43695000</v>
      </c>
    </row>
    <row r="91" customFormat="false" ht="15" hidden="false" customHeight="false" outlineLevel="0" collapsed="false">
      <c r="A91" s="5" t="s">
        <v>126</v>
      </c>
      <c r="B91" s="21" t="n">
        <f aca="false">B45/B90</f>
        <v>1.40210550406225</v>
      </c>
    </row>
    <row r="92" customFormat="false" ht="15" hidden="false" customHeight="false" outlineLevel="0" collapsed="false">
      <c r="A92" s="5" t="s">
        <v>127</v>
      </c>
      <c r="B92" s="12" t="n">
        <f aca="false">Inputs!B10*B84</f>
        <v>39401000</v>
      </c>
    </row>
    <row r="93" customFormat="false" ht="15" hidden="false" customHeight="false" outlineLevel="0" collapsed="false">
      <c r="A93" s="5" t="s">
        <v>126</v>
      </c>
      <c r="B93" s="21" t="n">
        <f aca="false">B45/B92</f>
        <v>1.55490977386361</v>
      </c>
    </row>
    <row r="94" customFormat="false" ht="15" hidden="false" customHeight="false" outlineLevel="0" collapsed="false">
      <c r="A94" s="5" t="s">
        <v>128</v>
      </c>
      <c r="B94" s="12" t="n">
        <f aca="false">C18/Inputs!B11</f>
        <v>2147000</v>
      </c>
    </row>
    <row r="95" customFormat="false" ht="15" hidden="false" customHeight="false" outlineLevel="0" collapsed="false">
      <c r="A95" s="5" t="s">
        <v>129</v>
      </c>
      <c r="B95" s="12" t="n">
        <f aca="false">C18/COUNTIF(Inputs!G14:G41,"&gt;0")</f>
        <v>766785.714285714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0"/>
    <col collapsed="false" customWidth="true" hidden="false" outlineLevel="0" max="5" min="2" style="0" width="16"/>
    <col collapsed="false" customWidth="true" hidden="false" outlineLevel="0" max="6" min="6" style="0" width="14"/>
    <col collapsed="false" customWidth="true" hidden="false" outlineLevel="0" max="7" min="7" style="0" width="9"/>
    <col collapsed="false" customWidth="true" hidden="false" outlineLevel="0" max="9" min="8" style="0" width="12"/>
  </cols>
  <sheetData>
    <row r="1" customFormat="false" ht="19.7" hidden="false" customHeight="false" outlineLevel="0" collapsed="false">
      <c r="A1" s="1" t="s">
        <v>130</v>
      </c>
    </row>
    <row r="2" customFormat="false" ht="15" hidden="false" customHeight="false" outlineLevel="0" collapsed="false">
      <c r="A2" s="2" t="s">
        <v>131</v>
      </c>
    </row>
    <row r="5" customFormat="false" ht="23.85" hidden="false" customHeight="false" outlineLevel="0" collapsed="false">
      <c r="A5" s="9" t="s">
        <v>20</v>
      </c>
      <c r="B5" s="9" t="s">
        <v>132</v>
      </c>
      <c r="C5" s="9" t="s">
        <v>133</v>
      </c>
      <c r="D5" s="9" t="s">
        <v>22</v>
      </c>
      <c r="E5" s="9" t="s">
        <v>134</v>
      </c>
      <c r="F5" s="9" t="s">
        <v>135</v>
      </c>
      <c r="G5" s="9" t="s">
        <v>136</v>
      </c>
      <c r="H5" s="9" t="s">
        <v>137</v>
      </c>
      <c r="I5" s="9" t="s">
        <v>138</v>
      </c>
    </row>
    <row r="6" customFormat="false" ht="15" hidden="false" customHeight="false" outlineLevel="0" collapsed="false">
      <c r="A6" s="5" t="str">
        <f aca="false">IF(Inputs!A14="","",Inputs!A14)</f>
        <v>Aldwyn</v>
      </c>
      <c r="B6" s="12" t="n">
        <f aca="false">Inputs!B14</f>
        <v>3000000</v>
      </c>
      <c r="C6" s="12" t="n">
        <f aca="false">Inputs!B14*Inputs!D14</f>
        <v>126000000</v>
      </c>
      <c r="D6" s="12" t="n">
        <f aca="false">Inputs!C14</f>
        <v>12000000</v>
      </c>
      <c r="E6" s="12" t="n">
        <f aca="false">Inputs!C14*Inputs!E14</f>
        <v>72000000</v>
      </c>
      <c r="F6" s="21" t="n">
        <f aca="false">IF(Inputs!E14=0,"",Inputs!D14/Inputs!E14)</f>
        <v>7</v>
      </c>
      <c r="G6" s="17" t="n">
        <f aca="false">IF(Inputs!C14&gt;0,1,0)</f>
        <v>1</v>
      </c>
      <c r="H6" s="13" t="n">
        <f aca="false">Inputs!I14</f>
        <v>13.2</v>
      </c>
      <c r="I6" s="21" t="n">
        <f aca="false">IF(OR(B6=0,D6=0),"",D6/B6)</f>
        <v>4</v>
      </c>
    </row>
    <row r="7" customFormat="false" ht="15" hidden="false" customHeight="false" outlineLevel="0" collapsed="false">
      <c r="A7" s="5" t="str">
        <f aca="false">IF(Inputs!A15="","",Inputs!A15)</f>
        <v>Brackenhall</v>
      </c>
      <c r="B7" s="12" t="n">
        <f aca="false">Inputs!B15</f>
        <v>2500000</v>
      </c>
      <c r="C7" s="12" t="n">
        <f aca="false">Inputs!B15*Inputs!D15</f>
        <v>35000000</v>
      </c>
      <c r="D7" s="12" t="n">
        <f aca="false">Inputs!C15</f>
        <v>9000000</v>
      </c>
      <c r="E7" s="12" t="n">
        <f aca="false">Inputs!C15*Inputs!E15</f>
        <v>18000000</v>
      </c>
      <c r="F7" s="21" t="n">
        <f aca="false">IF(Inputs!E15=0,"",Inputs!D15/Inputs!E15)</f>
        <v>7</v>
      </c>
      <c r="G7" s="17" t="n">
        <f aca="false">IF(Inputs!C15&gt;0,1,0)</f>
        <v>1</v>
      </c>
      <c r="H7" s="13" t="n">
        <f aca="false">Inputs!I15</f>
        <v>4.60869565217391</v>
      </c>
      <c r="I7" s="21" t="n">
        <f aca="false">IF(OR(B7=0,D7=0),"",D7/B7)</f>
        <v>3.6</v>
      </c>
    </row>
    <row r="8" customFormat="false" ht="15" hidden="false" customHeight="false" outlineLevel="0" collapsed="false">
      <c r="A8" s="5" t="str">
        <f aca="false">IF(Inputs!A16="","",Inputs!A16)</f>
        <v>Corriemore</v>
      </c>
      <c r="B8" s="12" t="n">
        <f aca="false">Inputs!B16</f>
        <v>3000000</v>
      </c>
      <c r="C8" s="12" t="n">
        <f aca="false">Inputs!B16*Inputs!D16</f>
        <v>18600000</v>
      </c>
      <c r="D8" s="12" t="n">
        <f aca="false">Inputs!C16</f>
        <v>7500000</v>
      </c>
      <c r="E8" s="12" t="n">
        <f aca="false">Inputs!C16*Inputs!E16</f>
        <v>9750000</v>
      </c>
      <c r="F8" s="21" t="n">
        <f aca="false">IF(Inputs!E16=0,"",Inputs!D16/Inputs!E16)</f>
        <v>4.76923076923077</v>
      </c>
      <c r="G8" s="17" t="n">
        <f aca="false">IF(Inputs!C16&gt;0,1,0)</f>
        <v>1</v>
      </c>
      <c r="H8" s="13" t="n">
        <f aca="false">Inputs!I16</f>
        <v>2.7</v>
      </c>
      <c r="I8" s="21" t="n">
        <f aca="false">IF(OR(B8=0,D8=0),"",D8/B8)</f>
        <v>2.5</v>
      </c>
    </row>
    <row r="9" customFormat="false" ht="15" hidden="false" customHeight="false" outlineLevel="0" collapsed="false">
      <c r="A9" s="5" t="str">
        <f aca="false">IF(Inputs!A17="","",Inputs!A17)</f>
        <v>Dunsyre</v>
      </c>
      <c r="B9" s="12" t="n">
        <f aca="false">Inputs!B17</f>
        <v>2500000</v>
      </c>
      <c r="C9" s="12" t="n">
        <f aca="false">Inputs!B17*Inputs!D17</f>
        <v>11000000</v>
      </c>
      <c r="D9" s="12" t="n">
        <f aca="false">Inputs!C17</f>
        <v>6000000</v>
      </c>
      <c r="E9" s="12" t="n">
        <f aca="false">Inputs!C17*Inputs!E17</f>
        <v>6000000</v>
      </c>
      <c r="F9" s="21" t="n">
        <f aca="false">IF(Inputs!E17=0,"",Inputs!D17/Inputs!E17)</f>
        <v>4.4</v>
      </c>
      <c r="G9" s="17" t="n">
        <f aca="false">IF(Inputs!C17&gt;0,1,0)</f>
        <v>1</v>
      </c>
      <c r="H9" s="13" t="n">
        <f aca="false">Inputs!I17</f>
        <v>2</v>
      </c>
      <c r="I9" s="21" t="n">
        <f aca="false">IF(OR(B9=0,D9=0),"",D9/B9)</f>
        <v>2.4</v>
      </c>
    </row>
    <row r="10" customFormat="false" ht="15" hidden="false" customHeight="false" outlineLevel="0" collapsed="false">
      <c r="A10" s="5" t="str">
        <f aca="false">IF(Inputs!A18="","",Inputs!A18)</f>
        <v>Ellisland</v>
      </c>
      <c r="B10" s="12" t="n">
        <f aca="false">Inputs!B18</f>
        <v>2500000</v>
      </c>
      <c r="C10" s="12" t="n">
        <f aca="false">Inputs!B18*Inputs!D18</f>
        <v>9000000</v>
      </c>
      <c r="D10" s="12" t="n">
        <f aca="false">Inputs!C18</f>
        <v>5500000</v>
      </c>
      <c r="E10" s="12" t="n">
        <f aca="false">Inputs!C18*Inputs!E18</f>
        <v>4675000</v>
      </c>
      <c r="F10" s="21" t="n">
        <f aca="false">IF(Inputs!E18=0,"",Inputs!D18/Inputs!E18)</f>
        <v>4.23529411764706</v>
      </c>
      <c r="G10" s="17" t="n">
        <f aca="false">IF(Inputs!C18&gt;0,1,0)</f>
        <v>1</v>
      </c>
      <c r="H10" s="13" t="n">
        <f aca="false">Inputs!I18</f>
        <v>1.709375</v>
      </c>
      <c r="I10" s="21" t="n">
        <f aca="false">IF(OR(B10=0,D10=0),"",D10/B10)</f>
        <v>2.2</v>
      </c>
    </row>
    <row r="11" customFormat="false" ht="15" hidden="false" customHeight="false" outlineLevel="0" collapsed="false">
      <c r="A11" s="5" t="str">
        <f aca="false">IF(Inputs!A19="","",Inputs!A19)</f>
        <v>Fettercairn</v>
      </c>
      <c r="B11" s="12" t="n">
        <f aca="false">Inputs!B19</f>
        <v>2500000</v>
      </c>
      <c r="C11" s="12" t="n">
        <f aca="false">Inputs!B19*Inputs!D19</f>
        <v>7000000</v>
      </c>
      <c r="D11" s="12" t="n">
        <f aca="false">Inputs!C19</f>
        <v>5000000</v>
      </c>
      <c r="E11" s="12" t="n">
        <f aca="false">Inputs!C19*Inputs!E19</f>
        <v>3500000</v>
      </c>
      <c r="F11" s="21" t="n">
        <f aca="false">IF(Inputs!E19=0,"",Inputs!D19/Inputs!E19)</f>
        <v>4</v>
      </c>
      <c r="G11" s="17" t="n">
        <f aca="false">IF(Inputs!C19&gt;0,1,0)</f>
        <v>1</v>
      </c>
      <c r="H11" s="13" t="n">
        <f aca="false">Inputs!I19</f>
        <v>1.4</v>
      </c>
      <c r="I11" s="21" t="n">
        <f aca="false">IF(OR(B11=0,D11=0),"",D11/B11)</f>
        <v>2</v>
      </c>
    </row>
    <row r="12" customFormat="false" ht="15" hidden="false" customHeight="false" outlineLevel="0" collapsed="false">
      <c r="A12" s="5" t="str">
        <f aca="false">IF(Inputs!A20="","",Inputs!A20)</f>
        <v>Glenlyon</v>
      </c>
      <c r="B12" s="12" t="n">
        <f aca="false">Inputs!B20</f>
        <v>2500000</v>
      </c>
      <c r="C12" s="12" t="n">
        <f aca="false">Inputs!B20*Inputs!D20</f>
        <v>5750000</v>
      </c>
      <c r="D12" s="12" t="n">
        <f aca="false">Inputs!C20</f>
        <v>4500000</v>
      </c>
      <c r="E12" s="12" t="n">
        <f aca="false">Inputs!C20*Inputs!E20</f>
        <v>2700000</v>
      </c>
      <c r="F12" s="21" t="n">
        <f aca="false">IF(Inputs!E20=0,"",Inputs!D20/Inputs!E20)</f>
        <v>3.83333333333333</v>
      </c>
      <c r="G12" s="17" t="n">
        <f aca="false">IF(Inputs!C20&gt;0,1,0)</f>
        <v>1</v>
      </c>
      <c r="H12" s="13" t="n">
        <f aca="false">Inputs!I20</f>
        <v>1.20714285714286</v>
      </c>
      <c r="I12" s="21" t="n">
        <f aca="false">IF(OR(B12=0,D12=0),"",D12/B12)</f>
        <v>1.8</v>
      </c>
    </row>
    <row r="13" customFormat="false" ht="15" hidden="false" customHeight="false" outlineLevel="0" collapsed="false">
      <c r="A13" s="5" t="str">
        <f aca="false">IF(Inputs!A21="","",Inputs!A21)</f>
        <v>Hazelbank</v>
      </c>
      <c r="B13" s="12" t="n">
        <f aca="false">Inputs!B21</f>
        <v>2500000</v>
      </c>
      <c r="C13" s="12" t="n">
        <f aca="false">Inputs!B21*Inputs!D21</f>
        <v>4250000</v>
      </c>
      <c r="D13" s="12" t="n">
        <f aca="false">Inputs!C21</f>
        <v>4000000</v>
      </c>
      <c r="E13" s="12" t="n">
        <f aca="false">Inputs!C21*Inputs!E21</f>
        <v>1800000</v>
      </c>
      <c r="F13" s="21" t="n">
        <f aca="false">IF(Inputs!E21=0,"",Inputs!D21/Inputs!E21)</f>
        <v>3.77777777777778</v>
      </c>
      <c r="G13" s="17" t="n">
        <f aca="false">IF(Inputs!C21&gt;0,1,0)</f>
        <v>1</v>
      </c>
      <c r="H13" s="13" t="n">
        <f aca="false">Inputs!I21</f>
        <v>0.930769230769231</v>
      </c>
      <c r="I13" s="21" t="n">
        <f aca="false">IF(OR(B13=0,D13=0),"",D13/B13)</f>
        <v>1.6</v>
      </c>
    </row>
    <row r="14" customFormat="false" ht="15" hidden="false" customHeight="false" outlineLevel="0" collapsed="false">
      <c r="A14" s="5" t="str">
        <f aca="false">IF(Inputs!A22="","",Inputs!A22)</f>
        <v>Inverleith</v>
      </c>
      <c r="B14" s="12" t="n">
        <f aca="false">Inputs!B22</f>
        <v>2500000</v>
      </c>
      <c r="C14" s="12" t="n">
        <f aca="false">Inputs!B22*Inputs!D22</f>
        <v>3250000</v>
      </c>
      <c r="D14" s="12" t="n">
        <f aca="false">Inputs!C22</f>
        <v>3500000</v>
      </c>
      <c r="E14" s="12" t="n">
        <f aca="false">Inputs!C22*Inputs!E22</f>
        <v>1225000</v>
      </c>
      <c r="F14" s="21" t="n">
        <f aca="false">IF(Inputs!E22=0,"",Inputs!D22/Inputs!E22)</f>
        <v>3.71428571428572</v>
      </c>
      <c r="G14" s="17" t="n">
        <f aca="false">IF(Inputs!C22&gt;0,1,0)</f>
        <v>1</v>
      </c>
      <c r="H14" s="13" t="n">
        <f aca="false">Inputs!I22</f>
        <v>0.745833333333333</v>
      </c>
      <c r="I14" s="21" t="n">
        <f aca="false">IF(OR(B14=0,D14=0),"",D14/B14)</f>
        <v>1.4</v>
      </c>
    </row>
    <row r="15" customFormat="false" ht="15" hidden="false" customHeight="false" outlineLevel="0" collapsed="false">
      <c r="A15" s="5" t="str">
        <f aca="false">IF(Inputs!A23="","",Inputs!A23)</f>
        <v>Jedburgh</v>
      </c>
      <c r="B15" s="12" t="n">
        <f aca="false">Inputs!B23</f>
        <v>2500000</v>
      </c>
      <c r="C15" s="12" t="n">
        <f aca="false">Inputs!B23*Inputs!D23</f>
        <v>2500000</v>
      </c>
      <c r="D15" s="12" t="n">
        <f aca="false">Inputs!C23</f>
        <v>3000000</v>
      </c>
      <c r="E15" s="12" t="n">
        <f aca="false">Inputs!C23*Inputs!E23</f>
        <v>900000</v>
      </c>
      <c r="F15" s="21" t="n">
        <f aca="false">IF(Inputs!E23=0,"",Inputs!D23/Inputs!E23)</f>
        <v>3.33333333333333</v>
      </c>
      <c r="G15" s="17" t="n">
        <f aca="false">IF(Inputs!C23&gt;0,1,0)</f>
        <v>1</v>
      </c>
      <c r="H15" s="13" t="n">
        <f aca="false">Inputs!I23</f>
        <v>0.618181818181818</v>
      </c>
      <c r="I15" s="21" t="n">
        <f aca="false">IF(OR(B15=0,D15=0),"",D15/B15)</f>
        <v>1.2</v>
      </c>
    </row>
    <row r="16" customFormat="false" ht="15" hidden="false" customHeight="false" outlineLevel="0" collapsed="false">
      <c r="A16" s="5" t="str">
        <f aca="false">IF(Inputs!A24="","",Inputs!A24)</f>
        <v>Kirkliston</v>
      </c>
      <c r="B16" s="12" t="n">
        <f aca="false">Inputs!B24</f>
        <v>2500000</v>
      </c>
      <c r="C16" s="12" t="n">
        <f aca="false">Inputs!B24*Inputs!D24</f>
        <v>2000000</v>
      </c>
      <c r="D16" s="12" t="n">
        <f aca="false">Inputs!C24</f>
        <v>2500000</v>
      </c>
      <c r="E16" s="12" t="n">
        <f aca="false">Inputs!C24*Inputs!E24</f>
        <v>550000</v>
      </c>
      <c r="F16" s="21" t="n">
        <f aca="false">IF(Inputs!E24=0,"",Inputs!D24/Inputs!E24)</f>
        <v>3.63636363636364</v>
      </c>
      <c r="G16" s="17" t="n">
        <f aca="false">IF(Inputs!C24&gt;0,1,0)</f>
        <v>1</v>
      </c>
      <c r="H16" s="13" t="n">
        <f aca="false">Inputs!I24</f>
        <v>0.51</v>
      </c>
      <c r="I16" s="21" t="n">
        <f aca="false">IF(OR(B16=0,D16=0),"",D16/B16)</f>
        <v>1</v>
      </c>
    </row>
    <row r="17" customFormat="false" ht="15" hidden="false" customHeight="false" outlineLevel="0" collapsed="false">
      <c r="A17" s="5" t="str">
        <f aca="false">IF(Inputs!A25="","",Inputs!A25)</f>
        <v>Lauriston</v>
      </c>
      <c r="B17" s="12" t="n">
        <f aca="false">Inputs!B25</f>
        <v>2500000</v>
      </c>
      <c r="C17" s="12" t="n">
        <f aca="false">Inputs!B25*Inputs!D25</f>
        <v>1375000</v>
      </c>
      <c r="D17" s="12" t="n">
        <f aca="false">Inputs!C25</f>
        <v>2000000</v>
      </c>
      <c r="E17" s="12" t="n">
        <f aca="false">Inputs!C25*Inputs!E25</f>
        <v>300000</v>
      </c>
      <c r="F17" s="21" t="n">
        <f aca="false">IF(Inputs!E25=0,"",Inputs!D25/Inputs!E25)</f>
        <v>3.66666666666667</v>
      </c>
      <c r="G17" s="17" t="n">
        <f aca="false">IF(Inputs!C25&gt;0,1,0)</f>
        <v>1</v>
      </c>
      <c r="H17" s="13" t="n">
        <f aca="false">Inputs!I25</f>
        <v>0.372222222222222</v>
      </c>
      <c r="I17" s="21" t="n">
        <f aca="false">IF(OR(B17=0,D17=0),"",D17/B17)</f>
        <v>0.8</v>
      </c>
    </row>
    <row r="18" customFormat="false" ht="15" hidden="false" customHeight="false" outlineLevel="0" collapsed="false">
      <c r="A18" s="5" t="str">
        <f aca="false">IF(Inputs!A26="","",Inputs!A26)</f>
        <v>Morningside</v>
      </c>
      <c r="B18" s="12" t="n">
        <f aca="false">Inputs!B26</f>
        <v>2500000</v>
      </c>
      <c r="C18" s="12" t="n">
        <f aca="false">Inputs!B26*Inputs!D26</f>
        <v>875000</v>
      </c>
      <c r="D18" s="12" t="n">
        <f aca="false">Inputs!C26</f>
        <v>1500000</v>
      </c>
      <c r="E18" s="12" t="n">
        <f aca="false">Inputs!C26*Inputs!E26</f>
        <v>150000</v>
      </c>
      <c r="F18" s="21" t="n">
        <f aca="false">IF(Inputs!E26=0,"",Inputs!D26/Inputs!E26)</f>
        <v>3.5</v>
      </c>
      <c r="G18" s="17" t="n">
        <f aca="false">IF(Inputs!C26&gt;0,1,0)</f>
        <v>1</v>
      </c>
      <c r="H18" s="13" t="n">
        <f aca="false">Inputs!I26</f>
        <v>0.25625</v>
      </c>
      <c r="I18" s="21" t="n">
        <f aca="false">IF(OR(B18=0,D18=0),"",D18/B18)</f>
        <v>0.6</v>
      </c>
    </row>
    <row r="19" customFormat="false" ht="15" hidden="false" customHeight="false" outlineLevel="0" collapsed="false">
      <c r="A19" s="5" t="str">
        <f aca="false">IF(Inputs!A27="","",Inputs!A27)</f>
        <v>Newington</v>
      </c>
      <c r="B19" s="12" t="n">
        <f aca="false">Inputs!B27</f>
        <v>2500000</v>
      </c>
      <c r="C19" s="12" t="n">
        <f aca="false">Inputs!B27*Inputs!D27</f>
        <v>500000</v>
      </c>
      <c r="D19" s="12" t="n">
        <f aca="false">Inputs!C27</f>
        <v>1000000</v>
      </c>
      <c r="E19" s="12" t="n">
        <f aca="false">Inputs!C27*Inputs!E27</f>
        <v>60000</v>
      </c>
      <c r="F19" s="21" t="n">
        <f aca="false">IF(Inputs!E27=0,"",Inputs!D27/Inputs!E27)</f>
        <v>3.33333333333333</v>
      </c>
      <c r="G19" s="17" t="n">
        <f aca="false">IF(Inputs!C27&gt;0,1,0)</f>
        <v>1</v>
      </c>
      <c r="H19" s="13" t="n">
        <f aca="false">Inputs!I27</f>
        <v>0.16</v>
      </c>
      <c r="I19" s="21" t="n">
        <f aca="false">IF(OR(B19=0,D19=0),"",D19/B19)</f>
        <v>0.4</v>
      </c>
    </row>
    <row r="20" customFormat="false" ht="15" hidden="false" customHeight="false" outlineLevel="0" collapsed="false">
      <c r="A20" s="5" t="str">
        <f aca="false">IF(Inputs!A28="","",Inputs!A28)</f>
        <v>Ochiltree</v>
      </c>
      <c r="B20" s="12" t="n">
        <f aca="false">Inputs!B28</f>
        <v>2500000</v>
      </c>
      <c r="C20" s="12" t="n">
        <f aca="false">Inputs!B28*Inputs!D28</f>
        <v>250000</v>
      </c>
      <c r="D20" s="12" t="n">
        <f aca="false">Inputs!C28</f>
        <v>500000</v>
      </c>
      <c r="E20" s="12" t="n">
        <f aca="false">Inputs!C28*Inputs!E28</f>
        <v>15000</v>
      </c>
      <c r="F20" s="21" t="n">
        <f aca="false">IF(Inputs!E28=0,"",Inputs!D28/Inputs!E28)</f>
        <v>3.33333333333333</v>
      </c>
      <c r="G20" s="17" t="n">
        <f aca="false">IF(Inputs!C28&gt;0,1,0)</f>
        <v>1</v>
      </c>
      <c r="H20" s="13" t="n">
        <f aca="false">Inputs!I28</f>
        <v>0.0883333333333333</v>
      </c>
      <c r="I20" s="21" t="n">
        <f aca="false">IF(OR(B20=0,D20=0),"",D20/B20)</f>
        <v>0.2</v>
      </c>
    </row>
    <row r="21" customFormat="false" ht="15" hidden="false" customHeight="false" outlineLevel="0" collapsed="false">
      <c r="A21" s="5" t="str">
        <f aca="false">IF(Inputs!A29="","",Inputs!A29)</f>
        <v>Polwarth</v>
      </c>
      <c r="B21" s="12" t="n">
        <f aca="false">Inputs!B29</f>
        <v>2500000</v>
      </c>
      <c r="C21" s="12" t="n">
        <f aca="false">Inputs!B29*Inputs!D29</f>
        <v>0</v>
      </c>
      <c r="D21" s="12" t="n">
        <f aca="false">Inputs!C29</f>
        <v>500000</v>
      </c>
      <c r="E21" s="12" t="n">
        <f aca="false">Inputs!C29*Inputs!E29</f>
        <v>0</v>
      </c>
      <c r="F21" s="21" t="str">
        <f aca="false">IF(Inputs!E29=0,"",Inputs!D29/Inputs!E29)</f>
        <v/>
      </c>
      <c r="G21" s="17" t="n">
        <f aca="false">IF(Inputs!C29&gt;0,1,0)</f>
        <v>1</v>
      </c>
      <c r="H21" s="13" t="n">
        <f aca="false">Inputs!I29</f>
        <v>0</v>
      </c>
      <c r="I21" s="21" t="n">
        <f aca="false">IF(OR(B21=0,D21=0),"",D21/B21)</f>
        <v>0.2</v>
      </c>
    </row>
    <row r="22" customFormat="false" ht="15" hidden="false" customHeight="false" outlineLevel="0" collapsed="false">
      <c r="A22" s="5" t="str">
        <f aca="false">IF(Inputs!A30="","",Inputs!A30)</f>
        <v>Quothquan</v>
      </c>
      <c r="B22" s="12" t="n">
        <f aca="false">Inputs!B30</f>
        <v>2000000</v>
      </c>
      <c r="C22" s="12" t="n">
        <f aca="false">Inputs!B30*Inputs!D30</f>
        <v>0</v>
      </c>
      <c r="D22" s="12" t="n">
        <f aca="false">Inputs!C30</f>
        <v>0</v>
      </c>
      <c r="E22" s="12" t="n">
        <f aca="false">Inputs!C30*Inputs!E30</f>
        <v>0</v>
      </c>
      <c r="F22" s="21" t="str">
        <f aca="false">IF(Inputs!E30=0,"",Inputs!D30/Inputs!E30)</f>
        <v/>
      </c>
      <c r="G22" s="17" t="n">
        <f aca="false">IF(Inputs!C30&gt;0,1,0)</f>
        <v>0</v>
      </c>
      <c r="H22" s="13" t="n">
        <f aca="false">Inputs!I30</f>
        <v>0</v>
      </c>
      <c r="I22" s="21" t="str">
        <f aca="false">IF(OR(B22=0,D22=0),"",D22/B22)</f>
        <v/>
      </c>
    </row>
    <row r="23" customFormat="false" ht="15" hidden="false" customHeight="false" outlineLevel="0" collapsed="false">
      <c r="A23" s="5" t="str">
        <f aca="false">IF(Inputs!A31="","",Inputs!A31)</f>
        <v>Restalrig</v>
      </c>
      <c r="B23" s="12" t="n">
        <f aca="false">Inputs!B31</f>
        <v>2000000</v>
      </c>
      <c r="C23" s="12" t="n">
        <f aca="false">Inputs!B31*Inputs!D31</f>
        <v>0</v>
      </c>
      <c r="D23" s="12" t="n">
        <f aca="false">Inputs!C31</f>
        <v>0</v>
      </c>
      <c r="E23" s="12" t="n">
        <f aca="false">Inputs!C31*Inputs!E31</f>
        <v>0</v>
      </c>
      <c r="F23" s="21" t="str">
        <f aca="false">IF(Inputs!E31=0,"",Inputs!D31/Inputs!E31)</f>
        <v/>
      </c>
      <c r="G23" s="17" t="n">
        <f aca="false">IF(Inputs!C31&gt;0,1,0)</f>
        <v>0</v>
      </c>
      <c r="H23" s="13" t="n">
        <f aca="false">Inputs!I31</f>
        <v>0</v>
      </c>
      <c r="I23" s="21" t="str">
        <f aca="false">IF(OR(B23=0,D23=0),"",D23/B23)</f>
        <v/>
      </c>
    </row>
    <row r="24" customFormat="false" ht="15" hidden="false" customHeight="false" outlineLevel="0" collapsed="false">
      <c r="A24" s="5" t="str">
        <f aca="false">IF(Inputs!A32="","",Inputs!A32)</f>
        <v>Slateford</v>
      </c>
      <c r="B24" s="12" t="n">
        <f aca="false">Inputs!B32</f>
        <v>2000000</v>
      </c>
      <c r="C24" s="12" t="n">
        <f aca="false">Inputs!B32*Inputs!D32</f>
        <v>0</v>
      </c>
      <c r="D24" s="12" t="n">
        <f aca="false">Inputs!C32</f>
        <v>0</v>
      </c>
      <c r="E24" s="12" t="n">
        <f aca="false">Inputs!C32*Inputs!E32</f>
        <v>0</v>
      </c>
      <c r="F24" s="21" t="str">
        <f aca="false">IF(Inputs!E32=0,"",Inputs!D32/Inputs!E32)</f>
        <v/>
      </c>
      <c r="G24" s="17" t="n">
        <f aca="false">IF(Inputs!C32&gt;0,1,0)</f>
        <v>0</v>
      </c>
      <c r="H24" s="13" t="n">
        <f aca="false">Inputs!I32</f>
        <v>0</v>
      </c>
      <c r="I24" s="21" t="str">
        <f aca="false">IF(OR(B24=0,D24=0),"",D24/B24)</f>
        <v/>
      </c>
    </row>
    <row r="25" customFormat="false" ht="15" hidden="false" customHeight="false" outlineLevel="0" collapsed="false">
      <c r="A25" s="5" t="str">
        <f aca="false">IF(Inputs!A33="","",Inputs!A33)</f>
        <v>Torphichen</v>
      </c>
      <c r="B25" s="12" t="n">
        <f aca="false">Inputs!B33</f>
        <v>2000000</v>
      </c>
      <c r="C25" s="12" t="n">
        <f aca="false">Inputs!B33*Inputs!D33</f>
        <v>0</v>
      </c>
      <c r="D25" s="12" t="n">
        <f aca="false">Inputs!C33</f>
        <v>0</v>
      </c>
      <c r="E25" s="12" t="n">
        <f aca="false">Inputs!C33*Inputs!E33</f>
        <v>0</v>
      </c>
      <c r="F25" s="21" t="str">
        <f aca="false">IF(Inputs!E33=0,"",Inputs!D33/Inputs!E33)</f>
        <v/>
      </c>
      <c r="G25" s="17" t="n">
        <f aca="false">IF(Inputs!C33&gt;0,1,0)</f>
        <v>0</v>
      </c>
      <c r="H25" s="13" t="n">
        <f aca="false">Inputs!I33</f>
        <v>0</v>
      </c>
      <c r="I25" s="21" t="str">
        <f aca="false">IF(OR(B25=0,D25=0),"",D25/B25)</f>
        <v/>
      </c>
    </row>
    <row r="26" customFormat="false" ht="15" hidden="false" customHeight="false" outlineLevel="0" collapsed="false">
      <c r="A26" s="5" t="str">
        <f aca="false">IF(Inputs!A34="","",Inputs!A34)</f>
        <v>Uddingston</v>
      </c>
      <c r="B26" s="12" t="n">
        <f aca="false">Inputs!B34</f>
        <v>2000000</v>
      </c>
      <c r="C26" s="12" t="n">
        <f aca="false">Inputs!B34*Inputs!D34</f>
        <v>0</v>
      </c>
      <c r="D26" s="12" t="n">
        <f aca="false">Inputs!C34</f>
        <v>0</v>
      </c>
      <c r="E26" s="12" t="n">
        <f aca="false">Inputs!C34*Inputs!E34</f>
        <v>0</v>
      </c>
      <c r="F26" s="21" t="str">
        <f aca="false">IF(Inputs!E34=0,"",Inputs!D34/Inputs!E34)</f>
        <v/>
      </c>
      <c r="G26" s="17" t="n">
        <f aca="false">IF(Inputs!C34&gt;0,1,0)</f>
        <v>0</v>
      </c>
      <c r="H26" s="13" t="n">
        <f aca="false">Inputs!I34</f>
        <v>0</v>
      </c>
      <c r="I26" s="21" t="str">
        <f aca="false">IF(OR(B26=0,D26=0),"",D26/B26)</f>
        <v/>
      </c>
    </row>
    <row r="27" customFormat="false" ht="15" hidden="false" customHeight="false" outlineLevel="0" collapsed="false">
      <c r="A27" s="5" t="str">
        <f aca="false">IF(Inputs!A35="","",Inputs!A35)</f>
        <v>Viewforth</v>
      </c>
      <c r="B27" s="12" t="n">
        <f aca="false">Inputs!B35</f>
        <v>2000000</v>
      </c>
      <c r="C27" s="12" t="n">
        <f aca="false">Inputs!B35*Inputs!D35</f>
        <v>0</v>
      </c>
      <c r="D27" s="12" t="n">
        <f aca="false">Inputs!C35</f>
        <v>0</v>
      </c>
      <c r="E27" s="12" t="n">
        <f aca="false">Inputs!C35*Inputs!E35</f>
        <v>0</v>
      </c>
      <c r="F27" s="21" t="str">
        <f aca="false">IF(Inputs!E35=0,"",Inputs!D35/Inputs!E35)</f>
        <v/>
      </c>
      <c r="G27" s="17" t="n">
        <f aca="false">IF(Inputs!C35&gt;0,1,0)</f>
        <v>0</v>
      </c>
      <c r="H27" s="13" t="n">
        <f aca="false">Inputs!I35</f>
        <v>0</v>
      </c>
      <c r="I27" s="21" t="str">
        <f aca="false">IF(OR(B27=0,D27=0),"",D27/B27)</f>
        <v/>
      </c>
    </row>
    <row r="28" customFormat="false" ht="15" hidden="false" customHeight="false" outlineLevel="0" collapsed="false">
      <c r="A28" s="5" t="str">
        <f aca="false">IF(Inputs!A36="","",Inputs!A36)</f>
        <v>Wardieburn</v>
      </c>
      <c r="B28" s="12" t="n">
        <f aca="false">Inputs!B36</f>
        <v>2000000</v>
      </c>
      <c r="C28" s="12" t="n">
        <f aca="false">Inputs!B36*Inputs!D36</f>
        <v>0</v>
      </c>
      <c r="D28" s="12" t="n">
        <f aca="false">Inputs!C36</f>
        <v>0</v>
      </c>
      <c r="E28" s="12" t="n">
        <f aca="false">Inputs!C36*Inputs!E36</f>
        <v>0</v>
      </c>
      <c r="F28" s="21" t="str">
        <f aca="false">IF(Inputs!E36=0,"",Inputs!D36/Inputs!E36)</f>
        <v/>
      </c>
      <c r="G28" s="17" t="n">
        <f aca="false">IF(Inputs!C36&gt;0,1,0)</f>
        <v>0</v>
      </c>
      <c r="H28" s="13" t="n">
        <f aca="false">Inputs!I36</f>
        <v>0</v>
      </c>
      <c r="I28" s="21" t="str">
        <f aca="false">IF(OR(B28=0,D28=0),"",D28/B28)</f>
        <v/>
      </c>
    </row>
    <row r="29" customFormat="false" ht="15" hidden="false" customHeight="false" outlineLevel="0" collapsed="false">
      <c r="A29" s="5" t="str">
        <f aca="false">IF(Inputs!A37="","",Inputs!A37)</f>
        <v>Xerisburn</v>
      </c>
      <c r="B29" s="12" t="n">
        <f aca="false">Inputs!B37</f>
        <v>1500000</v>
      </c>
      <c r="C29" s="12" t="n">
        <f aca="false">Inputs!B37*Inputs!D37</f>
        <v>0</v>
      </c>
      <c r="D29" s="12" t="n">
        <f aca="false">Inputs!C37</f>
        <v>0</v>
      </c>
      <c r="E29" s="12" t="n">
        <f aca="false">Inputs!C37*Inputs!E37</f>
        <v>0</v>
      </c>
      <c r="F29" s="21" t="str">
        <f aca="false">IF(Inputs!E37=0,"",Inputs!D37/Inputs!E37)</f>
        <v/>
      </c>
      <c r="G29" s="17" t="n">
        <f aca="false">IF(Inputs!C37&gt;0,1,0)</f>
        <v>0</v>
      </c>
      <c r="H29" s="13" t="n">
        <f aca="false">Inputs!I37</f>
        <v>0</v>
      </c>
      <c r="I29" s="21" t="str">
        <f aca="false">IF(OR(B29=0,D29=0),"",D29/B29)</f>
        <v/>
      </c>
    </row>
    <row r="30" customFormat="false" ht="15" hidden="false" customHeight="false" outlineLevel="0" collapsed="false">
      <c r="A30" s="5" t="str">
        <f aca="false">IF(Inputs!A38="","",Inputs!A38)</f>
        <v>Yarrowford</v>
      </c>
      <c r="B30" s="12" t="n">
        <f aca="false">Inputs!B38</f>
        <v>1500000</v>
      </c>
      <c r="C30" s="12" t="n">
        <f aca="false">Inputs!B38*Inputs!D38</f>
        <v>0</v>
      </c>
      <c r="D30" s="12" t="n">
        <f aca="false">Inputs!C38</f>
        <v>0</v>
      </c>
      <c r="E30" s="12" t="n">
        <f aca="false">Inputs!C38*Inputs!E38</f>
        <v>0</v>
      </c>
      <c r="F30" s="21" t="str">
        <f aca="false">IF(Inputs!E38=0,"",Inputs!D38/Inputs!E38)</f>
        <v/>
      </c>
      <c r="G30" s="17" t="n">
        <f aca="false">IF(Inputs!C38&gt;0,1,0)</f>
        <v>0</v>
      </c>
      <c r="H30" s="13" t="n">
        <f aca="false">Inputs!I38</f>
        <v>0</v>
      </c>
      <c r="I30" s="21" t="str">
        <f aca="false">IF(OR(B30=0,D30=0),"",D30/B30)</f>
        <v/>
      </c>
    </row>
    <row r="31" customFormat="false" ht="15" hidden="false" customHeight="false" outlineLevel="0" collapsed="false">
      <c r="A31" s="5" t="str">
        <f aca="false">IF(Inputs!A39="","",Inputs!A39)</f>
        <v>Zetlandhaugh</v>
      </c>
      <c r="B31" s="12" t="n">
        <f aca="false">Inputs!B39</f>
        <v>1500000</v>
      </c>
      <c r="C31" s="12" t="n">
        <f aca="false">Inputs!B39*Inputs!D39</f>
        <v>0</v>
      </c>
      <c r="D31" s="12" t="n">
        <f aca="false">Inputs!C39</f>
        <v>0</v>
      </c>
      <c r="E31" s="12" t="n">
        <f aca="false">Inputs!C39*Inputs!E39</f>
        <v>0</v>
      </c>
      <c r="F31" s="21" t="str">
        <f aca="false">IF(Inputs!E39=0,"",Inputs!D39/Inputs!E39)</f>
        <v/>
      </c>
      <c r="G31" s="17" t="n">
        <f aca="false">IF(Inputs!C39&gt;0,1,0)</f>
        <v>0</v>
      </c>
      <c r="H31" s="13" t="n">
        <f aca="false">Inputs!I39</f>
        <v>0</v>
      </c>
      <c r="I31" s="21" t="str">
        <f aca="false">IF(OR(B31=0,D31=0),"",D31/B31)</f>
        <v/>
      </c>
    </row>
    <row r="32" customFormat="false" ht="15" hidden="false" customHeight="false" outlineLevel="0" collapsed="false">
      <c r="A32" s="5" t="str">
        <f aca="false">IF(Inputs!A40="","",Inputs!A40)</f>
        <v>Abbeyhill</v>
      </c>
      <c r="B32" s="12" t="n">
        <f aca="false">Inputs!B40</f>
        <v>1500000</v>
      </c>
      <c r="C32" s="12" t="n">
        <f aca="false">Inputs!B40*Inputs!D40</f>
        <v>0</v>
      </c>
      <c r="D32" s="12" t="n">
        <f aca="false">Inputs!C40</f>
        <v>0</v>
      </c>
      <c r="E32" s="12" t="n">
        <f aca="false">Inputs!C40*Inputs!E40</f>
        <v>0</v>
      </c>
      <c r="F32" s="21" t="str">
        <f aca="false">IF(Inputs!E40=0,"",Inputs!D40/Inputs!E40)</f>
        <v/>
      </c>
      <c r="G32" s="17" t="n">
        <f aca="false">IF(Inputs!C40&gt;0,1,0)</f>
        <v>0</v>
      </c>
      <c r="H32" s="13" t="n">
        <f aca="false">Inputs!I40</f>
        <v>0</v>
      </c>
      <c r="I32" s="21" t="str">
        <f aca="false">IF(OR(B32=0,D32=0),"",D32/B32)</f>
        <v/>
      </c>
    </row>
    <row r="33" customFormat="false" ht="15" hidden="false" customHeight="false" outlineLevel="0" collapsed="false">
      <c r="A33" s="5" t="str">
        <f aca="false">IF(Inputs!A41="","",Inputs!A41)</f>
        <v>Blackford</v>
      </c>
      <c r="B33" s="12" t="n">
        <f aca="false">Inputs!B41</f>
        <v>1500000</v>
      </c>
      <c r="C33" s="12" t="n">
        <f aca="false">Inputs!B41*Inputs!D41</f>
        <v>0</v>
      </c>
      <c r="D33" s="12" t="n">
        <f aca="false">Inputs!C41</f>
        <v>0</v>
      </c>
      <c r="E33" s="12" t="n">
        <f aca="false">Inputs!C41*Inputs!E41</f>
        <v>0</v>
      </c>
      <c r="F33" s="21" t="str">
        <f aca="false">IF(Inputs!E41=0,"",Inputs!D41/Inputs!E41)</f>
        <v/>
      </c>
      <c r="G33" s="17" t="n">
        <f aca="false">IF(Inputs!C41&gt;0,1,0)</f>
        <v>0</v>
      </c>
      <c r="H33" s="13" t="n">
        <f aca="false">Inputs!I41</f>
        <v>0</v>
      </c>
      <c r="I33" s="21" t="str">
        <f aca="false">IF(OR(B33=0,D33=0),"",D33/B33)</f>
        <v/>
      </c>
    </row>
    <row r="34" customFormat="false" ht="15" hidden="false" customHeight="false" outlineLevel="0" collapsed="false">
      <c r="A34" s="14" t="s">
        <v>57</v>
      </c>
      <c r="B34" s="15" t="n">
        <f aca="false">SUM(B6:B33)</f>
        <v>62500000</v>
      </c>
      <c r="C34" s="15" t="n">
        <f aca="false">SUM(C6:C33)</f>
        <v>227350000</v>
      </c>
      <c r="D34" s="15" t="n">
        <f aca="false">SUM(D6:D33)</f>
        <v>68000000</v>
      </c>
      <c r="E34" s="15" t="n">
        <f aca="false">SUM(E6:E33)</f>
        <v>121625000</v>
      </c>
      <c r="G34" s="24" t="n">
        <f aca="false">SUM(G6:G33)</f>
        <v>16</v>
      </c>
    </row>
    <row r="36" customFormat="false" ht="15" hidden="false" customHeight="false" outlineLevel="0" collapsed="false">
      <c r="A36" s="3" t="s">
        <v>139</v>
      </c>
    </row>
    <row r="38" customFormat="false" ht="15" hidden="false" customHeight="false" outlineLevel="0" collapsed="false">
      <c r="A38" s="14" t="s">
        <v>140</v>
      </c>
      <c r="B38" s="16" t="n">
        <f aca="false">C34/B34</f>
        <v>3.6376</v>
      </c>
    </row>
    <row r="39" customFormat="false" ht="15" hidden="false" customHeight="false" outlineLevel="0" collapsed="false">
      <c r="A39" s="14" t="s">
        <v>141</v>
      </c>
      <c r="B39" s="16" t="n">
        <f aca="false">E34/D34</f>
        <v>1.78860294117647</v>
      </c>
    </row>
    <row r="40" customFormat="false" ht="15" hidden="false" customHeight="false" outlineLevel="0" collapsed="false">
      <c r="A40" s="5" t="s">
        <v>142</v>
      </c>
      <c r="B40" s="21" t="n">
        <f aca="false">B38-B39</f>
        <v>1.84899705882353</v>
      </c>
    </row>
    <row r="41" customFormat="false" ht="15" hidden="false" customHeight="false" outlineLevel="0" collapsed="false">
      <c r="A41" s="5" t="s">
        <v>143</v>
      </c>
      <c r="B41" s="21" t="n">
        <f aca="false">B38/B39</f>
        <v>2.03376608427544</v>
      </c>
    </row>
    <row r="42" customFormat="false" ht="15" hidden="false" customHeight="false" outlineLevel="0" collapsed="false">
      <c r="A42" s="5" t="s">
        <v>144</v>
      </c>
      <c r="B42" s="13" t="n">
        <f aca="false">(C34+E34)/(B34+D34)</f>
        <v>2.67413793103448</v>
      </c>
    </row>
    <row r="43" customFormat="false" ht="15" hidden="false" customHeight="false" outlineLevel="0" collapsed="false">
      <c r="A43" s="5" t="s">
        <v>145</v>
      </c>
      <c r="B43" s="20" t="n">
        <f aca="false">D34/(B34+D34)</f>
        <v>0.521072796934866</v>
      </c>
    </row>
    <row r="44" customFormat="false" ht="15" hidden="false" customHeight="false" outlineLevel="0" collapsed="false">
      <c r="A44" s="5" t="s">
        <v>146</v>
      </c>
      <c r="B44" s="17" t="n">
        <f aca="false">G34</f>
        <v>16</v>
      </c>
    </row>
    <row r="45" customFormat="false" ht="15" hidden="false" customHeight="false" outlineLevel="0" collapsed="false">
      <c r="A45" s="5" t="s">
        <v>147</v>
      </c>
      <c r="B45" s="12" t="n">
        <f aca="false">Fund!C18*D34/(B34+D34)</f>
        <v>11187432.9501916</v>
      </c>
    </row>
    <row r="46" customFormat="false" ht="15" hidden="false" customHeight="false" outlineLevel="0" collapsed="false">
      <c r="A46" s="5" t="s">
        <v>148</v>
      </c>
      <c r="B46" s="12" t="n">
        <f aca="false">Fund!C18-B45</f>
        <v>10282567.0498084</v>
      </c>
    </row>
    <row r="47" customFormat="false" ht="15" hidden="false" customHeight="false" outlineLevel="0" collapsed="false">
      <c r="A47" s="5" t="s">
        <v>149</v>
      </c>
      <c r="B47" s="20" t="n">
        <f aca="false">B45/D34</f>
        <v>0.164521072796935</v>
      </c>
    </row>
    <row r="48" customFormat="false" ht="15" hidden="false" customHeight="false" outlineLevel="0" collapsed="false">
      <c r="A48" s="5" t="s">
        <v>150</v>
      </c>
      <c r="B48" s="13" t="n">
        <f aca="false">C34/(B34+B46)</f>
        <v>3.12368756991512</v>
      </c>
    </row>
    <row r="49" customFormat="false" ht="15" hidden="false" customHeight="false" outlineLevel="0" collapsed="false">
      <c r="A49" s="5" t="s">
        <v>151</v>
      </c>
      <c r="B49" s="13" t="n">
        <f aca="false">E34/(D34+B45)</f>
        <v>1.53591290270138</v>
      </c>
    </row>
    <row r="50" customFormat="false" ht="15" hidden="false" customHeight="false" outlineLevel="0" collapsed="false">
      <c r="A50" s="5" t="s">
        <v>152</v>
      </c>
      <c r="B50" s="21" t="n">
        <f aca="false">B48/B49</f>
        <v>2.03376608427544</v>
      </c>
    </row>
    <row r="51" customFormat="false" ht="15" hidden="false" customHeight="false" outlineLevel="0" collapsed="false">
      <c r="A51" s="5" t="s">
        <v>153</v>
      </c>
      <c r="B51" s="20" t="n">
        <f aca="false">C34/(C34+E34)</f>
        <v>0.651479332330396</v>
      </c>
    </row>
    <row r="52" customFormat="false" ht="15" hidden="false" customHeight="false" outlineLevel="0" collapsed="false">
      <c r="A52" s="5" t="s">
        <v>154</v>
      </c>
      <c r="B52" s="20" t="n">
        <f aca="false">E34/(C34+E34)</f>
        <v>0.348520667669604</v>
      </c>
    </row>
    <row r="54" customFormat="false" ht="15" hidden="false" customHeight="false" outlineLevel="0" collapsed="false">
      <c r="A54" s="3" t="s">
        <v>155</v>
      </c>
    </row>
    <row r="55" customFormat="false" ht="15" hidden="false" customHeight="false" outlineLevel="0" collapsed="false">
      <c r="A55" s="5" t="s">
        <v>156</v>
      </c>
      <c r="B55" s="17" t="n">
        <f aca="false">SUMPRODUCT((D6:D33&gt;0)*(E6:E33&lt;D6:D33))</f>
        <v>12</v>
      </c>
    </row>
    <row r="56" customFormat="false" ht="15" hidden="false" customHeight="false" outlineLevel="0" collapsed="false">
      <c r="A56" s="5" t="s">
        <v>157</v>
      </c>
      <c r="B56" s="12" t="n">
        <f aca="false">SUMPRODUCT((D6:D33&gt;0)*(E6:E33&lt;D6:D33)*D6:D33)</f>
        <v>33500000</v>
      </c>
    </row>
    <row r="57" customFormat="false" ht="15" hidden="false" customHeight="false" outlineLevel="0" collapsed="false">
      <c r="A57" s="5" t="s">
        <v>158</v>
      </c>
      <c r="B57" s="12" t="n">
        <f aca="false">SUMPRODUCT((D6:D33&gt;0)*(E6:E33&lt;D6:D33)*E6:E33)</f>
        <v>15875000</v>
      </c>
    </row>
    <row r="58" customFormat="false" ht="15" hidden="false" customHeight="false" outlineLevel="0" collapsed="false">
      <c r="A58" s="14" t="s">
        <v>159</v>
      </c>
      <c r="B58" s="16" t="n">
        <f aca="false">B57/B56</f>
        <v>0.473880597014925</v>
      </c>
    </row>
    <row r="59" customFormat="false" ht="15" hidden="false" customHeight="false" outlineLevel="0" collapsed="false">
      <c r="A59" s="5" t="s">
        <v>160</v>
      </c>
      <c r="B59" s="20" t="n">
        <f aca="false">B56/D34</f>
        <v>0.492647058823529</v>
      </c>
    </row>
    <row r="60" customFormat="false" ht="15" hidden="false" customHeight="false" outlineLevel="0" collapsed="false">
      <c r="A60" s="5" t="s">
        <v>161</v>
      </c>
      <c r="B60" s="20" t="n">
        <f aca="false">MAX(E6:E33)/E34</f>
        <v>0.591983556012333</v>
      </c>
    </row>
    <row r="61" customFormat="false" ht="15" hidden="false" customHeight="false" outlineLevel="0" collapsed="false">
      <c r="A61" s="14" t="s">
        <v>162</v>
      </c>
      <c r="B61" s="16" t="n">
        <f aca="false">(E34-MAX(E6:E33))/(D34-INDEX(D6:D33,MATCH(MAX(E6:E33),E6:E33,0)))</f>
        <v>0.886160714285714</v>
      </c>
    </row>
    <row r="62" customFormat="false" ht="15" hidden="false" customHeight="false" outlineLevel="0" collapsed="false">
      <c r="A62" s="5" t="s">
        <v>163</v>
      </c>
      <c r="B62" s="12" t="n">
        <f aca="false">SUMPRODUCT((Inputs!H14:H41&gt;=LARGE(Inputs!H14:H41,3))*D6:D33)</f>
        <v>28500000</v>
      </c>
    </row>
    <row r="63" customFormat="false" ht="15" hidden="false" customHeight="false" outlineLevel="0" collapsed="false">
      <c r="A63" s="5" t="s">
        <v>160</v>
      </c>
      <c r="B63" s="20" t="n">
        <f aca="false">B62/D34</f>
        <v>0.419117647058824</v>
      </c>
    </row>
    <row r="64" customFormat="false" ht="15" hidden="false" customHeight="false" outlineLevel="0" collapsed="false">
      <c r="A64" s="5" t="s">
        <v>164</v>
      </c>
      <c r="B64" s="20" t="n">
        <f aca="false">SUMPRODUCT((Inputs!H14:H41&gt;=LARGE(Inputs!H14:H41,3))*E6:E33)/E34</f>
        <v>0.820143884892086</v>
      </c>
    </row>
    <row r="65" customFormat="false" ht="15" hidden="false" customHeight="false" outlineLevel="0" collapsed="false">
      <c r="A65" s="5" t="s">
        <v>165</v>
      </c>
      <c r="B65" s="12" t="n">
        <f aca="false">SUMPRODUCT((Inputs!H14:H41&lt;Inputs!G14:G41)*D6:D33)</f>
        <v>18500000</v>
      </c>
    </row>
    <row r="66" customFormat="false" ht="15" hidden="false" customHeight="false" outlineLevel="0" collapsed="false">
      <c r="A66" s="5" t="s">
        <v>160</v>
      </c>
      <c r="B66" s="20" t="n">
        <f aca="false">B65/D34</f>
        <v>0.272058823529412</v>
      </c>
    </row>
    <row r="67" customFormat="false" ht="15" hidden="false" customHeight="false" outlineLevel="0" collapsed="false">
      <c r="A67" s="5" t="s">
        <v>166</v>
      </c>
      <c r="B67" s="12" t="n">
        <f aca="false">SUMPRODUCT(G6:G33*B6:B33)</f>
        <v>41000000</v>
      </c>
    </row>
    <row r="68" customFormat="false" ht="15" hidden="false" customHeight="false" outlineLevel="0" collapsed="false">
      <c r="A68" s="5" t="s">
        <v>167</v>
      </c>
      <c r="B68" s="21" t="n">
        <f aca="false">D34/B67</f>
        <v>1.65853658536585</v>
      </c>
    </row>
    <row r="69" customFormat="false" ht="15" hidden="false" customHeight="false" outlineLevel="0" collapsed="false">
      <c r="A69" s="5" t="s">
        <v>168</v>
      </c>
      <c r="B69" s="20" t="n">
        <f aca="false">(B67+D34)/(B34+D34)</f>
        <v>0.835249042145594</v>
      </c>
    </row>
    <row r="70" customFormat="false" ht="15" hidden="false" customHeight="false" outlineLevel="0" collapsed="false">
      <c r="A70" s="5" t="s">
        <v>169</v>
      </c>
      <c r="B70" s="17" t="n">
        <f aca="false">COUNTIFS(G6:G33,0,B6:B33,"&gt;0")</f>
        <v>12</v>
      </c>
    </row>
    <row r="71" customFormat="false" ht="15" hidden="false" customHeight="false" outlineLevel="0" collapsed="false">
      <c r="A71" s="5" t="s">
        <v>157</v>
      </c>
      <c r="B71" s="12" t="n">
        <f aca="false">B34-B67</f>
        <v>21500000</v>
      </c>
    </row>
    <row r="72" customFormat="false" ht="15" hidden="false" customHeight="false" outlineLevel="0" collapsed="false">
      <c r="A72" s="5" t="s">
        <v>170</v>
      </c>
      <c r="B72" s="20" t="n">
        <f aca="false">B71/B34</f>
        <v>0.344</v>
      </c>
    </row>
    <row r="73" customFormat="false" ht="15" hidden="false" customHeight="false" outlineLevel="0" collapsed="false">
      <c r="A73" s="5" t="s">
        <v>171</v>
      </c>
      <c r="B73" s="20" t="n">
        <f aca="false">B71/(B34+D34)</f>
        <v>0.164750957854406</v>
      </c>
    </row>
    <row r="74" customFormat="false" ht="15" hidden="false" customHeight="false" outlineLevel="0" collapsed="false">
      <c r="A74" s="5" t="s">
        <v>158</v>
      </c>
      <c r="B74" s="12" t="n">
        <f aca="false">SUMPRODUCT((G6:G33=0)*C6:C33)</f>
        <v>0</v>
      </c>
    </row>
    <row r="75" customFormat="false" ht="15" hidden="false" customHeight="false" outlineLevel="0" collapsed="false">
      <c r="A75" s="5" t="s">
        <v>172</v>
      </c>
      <c r="B75" s="12" t="n">
        <f aca="false">B34/COUNTIF(B6:B33,"&gt;0")</f>
        <v>2232142.85714286</v>
      </c>
      <c r="C75" s="12" t="n">
        <f aca="false">D34/B44</f>
        <v>4250000</v>
      </c>
      <c r="D75" s="21" t="n">
        <f aca="false">C75/B75</f>
        <v>1.904</v>
      </c>
    </row>
    <row r="76" customFormat="false" ht="15" hidden="false" customHeight="false" outlineLevel="0" collapsed="false">
      <c r="A76" s="3" t="s">
        <v>173</v>
      </c>
    </row>
    <row r="77" customFormat="false" ht="15" hidden="false" customHeight="false" outlineLevel="0" collapsed="false">
      <c r="A77" s="5" t="s">
        <v>174</v>
      </c>
      <c r="B77" s="17" t="n">
        <f aca="false">MATCH(MAX(Inputs!H14:H41),Inputs!H14:H41,0)</f>
        <v>1</v>
      </c>
    </row>
    <row r="78" customFormat="false" ht="15" hidden="false" customHeight="false" outlineLevel="0" collapsed="false">
      <c r="A78" s="14" t="s">
        <v>175</v>
      </c>
      <c r="B78" s="16" t="n">
        <f aca="false">(C34-INDEX(C6:C33,B77))/(B34-INDEX(B6:B33,B77))</f>
        <v>1.70336134453782</v>
      </c>
    </row>
    <row r="79" customFormat="false" ht="15" hidden="false" customHeight="false" outlineLevel="0" collapsed="false">
      <c r="A79" s="14" t="s">
        <v>176</v>
      </c>
      <c r="B79" s="16" t="n">
        <f aca="false">(E34-INDEX(E6:E33,B77))/(D34-INDEX(D6:D33,B77))</f>
        <v>0.886160714285714</v>
      </c>
    </row>
    <row r="80" customFormat="false" ht="15" hidden="false" customHeight="false" outlineLevel="0" collapsed="false">
      <c r="A80" s="5" t="s">
        <v>143</v>
      </c>
      <c r="B80" s="21" t="n">
        <f aca="false">B78/B79</f>
        <v>1.92218106386131</v>
      </c>
    </row>
    <row r="82" customFormat="false" ht="15" hidden="false" customHeight="false" outlineLevel="0" collapsed="false">
      <c r="A82" s="3" t="s">
        <v>177</v>
      </c>
    </row>
    <row r="84" customFormat="false" ht="15" hidden="false" customHeight="false" outlineLevel="0" collapsed="false">
      <c r="A84" s="5" t="s">
        <v>178</v>
      </c>
      <c r="B84" s="12" t="n">
        <f aca="false">SUMPRODUCT((Inputs!D14:D41&lt;1)*Inputs!C14:C41)</f>
        <v>8000000</v>
      </c>
    </row>
    <row r="85" customFormat="false" ht="15" hidden="false" customHeight="false" outlineLevel="0" collapsed="false">
      <c r="A85" s="5" t="s">
        <v>179</v>
      </c>
      <c r="B85" s="12" t="n">
        <f aca="false">SUMPRODUCT((Inputs!D14:D41&lt;1)*Inputs!C14:C41*Inputs!E14:E41)</f>
        <v>1075000</v>
      </c>
    </row>
    <row r="86" customFormat="false" ht="15" hidden="false" customHeight="false" outlineLevel="0" collapsed="false">
      <c r="A86" s="5" t="s">
        <v>159</v>
      </c>
      <c r="B86" s="13" t="n">
        <f aca="false">B85/B84</f>
        <v>0.134375</v>
      </c>
    </row>
    <row r="87" customFormat="false" ht="15" hidden="false" customHeight="false" outlineLevel="0" collapsed="false">
      <c r="A87" s="14" t="s">
        <v>180</v>
      </c>
      <c r="B87" s="16" t="n">
        <f aca="false">(Inputs!H42-B85)/(Inputs!G42-B84)</f>
        <v>2.84</v>
      </c>
    </row>
    <row r="88" customFormat="false" ht="15" hidden="false" customHeight="false" outlineLevel="0" collapsed="false">
      <c r="A88" s="5" t="s">
        <v>181</v>
      </c>
      <c r="B88" s="21" t="n">
        <f aca="false">B87-Inputs!I42</f>
        <v>0.165862068965517</v>
      </c>
    </row>
    <row r="89" customFormat="false" ht="15" hidden="false" customHeight="false" outlineLevel="0" collapsed="false">
      <c r="A89" s="5" t="s">
        <v>18</v>
      </c>
      <c r="B89" s="12" t="n">
        <f aca="false">Inputs!B10*MAX(0,Inputs!H42-B85-Inputs!B7)</f>
        <v>39580000</v>
      </c>
    </row>
    <row r="90" customFormat="false" ht="15" hidden="false" customHeight="false" outlineLevel="0" collapsed="false">
      <c r="A90" s="5" t="s">
        <v>182</v>
      </c>
      <c r="B90" s="12" t="n">
        <f aca="false">Inputs!H42-B85-B89</f>
        <v>308320000</v>
      </c>
    </row>
    <row r="91" customFormat="false" ht="15" hidden="false" customHeight="false" outlineLevel="0" collapsed="false">
      <c r="A91" s="14" t="s">
        <v>183</v>
      </c>
      <c r="B91" s="16" t="n">
        <f aca="false">B90/Inputs!B7</f>
        <v>2.05546666666667</v>
      </c>
    </row>
    <row r="92" customFormat="false" ht="15" hidden="false" customHeight="false" outlineLevel="0" collapsed="false">
      <c r="A92" s="5" t="s">
        <v>184</v>
      </c>
      <c r="B92" s="12" t="n">
        <f aca="false">Fund!B30-B84</f>
        <v>143970000</v>
      </c>
    </row>
    <row r="93" customFormat="false" ht="15" hidden="false" customHeight="false" outlineLevel="0" collapsed="false">
      <c r="A93" s="14" t="s">
        <v>185</v>
      </c>
      <c r="B93" s="15" t="n">
        <f aca="false">B84-(Fund!B38-B90)</f>
        <v>7140000</v>
      </c>
    </row>
    <row r="94" customFormat="false" ht="15" hidden="false" customHeight="false" outlineLevel="0" collapsed="false">
      <c r="A94" s="5" t="s">
        <v>186</v>
      </c>
      <c r="B94" s="13" t="n">
        <f aca="false">(Inputs!H42-SUMPRODUCT((Inputs!D14:D41&lt;=1)*Inputs!C14:C41*Inputs!E14:E41))/(Inputs!G42-SUMPRODUCT((Inputs!D14:D41&lt;=1)*Inputs!C14:C41))</f>
        <v>2.90376569037657</v>
      </c>
    </row>
    <row r="95" customFormat="false" ht="15" hidden="false" customHeight="false" outlineLevel="0" collapsed="false">
      <c r="A95" s="2" t="s">
        <v>187</v>
      </c>
    </row>
    <row r="97" customFormat="false" ht="15" hidden="false" customHeight="false" outlineLevel="0" collapsed="false">
      <c r="A97" s="3" t="s">
        <v>188</v>
      </c>
    </row>
    <row r="98" customFormat="false" ht="15" hidden="false" customHeight="false" outlineLevel="0" collapsed="false">
      <c r="A98" s="9"/>
      <c r="B98" s="9" t="s">
        <v>189</v>
      </c>
      <c r="C98" s="9" t="s">
        <v>190</v>
      </c>
      <c r="D98" s="9" t="s">
        <v>191</v>
      </c>
    </row>
    <row r="99" customFormat="false" ht="15" hidden="false" customHeight="false" outlineLevel="0" collapsed="false">
      <c r="A99" s="5" t="s">
        <v>192</v>
      </c>
      <c r="B99" s="17" t="n">
        <f aca="false">COUNTIF(B6:B33,"&gt;0")</f>
        <v>28</v>
      </c>
      <c r="C99" s="17" t="n">
        <f aca="false">G34</f>
        <v>16</v>
      </c>
    </row>
    <row r="100" customFormat="false" ht="15" hidden="false" customHeight="false" outlineLevel="0" collapsed="false">
      <c r="A100" s="5" t="s">
        <v>193</v>
      </c>
      <c r="B100" s="12" t="n">
        <f aca="false">B34</f>
        <v>62500000</v>
      </c>
      <c r="C100" s="12" t="n">
        <f aca="false">D34</f>
        <v>68000000</v>
      </c>
      <c r="D100" s="12" t="n">
        <f aca="false">B100+C100</f>
        <v>130500000</v>
      </c>
    </row>
    <row r="101" customFormat="false" ht="15" hidden="false" customHeight="false" outlineLevel="0" collapsed="false">
      <c r="A101" s="5" t="s">
        <v>194</v>
      </c>
      <c r="B101" s="12" t="n">
        <f aca="false">B46</f>
        <v>10282567.0498084</v>
      </c>
      <c r="C101" s="12" t="n">
        <f aca="false">B45</f>
        <v>11187432.9501916</v>
      </c>
      <c r="D101" s="12" t="n">
        <f aca="false">B101+C101</f>
        <v>21470000</v>
      </c>
    </row>
    <row r="102" customFormat="false" ht="15" hidden="false" customHeight="false" outlineLevel="0" collapsed="false">
      <c r="A102" s="5" t="s">
        <v>195</v>
      </c>
      <c r="B102" s="12" t="n">
        <f aca="false">B100+B101</f>
        <v>72782567.0498084</v>
      </c>
      <c r="C102" s="12" t="n">
        <f aca="false">C100+C101</f>
        <v>79187432.9501916</v>
      </c>
      <c r="D102" s="12" t="n">
        <f aca="false">B102+C102</f>
        <v>151970000</v>
      </c>
    </row>
    <row r="103" customFormat="false" ht="15" hidden="false" customHeight="false" outlineLevel="0" collapsed="false">
      <c r="A103" s="5" t="s">
        <v>76</v>
      </c>
      <c r="B103" s="12" t="n">
        <f aca="false">C34</f>
        <v>227350000</v>
      </c>
      <c r="C103" s="12" t="n">
        <f aca="false">E34</f>
        <v>121625000</v>
      </c>
      <c r="D103" s="12" t="n">
        <f aca="false">B103+C103</f>
        <v>348975000</v>
      </c>
    </row>
    <row r="104" customFormat="false" ht="15" hidden="false" customHeight="false" outlineLevel="0" collapsed="false">
      <c r="A104" s="5" t="s">
        <v>196</v>
      </c>
      <c r="B104" s="13" t="n">
        <f aca="false">B103/B100</f>
        <v>3.6376</v>
      </c>
      <c r="C104" s="13" t="n">
        <f aca="false">C103/C100</f>
        <v>1.78860294117647</v>
      </c>
    </row>
    <row r="105" customFormat="false" ht="15" hidden="false" customHeight="false" outlineLevel="0" collapsed="false">
      <c r="A105" s="5" t="s">
        <v>197</v>
      </c>
      <c r="B105" s="12" t="n">
        <f aca="false">Inputs!B10*MAX(0,B103-B102)</f>
        <v>30913486.5900383</v>
      </c>
      <c r="C105" s="12" t="n">
        <f aca="false">Inputs!B10*MAX(0,C103-C102)</f>
        <v>8487513.40996169</v>
      </c>
      <c r="D105" s="12" t="n">
        <f aca="false">B105+C105</f>
        <v>39401000</v>
      </c>
    </row>
    <row r="106" customFormat="false" ht="15" hidden="false" customHeight="false" outlineLevel="0" collapsed="false">
      <c r="A106" s="5" t="s">
        <v>198</v>
      </c>
      <c r="B106" s="12" t="n">
        <f aca="false">B103-B105</f>
        <v>196436513.409962</v>
      </c>
      <c r="C106" s="12" t="n">
        <f aca="false">C103-C105</f>
        <v>113137486.590038</v>
      </c>
      <c r="D106" s="12" t="n">
        <f aca="false">B106+C106</f>
        <v>309574000</v>
      </c>
    </row>
    <row r="107" customFormat="false" ht="15" hidden="false" customHeight="false" outlineLevel="0" collapsed="false">
      <c r="A107" s="5" t="s">
        <v>199</v>
      </c>
      <c r="B107" s="16" t="n">
        <f aca="false">B106/B102</f>
        <v>2.69895005593209</v>
      </c>
      <c r="C107" s="16" t="n">
        <f aca="false">C106/C102</f>
        <v>1.42873032216111</v>
      </c>
    </row>
    <row r="108" customFormat="false" ht="15" hidden="false" customHeight="false" outlineLevel="0" collapsed="false">
      <c r="A108" s="5" t="s">
        <v>200</v>
      </c>
      <c r="B108" s="12" t="n">
        <f aca="false">B101+B105</f>
        <v>41196053.6398467</v>
      </c>
      <c r="C108" s="12" t="n">
        <f aca="false">C101+C105</f>
        <v>19674946.3601533</v>
      </c>
      <c r="D108" s="12" t="n">
        <f aca="false">B108+C108</f>
        <v>60871000</v>
      </c>
    </row>
    <row r="109" customFormat="false" ht="15" hidden="false" customHeight="false" outlineLevel="0" collapsed="false">
      <c r="A109" s="5" t="s">
        <v>201</v>
      </c>
      <c r="B109" s="20" t="n">
        <f aca="false">B108/B103</f>
        <v>0.181201027665919</v>
      </c>
      <c r="C109" s="20" t="n">
        <f aca="false">C108/C103</f>
        <v>0.161767287647714</v>
      </c>
    </row>
    <row r="110" customFormat="false" ht="15" hidden="false" customHeight="false" outlineLevel="0" collapsed="false">
      <c r="A110" s="5" t="s">
        <v>202</v>
      </c>
      <c r="D110" s="12" t="n">
        <f aca="false">Fund!B37</f>
        <v>39795000</v>
      </c>
    </row>
    <row r="111" customFormat="false" ht="15" hidden="false" customHeight="false" outlineLevel="0" collapsed="false">
      <c r="A111" s="5" t="s">
        <v>203</v>
      </c>
      <c r="D111" s="12" t="n">
        <f aca="false">D110-D105</f>
        <v>394000</v>
      </c>
    </row>
    <row r="113" customFormat="false" ht="15" hidden="false" customHeight="false" outlineLevel="0" collapsed="false">
      <c r="A113" s="3" t="s">
        <v>204</v>
      </c>
    </row>
    <row r="114" customFormat="false" ht="15" hidden="false" customHeight="false" outlineLevel="0" collapsed="false">
      <c r="A114" s="5" t="s">
        <v>205</v>
      </c>
      <c r="B114" s="25" t="n">
        <v>0.5</v>
      </c>
    </row>
    <row r="115" customFormat="false" ht="15" hidden="false" customHeight="false" outlineLevel="0" collapsed="false">
      <c r="A115" s="5" t="s">
        <v>206</v>
      </c>
      <c r="B115" s="7" t="n">
        <v>0.1</v>
      </c>
    </row>
    <row r="116" customFormat="false" ht="15" hidden="false" customHeight="false" outlineLevel="0" collapsed="false">
      <c r="A116" s="5" t="s">
        <v>207</v>
      </c>
      <c r="B116" s="12" t="n">
        <f aca="false">C101*B114</f>
        <v>5593716.47509579</v>
      </c>
    </row>
    <row r="117" customFormat="false" ht="15" hidden="false" customHeight="false" outlineLevel="0" collapsed="false">
      <c r="A117" s="5" t="s">
        <v>208</v>
      </c>
      <c r="B117" s="12" t="n">
        <f aca="false">C100+B116</f>
        <v>73593716.4750958</v>
      </c>
    </row>
    <row r="118" customFormat="false" ht="15" hidden="false" customHeight="false" outlineLevel="0" collapsed="false">
      <c r="A118" s="5" t="s">
        <v>18</v>
      </c>
      <c r="B118" s="12" t="n">
        <f aca="false">B115*MAX(0,C103-B117)</f>
        <v>4803128.35249042</v>
      </c>
    </row>
    <row r="119" customFormat="false" ht="15" hidden="false" customHeight="false" outlineLevel="0" collapsed="false">
      <c r="A119" s="5" t="s">
        <v>209</v>
      </c>
      <c r="B119" s="12" t="n">
        <f aca="false">B116+B118</f>
        <v>10396844.8275862</v>
      </c>
    </row>
    <row r="120" customFormat="false" ht="15" hidden="false" customHeight="false" outlineLevel="0" collapsed="false">
      <c r="A120" s="5" t="s">
        <v>210</v>
      </c>
      <c r="B120" s="12" t="n">
        <f aca="false">C108</f>
        <v>19674946.3601533</v>
      </c>
    </row>
    <row r="121" customFormat="false" ht="15" hidden="false" customHeight="false" outlineLevel="0" collapsed="false">
      <c r="A121" s="14" t="s">
        <v>211</v>
      </c>
      <c r="B121" s="15" t="n">
        <f aca="false">B120-B119</f>
        <v>9278101.53256705</v>
      </c>
    </row>
    <row r="122" customFormat="false" ht="15" hidden="false" customHeight="false" outlineLevel="0" collapsed="false">
      <c r="A122" s="5" t="s">
        <v>212</v>
      </c>
      <c r="B122" s="20" t="n">
        <f aca="false">B121/Inputs!B7</f>
        <v>0.0618540102171137</v>
      </c>
    </row>
    <row r="123" customFormat="false" ht="15" hidden="false" customHeight="false" outlineLevel="0" collapsed="false">
      <c r="A123" s="5" t="s">
        <v>213</v>
      </c>
      <c r="B123" s="20" t="n">
        <f aca="false">B121/C103</f>
        <v>0.0762844935873961</v>
      </c>
    </row>
    <row r="124" customFormat="false" ht="15" hidden="false" customHeight="false" outlineLevel="0" collapsed="false">
      <c r="A124" s="14" t="s">
        <v>214</v>
      </c>
      <c r="B124" s="16" t="n">
        <f aca="false">(C103-B118)/B117</f>
        <v>1.58738921259728</v>
      </c>
    </row>
    <row r="125" customFormat="false" ht="15" hidden="false" customHeight="false" outlineLevel="0" collapsed="false">
      <c r="A125" s="5" t="s">
        <v>215</v>
      </c>
      <c r="B125" s="21" t="n">
        <f aca="false">B124-C107</f>
        <v>0.15865889043617</v>
      </c>
    </row>
    <row r="127" customFormat="false" ht="15" hidden="false" customHeight="false" outlineLevel="0" collapsed="false">
      <c r="A127" s="3" t="s">
        <v>216</v>
      </c>
    </row>
    <row r="128" customFormat="false" ht="15" hidden="false" customHeight="false" outlineLevel="0" collapsed="false">
      <c r="A128" s="5" t="s">
        <v>217</v>
      </c>
      <c r="B128" s="12" t="n">
        <f aca="false">Fund!B37*C103/(B103+C103)</f>
        <v>13869379.9699119</v>
      </c>
    </row>
    <row r="129" customFormat="false" ht="15" hidden="false" customHeight="false" outlineLevel="0" collapsed="false">
      <c r="A129" s="5" t="s">
        <v>218</v>
      </c>
      <c r="B129" s="12" t="n">
        <f aca="false">B128-C105</f>
        <v>5381866.5599502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0"/>
    <col collapsed="false" customWidth="true" hidden="false" outlineLevel="0" max="4" min="3" style="0" width="18"/>
    <col collapsed="false" customWidth="true" hidden="false" outlineLevel="0" max="5" min="5" style="0" width="12"/>
    <col collapsed="false" customWidth="true" hidden="false" outlineLevel="0" max="6" min="6" style="0" width="10"/>
    <col collapsed="false" customWidth="true" hidden="false" outlineLevel="0" max="7" min="7" style="0" width="58"/>
  </cols>
  <sheetData>
    <row r="1" customFormat="false" ht="19.7" hidden="false" customHeight="false" outlineLevel="0" collapsed="false">
      <c r="A1" s="1" t="s">
        <v>219</v>
      </c>
    </row>
    <row r="2" customFormat="false" ht="15" hidden="false" customHeight="false" outlineLevel="0" collapsed="false">
      <c r="A2" s="2" t="s">
        <v>220</v>
      </c>
    </row>
    <row r="5" customFormat="false" ht="15" hidden="false" customHeight="false" outlineLevel="0" collapsed="false">
      <c r="A5" s="9" t="s">
        <v>221</v>
      </c>
      <c r="B5" s="9" t="s">
        <v>222</v>
      </c>
      <c r="C5" s="9" t="s">
        <v>223</v>
      </c>
      <c r="D5" s="9" t="s">
        <v>224</v>
      </c>
      <c r="E5" s="9" t="s">
        <v>225</v>
      </c>
      <c r="F5" s="9" t="s">
        <v>226</v>
      </c>
      <c r="G5" s="9" t="s">
        <v>227</v>
      </c>
    </row>
    <row r="6" customFormat="false" ht="15" hidden="false" customHeight="false" outlineLevel="0" collapsed="false">
      <c r="A6" s="5" t="s">
        <v>228</v>
      </c>
      <c r="B6" s="4" t="s">
        <v>72</v>
      </c>
      <c r="C6" s="12" t="n">
        <v>62500000</v>
      </c>
      <c r="D6" s="12" t="n">
        <f aca="false">Reserve!B34</f>
        <v>62500000</v>
      </c>
      <c r="E6" s="26" t="n">
        <f aca="false">IF(ISNUMBER(D6),D6-C6,"")</f>
        <v>0</v>
      </c>
      <c r="F6" s="14" t="str">
        <f aca="false">IF(ISNUMBER(D6),IF(ABS(E6)&lt;=0.5,"PASS","FAIL"),"FAIL")</f>
        <v>PASS</v>
      </c>
      <c r="G6" s="2"/>
    </row>
    <row r="7" customFormat="false" ht="15" hidden="false" customHeight="false" outlineLevel="0" collapsed="false">
      <c r="A7" s="27" t="s">
        <v>228</v>
      </c>
      <c r="B7" s="28" t="s">
        <v>73</v>
      </c>
      <c r="C7" s="19" t="n">
        <v>68000000</v>
      </c>
      <c r="D7" s="19" t="n">
        <f aca="false">Reserve!D34</f>
        <v>68000000</v>
      </c>
      <c r="E7" s="29" t="n">
        <f aca="false">IF(ISNUMBER(D7),D7-C7,"")</f>
        <v>0</v>
      </c>
      <c r="F7" s="30" t="str">
        <f aca="false">IF(ISNUMBER(D7),IF(ABS(E7)&lt;=0.5,"PASS","FAIL"),"FAIL")</f>
        <v>PASS</v>
      </c>
      <c r="G7" s="31"/>
    </row>
    <row r="8" customFormat="false" ht="15" hidden="false" customHeight="false" outlineLevel="0" collapsed="false">
      <c r="A8" s="5" t="s">
        <v>228</v>
      </c>
      <c r="B8" s="4" t="s">
        <v>75</v>
      </c>
      <c r="C8" s="20" t="n">
        <v>0.521073</v>
      </c>
      <c r="D8" s="20" t="n">
        <f aca="false">Reserve!B43</f>
        <v>0.521072796934866</v>
      </c>
      <c r="E8" s="26" t="n">
        <f aca="false">IF(ISNUMBER(D8),D8-C8,"")</f>
        <v>-2.03065134152247E-007</v>
      </c>
      <c r="F8" s="14" t="str">
        <f aca="false">IF(ISNUMBER(D8),IF(ABS(E8)&lt;=0.0000005,"PASS","FAIL"),"FAIL")</f>
        <v>PASS</v>
      </c>
      <c r="G8" s="2"/>
    </row>
    <row r="9" customFormat="false" ht="15" hidden="false" customHeight="false" outlineLevel="0" collapsed="false">
      <c r="A9" s="27" t="s">
        <v>228</v>
      </c>
      <c r="B9" s="28" t="s">
        <v>229</v>
      </c>
      <c r="C9" s="32" t="n">
        <v>0.453333</v>
      </c>
      <c r="D9" s="32" t="n">
        <f aca="false">Reserve!D34/Inputs!B7</f>
        <v>0.453333333333333</v>
      </c>
      <c r="E9" s="29" t="n">
        <f aca="false">IF(ISNUMBER(D9),D9-C9,"")</f>
        <v>3.33333333324415E-007</v>
      </c>
      <c r="F9" s="30" t="str">
        <f aca="false">IF(ISNUMBER(D9),IF(ABS(E9)&lt;=0.0000005,"PASS","FAIL"),"FAIL")</f>
        <v>PASS</v>
      </c>
      <c r="G9" s="31"/>
    </row>
    <row r="10" customFormat="false" ht="15" hidden="false" customHeight="false" outlineLevel="0" collapsed="false">
      <c r="A10" s="5" t="s">
        <v>228</v>
      </c>
      <c r="B10" s="4" t="s">
        <v>230</v>
      </c>
      <c r="C10" s="20" t="n">
        <v>0.529059</v>
      </c>
      <c r="D10" s="20" t="n">
        <f aca="false">Reserve!D34/Fund!C20</f>
        <v>0.529059363572707</v>
      </c>
      <c r="E10" s="26" t="n">
        <f aca="false">IF(ISNUMBER(D10),D10-C10,"")</f>
        <v>3.63572706829629E-007</v>
      </c>
      <c r="F10" s="14" t="str">
        <f aca="false">IF(ISNUMBER(D10),IF(ABS(E10)&lt;=0.0000005,"PASS","FAIL"),"FAIL")</f>
        <v>PASS</v>
      </c>
      <c r="G10" s="2"/>
    </row>
    <row r="11" customFormat="false" ht="15" hidden="false" customHeight="false" outlineLevel="0" collapsed="false">
      <c r="A11" s="27" t="s">
        <v>228</v>
      </c>
      <c r="B11" s="28" t="s">
        <v>231</v>
      </c>
      <c r="C11" s="18" t="n">
        <v>16</v>
      </c>
      <c r="D11" s="18" t="n">
        <f aca="false">Reserve!B44</f>
        <v>16</v>
      </c>
      <c r="E11" s="29" t="n">
        <f aca="false">IF(ISNUMBER(D11),D11-C11,"")</f>
        <v>0</v>
      </c>
      <c r="F11" s="30" t="str">
        <f aca="false">IF(ISNUMBER(D11),IF(ABS(E11)&lt;=0,"PASS","FAIL"),"FAIL")</f>
        <v>PASS</v>
      </c>
      <c r="G11" s="31"/>
    </row>
    <row r="12" customFormat="false" ht="15" hidden="false" customHeight="false" outlineLevel="0" collapsed="false">
      <c r="A12" s="5" t="s">
        <v>228</v>
      </c>
      <c r="B12" s="4" t="s">
        <v>166</v>
      </c>
      <c r="C12" s="12" t="n">
        <v>41000000</v>
      </c>
      <c r="D12" s="12" t="n">
        <f aca="false">Reserve!B67</f>
        <v>41000000</v>
      </c>
      <c r="E12" s="26" t="n">
        <f aca="false">IF(ISNUMBER(D12),D12-C12,"")</f>
        <v>0</v>
      </c>
      <c r="F12" s="14" t="str">
        <f aca="false">IF(ISNUMBER(D12),IF(ABS(E12)&lt;=0.5,"PASS","FAIL"),"FAIL")</f>
        <v>PASS</v>
      </c>
      <c r="G12" s="2"/>
    </row>
    <row r="13" customFormat="false" ht="15" hidden="false" customHeight="false" outlineLevel="0" collapsed="false">
      <c r="A13" s="27" t="s">
        <v>228</v>
      </c>
      <c r="B13" s="28" t="s">
        <v>232</v>
      </c>
      <c r="C13" s="33" t="n">
        <v>1.6585</v>
      </c>
      <c r="D13" s="33" t="n">
        <f aca="false">Reserve!B68</f>
        <v>1.65853658536585</v>
      </c>
      <c r="E13" s="29" t="n">
        <f aca="false">IF(ISNUMBER(D13),D13-C13,"")</f>
        <v>3.6585365853492E-005</v>
      </c>
      <c r="F13" s="30" t="str">
        <f aca="false">IF(ISNUMBER(D13),IF(ABS(E13)&lt;=0.00005,"PASS","FAIL"),"FAIL")</f>
        <v>PASS</v>
      </c>
      <c r="G13" s="31"/>
    </row>
    <row r="14" customFormat="false" ht="15" hidden="false" customHeight="false" outlineLevel="0" collapsed="false">
      <c r="A14" s="5" t="s">
        <v>228</v>
      </c>
      <c r="B14" s="4" t="s">
        <v>233</v>
      </c>
      <c r="C14" s="20" t="n">
        <v>0.835249</v>
      </c>
      <c r="D14" s="20" t="n">
        <f aca="false">Reserve!B69</f>
        <v>0.835249042145594</v>
      </c>
      <c r="E14" s="26" t="n">
        <f aca="false">IF(ISNUMBER(D14),D14-C14,"")</f>
        <v>4.21455939036974E-008</v>
      </c>
      <c r="F14" s="14" t="str">
        <f aca="false">IF(ISNUMBER(D14),IF(ABS(E14)&lt;=0.0000005,"PASS","FAIL"),"FAIL")</f>
        <v>PASS</v>
      </c>
      <c r="G14" s="2"/>
    </row>
    <row r="15" customFormat="false" ht="15" hidden="false" customHeight="false" outlineLevel="0" collapsed="false">
      <c r="A15" s="27" t="s">
        <v>228</v>
      </c>
      <c r="B15" s="28" t="s">
        <v>169</v>
      </c>
      <c r="C15" s="18" t="n">
        <v>12</v>
      </c>
      <c r="D15" s="18" t="n">
        <f aca="false">Reserve!B70</f>
        <v>12</v>
      </c>
      <c r="E15" s="29" t="n">
        <f aca="false">IF(ISNUMBER(D15),D15-C15,"")</f>
        <v>0</v>
      </c>
      <c r="F15" s="30" t="str">
        <f aca="false">IF(ISNUMBER(D15),IF(ABS(E15)&lt;=0,"PASS","FAIL"),"FAIL")</f>
        <v>PASS</v>
      </c>
      <c r="G15" s="31"/>
    </row>
    <row r="16" customFormat="false" ht="15" hidden="false" customHeight="false" outlineLevel="0" collapsed="false">
      <c r="A16" s="5" t="s">
        <v>228</v>
      </c>
      <c r="B16" s="4" t="s">
        <v>157</v>
      </c>
      <c r="C16" s="12" t="n">
        <v>21500000</v>
      </c>
      <c r="D16" s="12" t="n">
        <f aca="false">Reserve!B71</f>
        <v>21500000</v>
      </c>
      <c r="E16" s="26" t="n">
        <f aca="false">IF(ISNUMBER(D16),D16-C16,"")</f>
        <v>0</v>
      </c>
      <c r="F16" s="14" t="str">
        <f aca="false">IF(ISNUMBER(D16),IF(ABS(E16)&lt;=0.5,"PASS","FAIL"),"FAIL")</f>
        <v>PASS</v>
      </c>
      <c r="G16" s="2"/>
    </row>
    <row r="17" customFormat="false" ht="15" hidden="false" customHeight="false" outlineLevel="0" collapsed="false">
      <c r="A17" s="27" t="s">
        <v>228</v>
      </c>
      <c r="B17" s="28" t="s">
        <v>170</v>
      </c>
      <c r="C17" s="32" t="n">
        <v>0.344</v>
      </c>
      <c r="D17" s="32" t="n">
        <f aca="false">Reserve!B72</f>
        <v>0.344</v>
      </c>
      <c r="E17" s="29" t="n">
        <f aca="false">IF(ISNUMBER(D17),D17-C17,"")</f>
        <v>0</v>
      </c>
      <c r="F17" s="30" t="str">
        <f aca="false">IF(ISNUMBER(D17),IF(ABS(E17)&lt;=0.0000005,"PASS","FAIL"),"FAIL")</f>
        <v>PASS</v>
      </c>
      <c r="G17" s="31"/>
    </row>
    <row r="18" customFormat="false" ht="15" hidden="false" customHeight="false" outlineLevel="0" collapsed="false">
      <c r="A18" s="5" t="s">
        <v>228</v>
      </c>
      <c r="B18" s="4" t="s">
        <v>171</v>
      </c>
      <c r="C18" s="20" t="n">
        <v>0.164751</v>
      </c>
      <c r="D18" s="20" t="n">
        <f aca="false">Reserve!B73</f>
        <v>0.164750957854406</v>
      </c>
      <c r="E18" s="26" t="n">
        <f aca="false">IF(ISNUMBER(D18),D18-C18,"")</f>
        <v>-4.21455938759419E-008</v>
      </c>
      <c r="F18" s="14" t="str">
        <f aca="false">IF(ISNUMBER(D18),IF(ABS(E18)&lt;=0.0000005,"PASS","FAIL"),"FAIL")</f>
        <v>PASS</v>
      </c>
      <c r="G18" s="2"/>
    </row>
    <row r="19" customFormat="false" ht="15" hidden="false" customHeight="false" outlineLevel="0" collapsed="false">
      <c r="A19" s="27" t="s">
        <v>228</v>
      </c>
      <c r="B19" s="28" t="s">
        <v>158</v>
      </c>
      <c r="C19" s="19" t="n">
        <v>0</v>
      </c>
      <c r="D19" s="19" t="n">
        <f aca="false">Reserve!B74</f>
        <v>0</v>
      </c>
      <c r="E19" s="29" t="n">
        <f aca="false">IF(ISNUMBER(D19),D19-C19,"")</f>
        <v>0</v>
      </c>
      <c r="F19" s="30" t="str">
        <f aca="false">IF(ISNUMBER(D19),IF(ABS(E19)&lt;=0.5,"PASS","FAIL"),"FAIL")</f>
        <v>PASS</v>
      </c>
      <c r="G19" s="31" t="s">
        <v>234</v>
      </c>
    </row>
    <row r="20" customFormat="false" ht="15" hidden="false" customHeight="false" outlineLevel="0" collapsed="false">
      <c r="A20" s="5" t="s">
        <v>228</v>
      </c>
      <c r="B20" s="4" t="s">
        <v>235</v>
      </c>
      <c r="C20" s="21" t="n">
        <v>7</v>
      </c>
      <c r="D20" s="21" t="n">
        <f aca="false">Reserve!F6</f>
        <v>7</v>
      </c>
      <c r="E20" s="26" t="n">
        <f aca="false">IF(ISNUMBER(D20),D20-C20,"")</f>
        <v>0</v>
      </c>
      <c r="F20" s="14" t="str">
        <f aca="false">IF(ISNUMBER(D20),IF(ABS(E20)&lt;=0.00005,"PASS","FAIL"),"FAIL")</f>
        <v>PASS</v>
      </c>
      <c r="G20" s="2"/>
    </row>
    <row r="21" customFormat="false" ht="15" hidden="false" customHeight="false" outlineLevel="0" collapsed="false">
      <c r="A21" s="27" t="s">
        <v>228</v>
      </c>
      <c r="B21" s="28" t="s">
        <v>236</v>
      </c>
      <c r="C21" s="33" t="n">
        <v>4.7692</v>
      </c>
      <c r="D21" s="33" t="n">
        <f aca="false">Reserve!F8</f>
        <v>4.76923076923077</v>
      </c>
      <c r="E21" s="29" t="n">
        <f aca="false">IF(ISNUMBER(D21),D21-C21,"")</f>
        <v>3.07692307695007E-005</v>
      </c>
      <c r="F21" s="30" t="str">
        <f aca="false">IF(ISNUMBER(D21),IF(ABS(E21)&lt;=0.00005,"PASS","FAIL"),"FAIL")</f>
        <v>PASS</v>
      </c>
      <c r="G21" s="31"/>
    </row>
    <row r="22" customFormat="false" ht="15" hidden="false" customHeight="false" outlineLevel="0" collapsed="false">
      <c r="A22" s="5" t="s">
        <v>228</v>
      </c>
      <c r="B22" s="4" t="s">
        <v>237</v>
      </c>
      <c r="C22" s="21" t="n">
        <v>3.7778</v>
      </c>
      <c r="D22" s="21" t="n">
        <f aca="false">Reserve!F13</f>
        <v>3.77777777777778</v>
      </c>
      <c r="E22" s="26" t="n">
        <f aca="false">IF(ISNUMBER(D22),D22-C22,"")</f>
        <v>-2.22222222223678E-005</v>
      </c>
      <c r="F22" s="14" t="str">
        <f aca="false">IF(ISNUMBER(D22),IF(ABS(E22)&lt;=0.00005,"PASS","FAIL"),"FAIL")</f>
        <v>PASS</v>
      </c>
      <c r="G22" s="2"/>
    </row>
    <row r="23" customFormat="false" ht="15" hidden="false" customHeight="false" outlineLevel="0" collapsed="false">
      <c r="A23" s="27" t="s">
        <v>228</v>
      </c>
      <c r="B23" s="28" t="s">
        <v>238</v>
      </c>
      <c r="C23" s="33" t="n">
        <v>3.3333</v>
      </c>
      <c r="D23" s="33" t="n">
        <f aca="false">Reserve!F20</f>
        <v>3.33333333333333</v>
      </c>
      <c r="E23" s="29" t="n">
        <f aca="false">IF(ISNUMBER(D23),D23-C23,"")</f>
        <v>3.33333333335517E-005</v>
      </c>
      <c r="F23" s="30" t="str">
        <f aca="false">IF(ISNUMBER(D23),IF(ABS(E23)&lt;=0.00005,"PASS","FAIL"),"FAIL")</f>
        <v>PASS</v>
      </c>
      <c r="G23" s="31"/>
    </row>
    <row r="24" customFormat="false" ht="15" hidden="false" customHeight="false" outlineLevel="0" collapsed="false">
      <c r="A24" s="5" t="s">
        <v>228</v>
      </c>
      <c r="B24" s="4" t="s">
        <v>239</v>
      </c>
      <c r="C24" s="20" t="n">
        <v>0.091954</v>
      </c>
      <c r="D24" s="20" t="n">
        <f aca="false">Reserve!D6/Fund!B27</f>
        <v>0.0919540229885058</v>
      </c>
      <c r="E24" s="26" t="n">
        <f aca="false">IF(ISNUMBER(D24),D24-C24,"")</f>
        <v>2.29885057517754E-008</v>
      </c>
      <c r="F24" s="14" t="str">
        <f aca="false">IF(ISNUMBER(D24),IF(ABS(E24)&lt;=0.0000005,"PASS","FAIL"),"FAIL")</f>
        <v>PASS</v>
      </c>
      <c r="G24" s="2"/>
    </row>
    <row r="25" customFormat="false" ht="15" hidden="false" customHeight="false" outlineLevel="0" collapsed="false">
      <c r="A25" s="27" t="s">
        <v>228</v>
      </c>
      <c r="B25" s="28" t="s">
        <v>240</v>
      </c>
      <c r="C25" s="32" t="n">
        <v>0.206319</v>
      </c>
      <c r="D25" s="32" t="n">
        <f aca="false">Reserve!E6/Fund!B29</f>
        <v>0.206318504190845</v>
      </c>
      <c r="E25" s="29" t="n">
        <f aca="false">IF(ISNUMBER(D25),D25-C25,"")</f>
        <v>-4.95809155398597E-007</v>
      </c>
      <c r="F25" s="30" t="str">
        <f aca="false">IF(ISNUMBER(D25),IF(ABS(E25)&lt;=0.0000005,"PASS","FAIL"),"FAIL")</f>
        <v>PASS</v>
      </c>
      <c r="G25" s="31"/>
    </row>
    <row r="26" customFormat="false" ht="15" hidden="false" customHeight="false" outlineLevel="0" collapsed="false">
      <c r="A26" s="5" t="s">
        <v>241</v>
      </c>
      <c r="B26" s="4" t="s">
        <v>242</v>
      </c>
      <c r="C26" s="12" t="n">
        <v>2232143</v>
      </c>
      <c r="D26" s="12" t="n">
        <f aca="false">Reserve!B75</f>
        <v>2232142.85714286</v>
      </c>
      <c r="E26" s="26" t="n">
        <f aca="false">IF(ISNUMBER(D26),D26-C26,"")</f>
        <v>-0.142857142724097</v>
      </c>
      <c r="F26" s="14" t="str">
        <f aca="false">IF(ISNUMBER(D26),IF(ABS(E26)&lt;=0.5,"PASS","FAIL"),"FAIL")</f>
        <v>PASS</v>
      </c>
      <c r="G26" s="2"/>
    </row>
    <row r="27" customFormat="false" ht="15" hidden="false" customHeight="false" outlineLevel="0" collapsed="false">
      <c r="A27" s="27" t="s">
        <v>241</v>
      </c>
      <c r="B27" s="28" t="s">
        <v>243</v>
      </c>
      <c r="C27" s="19" t="n">
        <v>4250000</v>
      </c>
      <c r="D27" s="19" t="n">
        <f aca="false">Reserve!C75</f>
        <v>4250000</v>
      </c>
      <c r="E27" s="29" t="n">
        <f aca="false">IF(ISNUMBER(D27),D27-C27,"")</f>
        <v>0</v>
      </c>
      <c r="F27" s="30" t="str">
        <f aca="false">IF(ISNUMBER(D27),IF(ABS(E27)&lt;=0.5,"PASS","FAIL"),"FAIL")</f>
        <v>PASS</v>
      </c>
      <c r="G27" s="31"/>
    </row>
    <row r="28" customFormat="false" ht="15" hidden="false" customHeight="false" outlineLevel="0" collapsed="false">
      <c r="A28" s="5" t="s">
        <v>241</v>
      </c>
      <c r="B28" s="4" t="s">
        <v>244</v>
      </c>
      <c r="C28" s="21" t="n">
        <v>1.904</v>
      </c>
      <c r="D28" s="21" t="n">
        <f aca="false">Reserve!D75</f>
        <v>1.904</v>
      </c>
      <c r="E28" s="26" t="n">
        <f aca="false">IF(ISNUMBER(D28),D28-C28,"")</f>
        <v>0</v>
      </c>
      <c r="F28" s="14" t="str">
        <f aca="false">IF(ISNUMBER(D28),IF(ABS(E28)&lt;=0.00005,"PASS","FAIL"),"FAIL")</f>
        <v>PASS</v>
      </c>
      <c r="G28" s="2"/>
    </row>
    <row r="29" customFormat="false" ht="15" hidden="false" customHeight="false" outlineLevel="0" collapsed="false">
      <c r="A29" s="27" t="s">
        <v>241</v>
      </c>
      <c r="B29" s="28" t="s">
        <v>245</v>
      </c>
      <c r="C29" s="19" t="n">
        <v>28500000</v>
      </c>
      <c r="D29" s="19" t="n">
        <f aca="false">Reserve!B62</f>
        <v>28500000</v>
      </c>
      <c r="E29" s="29" t="n">
        <f aca="false">IF(ISNUMBER(D29),D29-C29,"")</f>
        <v>0</v>
      </c>
      <c r="F29" s="30" t="str">
        <f aca="false">IF(ISNUMBER(D29),IF(ABS(E29)&lt;=0.5,"PASS","FAIL"),"FAIL")</f>
        <v>PASS</v>
      </c>
      <c r="G29" s="31"/>
    </row>
    <row r="30" customFormat="false" ht="15" hidden="false" customHeight="false" outlineLevel="0" collapsed="false">
      <c r="A30" s="5" t="s">
        <v>241</v>
      </c>
      <c r="B30" s="4" t="s">
        <v>160</v>
      </c>
      <c r="C30" s="20" t="n">
        <v>0.419118</v>
      </c>
      <c r="D30" s="20" t="n">
        <f aca="false">Reserve!B63</f>
        <v>0.419117647058824</v>
      </c>
      <c r="E30" s="26" t="n">
        <f aca="false">IF(ISNUMBER(D30),D30-C30,"")</f>
        <v>-3.52941176451349E-007</v>
      </c>
      <c r="F30" s="14" t="str">
        <f aca="false">IF(ISNUMBER(D30),IF(ABS(E30)&lt;=0.0000005,"PASS","FAIL"),"FAIL")</f>
        <v>PASS</v>
      </c>
      <c r="G30" s="2"/>
    </row>
    <row r="31" customFormat="false" ht="15" hidden="false" customHeight="false" outlineLevel="0" collapsed="false">
      <c r="A31" s="27" t="s">
        <v>241</v>
      </c>
      <c r="B31" s="28" t="s">
        <v>246</v>
      </c>
      <c r="C31" s="32" t="n">
        <v>0.820144</v>
      </c>
      <c r="D31" s="32" t="n">
        <f aca="false">Reserve!B64</f>
        <v>0.820143884892086</v>
      </c>
      <c r="E31" s="29" t="n">
        <f aca="false">IF(ISNUMBER(D31),D31-C31,"")</f>
        <v>-1.15107913645218E-007</v>
      </c>
      <c r="F31" s="30" t="str">
        <f aca="false">IF(ISNUMBER(D31),IF(ABS(E31)&lt;=0.0000005,"PASS","FAIL"),"FAIL")</f>
        <v>PASS</v>
      </c>
      <c r="G31" s="31"/>
    </row>
    <row r="32" customFormat="false" ht="15" hidden="false" customHeight="false" outlineLevel="0" collapsed="false">
      <c r="A32" s="5" t="s">
        <v>241</v>
      </c>
      <c r="B32" s="4" t="s">
        <v>247</v>
      </c>
      <c r="C32" s="12" t="n">
        <v>18500000</v>
      </c>
      <c r="D32" s="12" t="n">
        <f aca="false">Reserve!B65</f>
        <v>18500000</v>
      </c>
      <c r="E32" s="26" t="n">
        <f aca="false">IF(ISNUMBER(D32),D32-C32,"")</f>
        <v>0</v>
      </c>
      <c r="F32" s="14" t="str">
        <f aca="false">IF(ISNUMBER(D32),IF(ABS(E32)&lt;=0.5,"PASS","FAIL"),"FAIL")</f>
        <v>PASS</v>
      </c>
      <c r="G32" s="2"/>
    </row>
    <row r="33" customFormat="false" ht="15" hidden="false" customHeight="false" outlineLevel="0" collapsed="false">
      <c r="A33" s="27" t="s">
        <v>241</v>
      </c>
      <c r="B33" s="28" t="s">
        <v>160</v>
      </c>
      <c r="C33" s="32" t="n">
        <v>0.272059</v>
      </c>
      <c r="D33" s="32" t="n">
        <f aca="false">Reserve!B66</f>
        <v>0.272058823529412</v>
      </c>
      <c r="E33" s="29" t="n">
        <f aca="false">IF(ISNUMBER(D33),D33-C33,"")</f>
        <v>-1.7647058825343E-007</v>
      </c>
      <c r="F33" s="30" t="str">
        <f aca="false">IF(ISNUMBER(D33),IF(ABS(E33)&lt;=0.0000005,"PASS","FAIL"),"FAIL")</f>
        <v>PASS</v>
      </c>
      <c r="G33" s="31"/>
    </row>
    <row r="34" customFormat="false" ht="15" hidden="false" customHeight="false" outlineLevel="0" collapsed="false">
      <c r="A34" s="5" t="s">
        <v>248</v>
      </c>
      <c r="B34" s="4" t="s">
        <v>249</v>
      </c>
      <c r="C34" s="13" t="n">
        <v>3.6376</v>
      </c>
      <c r="D34" s="13" t="n">
        <f aca="false">Reserve!B38</f>
        <v>3.6376</v>
      </c>
      <c r="E34" s="26" t="n">
        <f aca="false">IF(ISNUMBER(D34),D34-C34,"")</f>
        <v>0</v>
      </c>
      <c r="F34" s="14" t="str">
        <f aca="false">IF(ISNUMBER(D34),IF(ABS(E34)&lt;=0.00005,"PASS","FAIL"),"FAIL")</f>
        <v>PASS</v>
      </c>
      <c r="G34" s="2"/>
    </row>
    <row r="35" customFormat="false" ht="15" hidden="false" customHeight="false" outlineLevel="0" collapsed="false">
      <c r="A35" s="27" t="s">
        <v>248</v>
      </c>
      <c r="B35" s="28" t="s">
        <v>250</v>
      </c>
      <c r="C35" s="34" t="n">
        <v>1.7886</v>
      </c>
      <c r="D35" s="34" t="n">
        <f aca="false">Reserve!B39</f>
        <v>1.78860294117647</v>
      </c>
      <c r="E35" s="29" t="n">
        <f aca="false">IF(ISNUMBER(D35),D35-C35,"")</f>
        <v>2.94117647059444E-006</v>
      </c>
      <c r="F35" s="30" t="str">
        <f aca="false">IF(ISNUMBER(D35),IF(ABS(E35)&lt;=0.00005,"PASS","FAIL"),"FAIL")</f>
        <v>PASS</v>
      </c>
      <c r="G35" s="31"/>
    </row>
    <row r="36" customFormat="false" ht="15" hidden="false" customHeight="false" outlineLevel="0" collapsed="false">
      <c r="A36" s="5" t="s">
        <v>248</v>
      </c>
      <c r="B36" s="4" t="s">
        <v>251</v>
      </c>
      <c r="C36" s="21" t="n">
        <v>1.849</v>
      </c>
      <c r="D36" s="21" t="n">
        <f aca="false">Reserve!B40</f>
        <v>1.84899705882353</v>
      </c>
      <c r="E36" s="26" t="n">
        <f aca="false">IF(ISNUMBER(D36),D36-C36,"")</f>
        <v>-2.94117647059444E-006</v>
      </c>
      <c r="F36" s="14" t="str">
        <f aca="false">IF(ISNUMBER(D36),IF(ABS(E36)&lt;=0.00005,"PASS","FAIL"),"FAIL")</f>
        <v>PASS</v>
      </c>
      <c r="G36" s="2"/>
    </row>
    <row r="37" customFormat="false" ht="15" hidden="false" customHeight="false" outlineLevel="0" collapsed="false">
      <c r="A37" s="27" t="s">
        <v>248</v>
      </c>
      <c r="B37" s="28" t="s">
        <v>143</v>
      </c>
      <c r="C37" s="33" t="n">
        <v>2.0338</v>
      </c>
      <c r="D37" s="33" t="n">
        <f aca="false">Reserve!B41</f>
        <v>2.03376608427544</v>
      </c>
      <c r="E37" s="29" t="n">
        <f aca="false">IF(ISNUMBER(D37),D37-C37,"")</f>
        <v>-3.39157245630162E-005</v>
      </c>
      <c r="F37" s="30" t="str">
        <f aca="false">IF(ISNUMBER(D37),IF(ABS(E37)&lt;=0.00005,"PASS","FAIL"),"FAIL")</f>
        <v>PASS</v>
      </c>
      <c r="G37" s="31"/>
    </row>
    <row r="38" customFormat="false" ht="15" hidden="false" customHeight="false" outlineLevel="0" collapsed="false">
      <c r="A38" s="5" t="s">
        <v>248</v>
      </c>
      <c r="B38" s="4" t="s">
        <v>252</v>
      </c>
      <c r="C38" s="13" t="n">
        <v>2.6741</v>
      </c>
      <c r="D38" s="13" t="n">
        <f aca="false">Reserve!B42</f>
        <v>2.67413793103448</v>
      </c>
      <c r="E38" s="26" t="n">
        <f aca="false">IF(ISNUMBER(D38),D38-C38,"")</f>
        <v>3.79310344826855E-005</v>
      </c>
      <c r="F38" s="14" t="str">
        <f aca="false">IF(ISNUMBER(D38),IF(ABS(E38)&lt;=0.00005,"PASS","FAIL"),"FAIL")</f>
        <v>PASS</v>
      </c>
      <c r="G38" s="2"/>
    </row>
    <row r="39" customFormat="false" ht="15" hidden="false" customHeight="false" outlineLevel="0" collapsed="false">
      <c r="A39" s="27" t="s">
        <v>248</v>
      </c>
      <c r="B39" s="28" t="s">
        <v>253</v>
      </c>
      <c r="C39" s="19" t="n">
        <v>227350000</v>
      </c>
      <c r="D39" s="19" t="n">
        <f aca="false">Reserve!C34</f>
        <v>227350000</v>
      </c>
      <c r="E39" s="29" t="n">
        <f aca="false">IF(ISNUMBER(D39),D39-C39,"")</f>
        <v>0</v>
      </c>
      <c r="F39" s="30" t="str">
        <f aca="false">IF(ISNUMBER(D39),IF(ABS(E39)&lt;=0.5,"PASS","FAIL"),"FAIL")</f>
        <v>PASS</v>
      </c>
      <c r="G39" s="31"/>
    </row>
    <row r="40" customFormat="false" ht="15" hidden="false" customHeight="false" outlineLevel="0" collapsed="false">
      <c r="A40" s="5" t="s">
        <v>248</v>
      </c>
      <c r="B40" s="4" t="s">
        <v>254</v>
      </c>
      <c r="C40" s="12" t="n">
        <v>121625000</v>
      </c>
      <c r="D40" s="12" t="n">
        <f aca="false">Reserve!E34</f>
        <v>121625000</v>
      </c>
      <c r="E40" s="26" t="n">
        <f aca="false">IF(ISNUMBER(D40),D40-C40,"")</f>
        <v>0</v>
      </c>
      <c r="F40" s="14" t="str">
        <f aca="false">IF(ISNUMBER(D40),IF(ABS(E40)&lt;=0.5,"PASS","FAIL"),"FAIL")</f>
        <v>PASS</v>
      </c>
      <c r="G40" s="2"/>
    </row>
    <row r="41" customFormat="false" ht="15" hidden="false" customHeight="false" outlineLevel="0" collapsed="false">
      <c r="A41" s="27" t="s">
        <v>248</v>
      </c>
      <c r="B41" s="28" t="s">
        <v>153</v>
      </c>
      <c r="C41" s="32" t="n">
        <v>0.651479</v>
      </c>
      <c r="D41" s="32" t="n">
        <f aca="false">Reserve!B51</f>
        <v>0.651479332330396</v>
      </c>
      <c r="E41" s="29" t="n">
        <f aca="false">IF(ISNUMBER(D41),D41-C41,"")</f>
        <v>3.32330396091152E-007</v>
      </c>
      <c r="F41" s="30" t="str">
        <f aca="false">IF(ISNUMBER(D41),IF(ABS(E41)&lt;=0.0000005,"PASS","FAIL"),"FAIL")</f>
        <v>PASS</v>
      </c>
      <c r="G41" s="31"/>
    </row>
    <row r="42" customFormat="false" ht="15" hidden="false" customHeight="false" outlineLevel="0" collapsed="false">
      <c r="A42" s="5" t="s">
        <v>248</v>
      </c>
      <c r="B42" s="4" t="s">
        <v>154</v>
      </c>
      <c r="C42" s="20" t="n">
        <v>0.348521</v>
      </c>
      <c r="D42" s="20" t="n">
        <f aca="false">Reserve!B52</f>
        <v>0.348520667669604</v>
      </c>
      <c r="E42" s="26" t="n">
        <f aca="false">IF(ISNUMBER(D42),D42-C42,"")</f>
        <v>-3.32330396202174E-007</v>
      </c>
      <c r="F42" s="14" t="str">
        <f aca="false">IF(ISNUMBER(D42),IF(ABS(E42)&lt;=0.0000005,"PASS","FAIL"),"FAIL")</f>
        <v>PASS</v>
      </c>
      <c r="G42" s="2"/>
    </row>
    <row r="43" customFormat="false" ht="15" hidden="false" customHeight="false" outlineLevel="0" collapsed="false">
      <c r="A43" s="27" t="s">
        <v>248</v>
      </c>
      <c r="B43" s="28" t="s">
        <v>255</v>
      </c>
      <c r="C43" s="19" t="n">
        <v>11187433</v>
      </c>
      <c r="D43" s="19" t="n">
        <f aca="false">Reserve!B45</f>
        <v>11187432.9501916</v>
      </c>
      <c r="E43" s="29" t="n">
        <f aca="false">IF(ISNUMBER(D43),D43-C43,"")</f>
        <v>-0.0498084295541048</v>
      </c>
      <c r="F43" s="30" t="str">
        <f aca="false">IF(ISNUMBER(D43),IF(ABS(E43)&lt;=0.5,"PASS","FAIL"),"FAIL")</f>
        <v>PASS</v>
      </c>
      <c r="G43" s="31"/>
    </row>
    <row r="44" customFormat="false" ht="15" hidden="false" customHeight="false" outlineLevel="0" collapsed="false">
      <c r="A44" s="5" t="s">
        <v>248</v>
      </c>
      <c r="B44" s="4" t="s">
        <v>256</v>
      </c>
      <c r="C44" s="13" t="n">
        <v>3.1237</v>
      </c>
      <c r="D44" s="13" t="n">
        <f aca="false">Reserve!B48</f>
        <v>3.12368756991512</v>
      </c>
      <c r="E44" s="26" t="n">
        <f aca="false">IF(ISNUMBER(D44),D44-C44,"")</f>
        <v>-1.24300848849401E-005</v>
      </c>
      <c r="F44" s="14" t="str">
        <f aca="false">IF(ISNUMBER(D44),IF(ABS(E44)&lt;=0.00005,"PASS","FAIL"),"FAIL")</f>
        <v>PASS</v>
      </c>
      <c r="G44" s="2"/>
    </row>
    <row r="45" customFormat="false" ht="15" hidden="false" customHeight="false" outlineLevel="0" collapsed="false">
      <c r="A45" s="27" t="s">
        <v>248</v>
      </c>
      <c r="B45" s="28" t="s">
        <v>257</v>
      </c>
      <c r="C45" s="34" t="n">
        <v>1.5359</v>
      </c>
      <c r="D45" s="34" t="n">
        <f aca="false">Reserve!B49</f>
        <v>1.53591290270138</v>
      </c>
      <c r="E45" s="29" t="n">
        <f aca="false">IF(ISNUMBER(D45),D45-C45,"")</f>
        <v>1.29027013844318E-005</v>
      </c>
      <c r="F45" s="30" t="str">
        <f aca="false">IF(ISNUMBER(D45),IF(ABS(E45)&lt;=0.00005,"PASS","FAIL"),"FAIL")</f>
        <v>PASS</v>
      </c>
      <c r="G45" s="31"/>
    </row>
    <row r="46" customFormat="false" ht="15" hidden="false" customHeight="false" outlineLevel="0" collapsed="false">
      <c r="A46" s="5" t="s">
        <v>248</v>
      </c>
      <c r="B46" s="4" t="s">
        <v>258</v>
      </c>
      <c r="D46" s="5" t="str">
        <f aca="false">IF(ABS(Reserve!B50-Reserve!B41)&lt;0.000000000001,"holds","does not hold")</f>
        <v>holds</v>
      </c>
      <c r="F46" s="14" t="str">
        <f aca="false">IF(D46="holds","PASS","FAIL")</f>
        <v>PASS</v>
      </c>
      <c r="G46" s="2" t="s">
        <v>259</v>
      </c>
    </row>
    <row r="47" customFormat="false" ht="15" hidden="false" customHeight="false" outlineLevel="0" collapsed="false">
      <c r="A47" s="27" t="s">
        <v>248</v>
      </c>
      <c r="B47" s="28" t="s">
        <v>260</v>
      </c>
      <c r="C47" s="18" t="n">
        <v>12</v>
      </c>
      <c r="D47" s="18" t="n">
        <f aca="false">Reserve!B55</f>
        <v>12</v>
      </c>
      <c r="E47" s="29" t="n">
        <f aca="false">IF(ISNUMBER(D47),D47-C47,"")</f>
        <v>0</v>
      </c>
      <c r="F47" s="30" t="str">
        <f aca="false">IF(ISNUMBER(D47),IF(ABS(E47)&lt;=0,"PASS","FAIL"),"FAIL")</f>
        <v>PASS</v>
      </c>
      <c r="G47" s="31"/>
    </row>
    <row r="48" customFormat="false" ht="15" hidden="false" customHeight="false" outlineLevel="0" collapsed="false">
      <c r="A48" s="5" t="s">
        <v>248</v>
      </c>
      <c r="B48" s="4" t="s">
        <v>157</v>
      </c>
      <c r="C48" s="12" t="n">
        <v>33500000</v>
      </c>
      <c r="D48" s="12" t="n">
        <f aca="false">Reserve!B56</f>
        <v>33500000</v>
      </c>
      <c r="E48" s="26" t="n">
        <f aca="false">IF(ISNUMBER(D48),D48-C48,"")</f>
        <v>0</v>
      </c>
      <c r="F48" s="14" t="str">
        <f aca="false">IF(ISNUMBER(D48),IF(ABS(E48)&lt;=0.5,"PASS","FAIL"),"FAIL")</f>
        <v>PASS</v>
      </c>
      <c r="G48" s="2"/>
    </row>
    <row r="49" customFormat="false" ht="15" hidden="false" customHeight="false" outlineLevel="0" collapsed="false">
      <c r="A49" s="27" t="s">
        <v>248</v>
      </c>
      <c r="B49" s="28" t="s">
        <v>158</v>
      </c>
      <c r="C49" s="19" t="n">
        <v>15875000</v>
      </c>
      <c r="D49" s="19" t="n">
        <f aca="false">Reserve!B57</f>
        <v>15875000</v>
      </c>
      <c r="E49" s="29" t="n">
        <f aca="false">IF(ISNUMBER(D49),D49-C49,"")</f>
        <v>0</v>
      </c>
      <c r="F49" s="30" t="str">
        <f aca="false">IF(ISNUMBER(D49),IF(ABS(E49)&lt;=0.5,"PASS","FAIL"),"FAIL")</f>
        <v>PASS</v>
      </c>
      <c r="G49" s="31"/>
    </row>
    <row r="50" customFormat="false" ht="15" hidden="false" customHeight="false" outlineLevel="0" collapsed="false">
      <c r="A50" s="5" t="s">
        <v>248</v>
      </c>
      <c r="B50" s="4" t="s">
        <v>159</v>
      </c>
      <c r="C50" s="13" t="n">
        <v>0.4739</v>
      </c>
      <c r="D50" s="13" t="n">
        <f aca="false">Reserve!B58</f>
        <v>0.473880597014925</v>
      </c>
      <c r="E50" s="26" t="n">
        <f aca="false">IF(ISNUMBER(D50),D50-C50,"")</f>
        <v>-1.94029850746347E-005</v>
      </c>
      <c r="F50" s="14" t="str">
        <f aca="false">IF(ISNUMBER(D50),IF(ABS(E50)&lt;=0.00005,"PASS","FAIL"),"FAIL")</f>
        <v>PASS</v>
      </c>
      <c r="G50" s="2"/>
    </row>
    <row r="51" customFormat="false" ht="15" hidden="false" customHeight="false" outlineLevel="0" collapsed="false">
      <c r="A51" s="27" t="s">
        <v>248</v>
      </c>
      <c r="B51" s="28" t="s">
        <v>160</v>
      </c>
      <c r="C51" s="32" t="n">
        <v>0.492647</v>
      </c>
      <c r="D51" s="32" t="n">
        <f aca="false">Reserve!B59</f>
        <v>0.492647058823529</v>
      </c>
      <c r="E51" s="29" t="n">
        <f aca="false">IF(ISNUMBER(D51),D51-C51,"")</f>
        <v>5.88235294363138E-008</v>
      </c>
      <c r="F51" s="30" t="str">
        <f aca="false">IF(ISNUMBER(D51),IF(ABS(E51)&lt;=0.0000005,"PASS","FAIL"),"FAIL")</f>
        <v>PASS</v>
      </c>
      <c r="G51" s="31"/>
    </row>
    <row r="52" customFormat="false" ht="15" hidden="false" customHeight="false" outlineLevel="0" collapsed="false">
      <c r="A52" s="5" t="s">
        <v>248</v>
      </c>
      <c r="B52" s="4" t="s">
        <v>261</v>
      </c>
      <c r="C52" s="20" t="n">
        <v>0.591984</v>
      </c>
      <c r="D52" s="20" t="n">
        <f aca="false">Reserve!B60</f>
        <v>0.591983556012333</v>
      </c>
      <c r="E52" s="26" t="n">
        <f aca="false">IF(ISNUMBER(D52),D52-C52,"")</f>
        <v>-4.43987666964851E-007</v>
      </c>
      <c r="F52" s="14" t="str">
        <f aca="false">IF(ISNUMBER(D52),IF(ABS(E52)&lt;=0.0000005,"PASS","FAIL"),"FAIL")</f>
        <v>PASS</v>
      </c>
      <c r="G52" s="2"/>
    </row>
    <row r="53" customFormat="false" ht="15" hidden="false" customHeight="false" outlineLevel="0" collapsed="false">
      <c r="A53" s="27" t="s">
        <v>248</v>
      </c>
      <c r="B53" s="28" t="s">
        <v>262</v>
      </c>
      <c r="C53" s="34" t="n">
        <v>0.8862</v>
      </c>
      <c r="D53" s="34" t="n">
        <f aca="false">Reserve!B61</f>
        <v>0.886160714285714</v>
      </c>
      <c r="E53" s="29" t="n">
        <f aca="false">IF(ISNUMBER(D53),D53-C53,"")</f>
        <v>-3.92857142856862E-005</v>
      </c>
      <c r="F53" s="30" t="str">
        <f aca="false">IF(ISNUMBER(D53),IF(ABS(E53)&lt;=0.00005,"PASS","FAIL"),"FAIL")</f>
        <v>PASS</v>
      </c>
      <c r="G53" s="31"/>
    </row>
    <row r="54" customFormat="false" ht="15" hidden="false" customHeight="false" outlineLevel="0" collapsed="false">
      <c r="A54" s="5" t="s">
        <v>248</v>
      </c>
      <c r="B54" s="4" t="s">
        <v>263</v>
      </c>
      <c r="C54" s="13" t="n">
        <v>1.7034</v>
      </c>
      <c r="D54" s="13" t="n">
        <f aca="false">Reserve!B78</f>
        <v>1.70336134453782</v>
      </c>
      <c r="E54" s="26" t="n">
        <f aca="false">IF(ISNUMBER(D54),D54-C54,"")</f>
        <v>-3.86554621849555E-005</v>
      </c>
      <c r="F54" s="14" t="str">
        <f aca="false">IF(ISNUMBER(D54),IF(ABS(E54)&lt;=0.00005,"PASS","FAIL"),"FAIL")</f>
        <v>PASS</v>
      </c>
      <c r="G54" s="2"/>
    </row>
    <row r="55" customFormat="false" ht="15" hidden="false" customHeight="false" outlineLevel="0" collapsed="false">
      <c r="A55" s="27" t="s">
        <v>248</v>
      </c>
      <c r="B55" s="28" t="s">
        <v>264</v>
      </c>
      <c r="C55" s="34" t="n">
        <v>0.8862</v>
      </c>
      <c r="D55" s="34" t="n">
        <f aca="false">Reserve!B79</f>
        <v>0.886160714285714</v>
      </c>
      <c r="E55" s="29" t="n">
        <f aca="false">IF(ISNUMBER(D55),D55-C55,"")</f>
        <v>-3.92857142856862E-005</v>
      </c>
      <c r="F55" s="30" t="str">
        <f aca="false">IF(ISNUMBER(D55),IF(ABS(E55)&lt;=0.00005,"PASS","FAIL"),"FAIL")</f>
        <v>PASS</v>
      </c>
      <c r="G55" s="31"/>
    </row>
    <row r="56" customFormat="false" ht="15" hidden="false" customHeight="false" outlineLevel="0" collapsed="false">
      <c r="A56" s="5" t="s">
        <v>248</v>
      </c>
      <c r="B56" s="4" t="s">
        <v>265</v>
      </c>
      <c r="C56" s="21" t="n">
        <v>1.9222</v>
      </c>
      <c r="D56" s="21" t="n">
        <f aca="false">Reserve!B80</f>
        <v>1.92218106386131</v>
      </c>
      <c r="E56" s="26" t="n">
        <f aca="false">IF(ISNUMBER(D56),D56-C56,"")</f>
        <v>-1.89361386873088E-005</v>
      </c>
      <c r="F56" s="14" t="str">
        <f aca="false">IF(ISNUMBER(D56),IF(ABS(E56)&lt;=0.00005,"PASS","FAIL"),"FAIL")</f>
        <v>PASS</v>
      </c>
      <c r="G56" s="2"/>
    </row>
    <row r="57" customFormat="false" ht="15" hidden="false" customHeight="false" outlineLevel="0" collapsed="false">
      <c r="A57" s="27" t="s">
        <v>266</v>
      </c>
      <c r="B57" s="28" t="s">
        <v>267</v>
      </c>
      <c r="C57" s="19" t="n">
        <v>10282567</v>
      </c>
      <c r="D57" s="19" t="n">
        <f aca="false">Reserve!B46</f>
        <v>10282567.0498084</v>
      </c>
      <c r="E57" s="29" t="n">
        <f aca="false">IF(ISNUMBER(D57),D57-C57,"")</f>
        <v>0.0498084295541048</v>
      </c>
      <c r="F57" s="30" t="str">
        <f aca="false">IF(ISNUMBER(D57),IF(ABS(E57)&lt;=0.5,"PASS","FAIL"),"FAIL")</f>
        <v>PASS</v>
      </c>
      <c r="G57" s="31"/>
    </row>
    <row r="58" customFormat="false" ht="15" hidden="false" customHeight="false" outlineLevel="0" collapsed="false">
      <c r="A58" s="5" t="s">
        <v>266</v>
      </c>
      <c r="B58" s="4" t="s">
        <v>268</v>
      </c>
      <c r="C58" s="20" t="n">
        <v>0.164521</v>
      </c>
      <c r="D58" s="20" t="n">
        <f aca="false">Reserve!B47</f>
        <v>0.164521072796935</v>
      </c>
      <c r="E58" s="26" t="n">
        <f aca="false">IF(ISNUMBER(D58),D58-C58,"")</f>
        <v>7.27969348690571E-008</v>
      </c>
      <c r="F58" s="14" t="str">
        <f aca="false">IF(ISNUMBER(D58),IF(ABS(E58)&lt;=0.0000005,"PASS","FAIL"),"FAIL")</f>
        <v>PASS</v>
      </c>
      <c r="G58" s="2"/>
    </row>
    <row r="59" customFormat="false" ht="15" hidden="false" customHeight="false" outlineLevel="0" collapsed="false">
      <c r="A59" s="27" t="s">
        <v>266</v>
      </c>
      <c r="B59" s="28" t="s">
        <v>269</v>
      </c>
      <c r="C59" s="19" t="n">
        <v>72782567</v>
      </c>
      <c r="D59" s="19" t="n">
        <f aca="false">Reserve!B102</f>
        <v>72782567.0498084</v>
      </c>
      <c r="E59" s="29" t="n">
        <f aca="false">IF(ISNUMBER(D59),D59-C59,"")</f>
        <v>0.0498084276914597</v>
      </c>
      <c r="F59" s="30" t="str">
        <f aca="false">IF(ISNUMBER(D59),IF(ABS(E59)&lt;=0.5,"PASS","FAIL"),"FAIL")</f>
        <v>PASS</v>
      </c>
      <c r="G59" s="31"/>
    </row>
    <row r="60" customFormat="false" ht="15" hidden="false" customHeight="false" outlineLevel="0" collapsed="false">
      <c r="A60" s="5" t="s">
        <v>266</v>
      </c>
      <c r="B60" s="4" t="s">
        <v>270</v>
      </c>
      <c r="C60" s="12" t="n">
        <v>79187433</v>
      </c>
      <c r="D60" s="12" t="n">
        <f aca="false">Reserve!C102</f>
        <v>79187432.9501916</v>
      </c>
      <c r="E60" s="26" t="n">
        <f aca="false">IF(ISNUMBER(D60),D60-C60,"")</f>
        <v>-0.0498084276914597</v>
      </c>
      <c r="F60" s="14" t="str">
        <f aca="false">IF(ISNUMBER(D60),IF(ABS(E60)&lt;=0.5,"PASS","FAIL"),"FAIL")</f>
        <v>PASS</v>
      </c>
      <c r="G60" s="2"/>
    </row>
    <row r="61" customFormat="false" ht="15" hidden="false" customHeight="false" outlineLevel="0" collapsed="false">
      <c r="A61" s="27" t="s">
        <v>266</v>
      </c>
      <c r="B61" s="28" t="s">
        <v>271</v>
      </c>
      <c r="C61" s="19" t="n">
        <v>151970000</v>
      </c>
      <c r="D61" s="19" t="n">
        <f aca="false">Reserve!D102</f>
        <v>151970000</v>
      </c>
      <c r="E61" s="29" t="n">
        <f aca="false">IF(ISNUMBER(D61),D61-C61,"")</f>
        <v>0</v>
      </c>
      <c r="F61" s="30" t="str">
        <f aca="false">IF(ISNUMBER(D61),IF(ABS(E61)&lt;=0.5,"PASS","FAIL"),"FAIL")</f>
        <v>PASS</v>
      </c>
      <c r="G61" s="31"/>
    </row>
    <row r="62" customFormat="false" ht="15" hidden="false" customHeight="false" outlineLevel="0" collapsed="false">
      <c r="A62" s="5" t="s">
        <v>266</v>
      </c>
      <c r="B62" s="4" t="s">
        <v>272</v>
      </c>
      <c r="C62" s="12" t="n">
        <v>30913487</v>
      </c>
      <c r="D62" s="12" t="n">
        <f aca="false">Reserve!B105</f>
        <v>30913486.5900383</v>
      </c>
      <c r="E62" s="26" t="n">
        <f aca="false">IF(ISNUMBER(D62),D62-C62,"")</f>
        <v>-0.409961685538292</v>
      </c>
      <c r="F62" s="14" t="str">
        <f aca="false">IF(ISNUMBER(D62),IF(ABS(E62)&lt;=0.5,"PASS","FAIL"),"FAIL")</f>
        <v>PASS</v>
      </c>
      <c r="G62" s="2"/>
    </row>
    <row r="63" customFormat="false" ht="15" hidden="false" customHeight="false" outlineLevel="0" collapsed="false">
      <c r="A63" s="27" t="s">
        <v>266</v>
      </c>
      <c r="B63" s="28" t="s">
        <v>273</v>
      </c>
      <c r="C63" s="19" t="n">
        <v>8487513</v>
      </c>
      <c r="D63" s="19" t="n">
        <f aca="false">Reserve!C105</f>
        <v>8487513.40996169</v>
      </c>
      <c r="E63" s="29" t="n">
        <f aca="false">IF(ISNUMBER(D63),D63-C63,"")</f>
        <v>0.409961685538292</v>
      </c>
      <c r="F63" s="30" t="str">
        <f aca="false">IF(ISNUMBER(D63),IF(ABS(E63)&lt;=0.5,"PASS","FAIL"),"FAIL")</f>
        <v>PASS</v>
      </c>
      <c r="G63" s="31"/>
    </row>
    <row r="64" customFormat="false" ht="15" hidden="false" customHeight="false" outlineLevel="0" collapsed="false">
      <c r="A64" s="5" t="s">
        <v>266</v>
      </c>
      <c r="B64" s="4" t="s">
        <v>274</v>
      </c>
      <c r="C64" s="12" t="n">
        <v>39401000</v>
      </c>
      <c r="D64" s="12" t="n">
        <f aca="false">Reserve!D105</f>
        <v>39401000</v>
      </c>
      <c r="E64" s="26" t="n">
        <f aca="false">IF(ISNUMBER(D64),D64-C64,"")</f>
        <v>0</v>
      </c>
      <c r="F64" s="14" t="str">
        <f aca="false">IF(ISNUMBER(D64),IF(ABS(E64)&lt;=0.5,"PASS","FAIL"),"FAIL")</f>
        <v>PASS</v>
      </c>
      <c r="G64" s="2"/>
    </row>
    <row r="65" customFormat="false" ht="15" hidden="false" customHeight="false" outlineLevel="0" collapsed="false">
      <c r="A65" s="27" t="s">
        <v>266</v>
      </c>
      <c r="B65" s="28" t="s">
        <v>275</v>
      </c>
      <c r="C65" s="19" t="n">
        <v>394000</v>
      </c>
      <c r="D65" s="19" t="n">
        <f aca="false">Reserve!D111</f>
        <v>394000</v>
      </c>
      <c r="E65" s="29" t="n">
        <f aca="false">IF(ISNUMBER(D65),D65-C65,"")</f>
        <v>0</v>
      </c>
      <c r="F65" s="30" t="str">
        <f aca="false">IF(ISNUMBER(D65),IF(ABS(E65)&lt;=0.5,"PASS","FAIL"),"FAIL")</f>
        <v>PASS</v>
      </c>
      <c r="G65" s="31"/>
    </row>
    <row r="66" customFormat="false" ht="15" hidden="false" customHeight="false" outlineLevel="0" collapsed="false">
      <c r="A66" s="5" t="s">
        <v>266</v>
      </c>
      <c r="B66" s="4" t="s">
        <v>276</v>
      </c>
      <c r="C66" s="12" t="n">
        <v>196436513</v>
      </c>
      <c r="D66" s="12" t="n">
        <f aca="false">Reserve!B106</f>
        <v>196436513.409962</v>
      </c>
      <c r="E66" s="26" t="n">
        <f aca="false">IF(ISNUMBER(D66),D66-C66,"")</f>
        <v>0.409961700439453</v>
      </c>
      <c r="F66" s="14" t="str">
        <f aca="false">IF(ISNUMBER(D66),IF(ABS(E66)&lt;=0.5,"PASS","FAIL"),"FAIL")</f>
        <v>PASS</v>
      </c>
      <c r="G66" s="2"/>
    </row>
    <row r="67" customFormat="false" ht="15" hidden="false" customHeight="false" outlineLevel="0" collapsed="false">
      <c r="A67" s="27" t="s">
        <v>266</v>
      </c>
      <c r="B67" s="28" t="s">
        <v>277</v>
      </c>
      <c r="C67" s="19" t="n">
        <v>113137487</v>
      </c>
      <c r="D67" s="19" t="n">
        <f aca="false">Reserve!C106</f>
        <v>113137486.590038</v>
      </c>
      <c r="E67" s="29" t="n">
        <f aca="false">IF(ISNUMBER(D67),D67-C67,"")</f>
        <v>-0.409961685538292</v>
      </c>
      <c r="F67" s="30" t="str">
        <f aca="false">IF(ISNUMBER(D67),IF(ABS(E67)&lt;=0.5,"PASS","FAIL"),"FAIL")</f>
        <v>PASS</v>
      </c>
      <c r="G67" s="31"/>
    </row>
    <row r="68" customFormat="false" ht="15" hidden="false" customHeight="false" outlineLevel="0" collapsed="false">
      <c r="A68" s="5" t="s">
        <v>266</v>
      </c>
      <c r="B68" s="4" t="s">
        <v>278</v>
      </c>
      <c r="C68" s="13" t="n">
        <v>2.699</v>
      </c>
      <c r="D68" s="13" t="n">
        <f aca="false">Reserve!B107</f>
        <v>2.69895005593209</v>
      </c>
      <c r="E68" s="26" t="n">
        <f aca="false">IF(ISNUMBER(D68),D68-C68,"")</f>
        <v>-4.99440679075924E-005</v>
      </c>
      <c r="F68" s="14" t="str">
        <f aca="false">IF(ISNUMBER(D68),IF(ABS(E68)&lt;=0.00005,"PASS","FAIL"),"FAIL")</f>
        <v>PASS</v>
      </c>
      <c r="G68" s="2"/>
    </row>
    <row r="69" customFormat="false" ht="15" hidden="false" customHeight="false" outlineLevel="0" collapsed="false">
      <c r="A69" s="27" t="s">
        <v>266</v>
      </c>
      <c r="B69" s="28" t="s">
        <v>279</v>
      </c>
      <c r="C69" s="34" t="n">
        <v>1.4287</v>
      </c>
      <c r="D69" s="34" t="n">
        <f aca="false">Reserve!C107</f>
        <v>1.42873032216111</v>
      </c>
      <c r="E69" s="29" t="n">
        <f aca="false">IF(ISNUMBER(D69),D69-C69,"")</f>
        <v>3.03221611075433E-005</v>
      </c>
      <c r="F69" s="30" t="str">
        <f aca="false">IF(ISNUMBER(D69),IF(ABS(E69)&lt;=0.00005,"PASS","FAIL"),"FAIL")</f>
        <v>PASS</v>
      </c>
      <c r="G69" s="31"/>
    </row>
    <row r="70" customFormat="false" ht="15" hidden="false" customHeight="false" outlineLevel="0" collapsed="false">
      <c r="A70" s="5" t="s">
        <v>266</v>
      </c>
      <c r="B70" s="4" t="s">
        <v>280</v>
      </c>
      <c r="C70" s="12" t="n">
        <v>41196054</v>
      </c>
      <c r="D70" s="12" t="n">
        <f aca="false">Reserve!B108</f>
        <v>41196053.6398467</v>
      </c>
      <c r="E70" s="26" t="n">
        <f aca="false">IF(ISNUMBER(D70),D70-C70,"")</f>
        <v>-0.360153257846832</v>
      </c>
      <c r="F70" s="14" t="str">
        <f aca="false">IF(ISNUMBER(D70),IF(ABS(E70)&lt;=0.5,"PASS","FAIL"),"FAIL")</f>
        <v>PASS</v>
      </c>
      <c r="G70" s="2"/>
    </row>
    <row r="71" customFormat="false" ht="15" hidden="false" customHeight="false" outlineLevel="0" collapsed="false">
      <c r="A71" s="27" t="s">
        <v>266</v>
      </c>
      <c r="B71" s="28" t="s">
        <v>281</v>
      </c>
      <c r="C71" s="32" t="n">
        <v>0.181201</v>
      </c>
      <c r="D71" s="32" t="n">
        <f aca="false">Reserve!B109</f>
        <v>0.181201027665919</v>
      </c>
      <c r="E71" s="29" t="n">
        <f aca="false">IF(ISNUMBER(D71),D71-C71,"")</f>
        <v>2.7665919249964E-008</v>
      </c>
      <c r="F71" s="30" t="str">
        <f aca="false">IF(ISNUMBER(D71),IF(ABS(E71)&lt;=0.0000005,"PASS","FAIL"),"FAIL")</f>
        <v>PASS</v>
      </c>
      <c r="G71" s="31"/>
    </row>
    <row r="72" customFormat="false" ht="15" hidden="false" customHeight="false" outlineLevel="0" collapsed="false">
      <c r="A72" s="5" t="s">
        <v>266</v>
      </c>
      <c r="B72" s="4" t="s">
        <v>282</v>
      </c>
      <c r="C72" s="12" t="n">
        <v>19674946</v>
      </c>
      <c r="D72" s="12" t="n">
        <f aca="false">Reserve!C108</f>
        <v>19674946.3601533</v>
      </c>
      <c r="E72" s="26" t="n">
        <f aca="false">IF(ISNUMBER(D72),D72-C72,"")</f>
        <v>0.360153257846832</v>
      </c>
      <c r="F72" s="14" t="str">
        <f aca="false">IF(ISNUMBER(D72),IF(ABS(E72)&lt;=0.5,"PASS","FAIL"),"FAIL")</f>
        <v>PASS</v>
      </c>
      <c r="G72" s="2"/>
    </row>
    <row r="73" customFormat="false" ht="15" hidden="false" customHeight="false" outlineLevel="0" collapsed="false">
      <c r="A73" s="27" t="s">
        <v>266</v>
      </c>
      <c r="B73" s="28" t="s">
        <v>281</v>
      </c>
      <c r="C73" s="32" t="n">
        <v>0.161767</v>
      </c>
      <c r="D73" s="32" t="n">
        <f aca="false">Reserve!C109</f>
        <v>0.161767287647714</v>
      </c>
      <c r="E73" s="29" t="n">
        <f aca="false">IF(ISNUMBER(D73),D73-C73,"")</f>
        <v>2.87647714369843E-007</v>
      </c>
      <c r="F73" s="30" t="str">
        <f aca="false">IF(ISNUMBER(D73),IF(ABS(E73)&lt;=0.0000005,"PASS","FAIL"),"FAIL")</f>
        <v>PASS</v>
      </c>
      <c r="G73" s="31"/>
    </row>
    <row r="74" customFormat="false" ht="15" hidden="false" customHeight="false" outlineLevel="0" collapsed="false">
      <c r="A74" s="5" t="s">
        <v>266</v>
      </c>
      <c r="B74" s="4" t="s">
        <v>283</v>
      </c>
      <c r="C74" s="12" t="n">
        <v>5593716</v>
      </c>
      <c r="D74" s="12" t="n">
        <f aca="false">Reserve!B116</f>
        <v>5593716.47509579</v>
      </c>
      <c r="E74" s="26" t="n">
        <f aca="false">IF(ISNUMBER(D74),D74-C74,"")</f>
        <v>0.475095785222948</v>
      </c>
      <c r="F74" s="14" t="str">
        <f aca="false">IF(ISNUMBER(D74),IF(ABS(E74)&lt;=0.5,"PASS","FAIL"),"FAIL")</f>
        <v>PASS</v>
      </c>
      <c r="G74" s="2"/>
    </row>
    <row r="75" customFormat="false" ht="15" hidden="false" customHeight="false" outlineLevel="0" collapsed="false">
      <c r="A75" s="27" t="s">
        <v>266</v>
      </c>
      <c r="B75" s="28" t="s">
        <v>284</v>
      </c>
      <c r="C75" s="19" t="n">
        <v>73593716</v>
      </c>
      <c r="D75" s="19" t="n">
        <f aca="false">Reserve!B117</f>
        <v>73593716.4750958</v>
      </c>
      <c r="E75" s="29" t="n">
        <f aca="false">IF(ISNUMBER(D75),D75-C75,"")</f>
        <v>0.47509577870369</v>
      </c>
      <c r="F75" s="30" t="str">
        <f aca="false">IF(ISNUMBER(D75),IF(ABS(E75)&lt;=0.5,"PASS","FAIL"),"FAIL")</f>
        <v>PASS</v>
      </c>
      <c r="G75" s="31"/>
    </row>
    <row r="76" customFormat="false" ht="15" hidden="false" customHeight="false" outlineLevel="0" collapsed="false">
      <c r="A76" s="5" t="s">
        <v>266</v>
      </c>
      <c r="B76" s="4" t="s">
        <v>285</v>
      </c>
      <c r="C76" s="12" t="n">
        <v>4803128</v>
      </c>
      <c r="D76" s="12" t="n">
        <f aca="false">Reserve!B118</f>
        <v>4803128.35249042</v>
      </c>
      <c r="E76" s="26" t="n">
        <f aca="false">IF(ISNUMBER(D76),D76-C76,"")</f>
        <v>0.352490422315896</v>
      </c>
      <c r="F76" s="14" t="str">
        <f aca="false">IF(ISNUMBER(D76),IF(ABS(E76)&lt;=0.5,"PASS","FAIL"),"FAIL")</f>
        <v>PASS</v>
      </c>
      <c r="G76" s="2"/>
    </row>
    <row r="77" customFormat="false" ht="15" hidden="false" customHeight="false" outlineLevel="0" collapsed="false">
      <c r="A77" s="27" t="s">
        <v>266</v>
      </c>
      <c r="B77" s="28" t="s">
        <v>286</v>
      </c>
      <c r="C77" s="19" t="n">
        <v>10396844</v>
      </c>
      <c r="D77" s="19" t="n">
        <f aca="false">Reserve!B119</f>
        <v>10396844.8275862</v>
      </c>
      <c r="E77" s="29" t="n">
        <f aca="false">IF(ISNUMBER(D77),D77-C77,"")</f>
        <v>0.827586207538843</v>
      </c>
      <c r="F77" s="30" t="str">
        <f aca="false">IF(ISNUMBER(D77),IF(ABS(E77)&lt;=1,"PASS","FAIL"),"FAIL")</f>
        <v>PASS</v>
      </c>
      <c r="G77" s="31" t="s">
        <v>287</v>
      </c>
    </row>
    <row r="78" customFormat="false" ht="15" hidden="false" customHeight="false" outlineLevel="0" collapsed="false">
      <c r="A78" s="5" t="s">
        <v>266</v>
      </c>
      <c r="B78" s="4" t="s">
        <v>288</v>
      </c>
      <c r="C78" s="12" t="n">
        <v>9278102</v>
      </c>
      <c r="D78" s="12" t="n">
        <f aca="false">Reserve!B121</f>
        <v>9278101.53256705</v>
      </c>
      <c r="E78" s="26" t="n">
        <f aca="false">IF(ISNUMBER(D78),D78-C78,"")</f>
        <v>-0.467432949692011</v>
      </c>
      <c r="F78" s="14" t="str">
        <f aca="false">IF(ISNUMBER(D78),IF(ABS(E78)&lt;=0.5,"PASS","FAIL"),"FAIL")</f>
        <v>PASS</v>
      </c>
      <c r="G78" s="2"/>
    </row>
    <row r="79" customFormat="false" ht="15" hidden="false" customHeight="false" outlineLevel="0" collapsed="false">
      <c r="A79" s="27" t="s">
        <v>266</v>
      </c>
      <c r="B79" s="28" t="s">
        <v>212</v>
      </c>
      <c r="C79" s="32" t="n">
        <v>0.061854</v>
      </c>
      <c r="D79" s="32" t="n">
        <f aca="false">Reserve!B122</f>
        <v>0.0618540102171137</v>
      </c>
      <c r="E79" s="29" t="n">
        <f aca="false">IF(ISNUMBER(D79),D79-C79,"")</f>
        <v>1.02171136689977E-008</v>
      </c>
      <c r="F79" s="30" t="str">
        <f aca="false">IF(ISNUMBER(D79),IF(ABS(E79)&lt;=0.0000005,"PASS","FAIL"),"FAIL")</f>
        <v>PASS</v>
      </c>
      <c r="G79" s="31"/>
    </row>
    <row r="80" customFormat="false" ht="15" hidden="false" customHeight="false" outlineLevel="0" collapsed="false">
      <c r="A80" s="5" t="s">
        <v>266</v>
      </c>
      <c r="B80" s="4" t="s">
        <v>289</v>
      </c>
      <c r="C80" s="20" t="n">
        <v>0.076284</v>
      </c>
      <c r="D80" s="20" t="n">
        <f aca="false">Reserve!B123</f>
        <v>0.0762844935873961</v>
      </c>
      <c r="E80" s="26" t="n">
        <f aca="false">IF(ISNUMBER(D80),D80-C80,"")</f>
        <v>4.93587396094286E-007</v>
      </c>
      <c r="F80" s="14" t="str">
        <f aca="false">IF(ISNUMBER(D80),IF(ABS(E80)&lt;=0.0000005,"PASS","FAIL"),"FAIL")</f>
        <v>PASS</v>
      </c>
      <c r="G80" s="2"/>
    </row>
    <row r="81" customFormat="false" ht="15" hidden="false" customHeight="false" outlineLevel="0" collapsed="false">
      <c r="A81" s="27" t="s">
        <v>266</v>
      </c>
      <c r="B81" s="28" t="s">
        <v>290</v>
      </c>
      <c r="C81" s="34" t="n">
        <v>1.5874</v>
      </c>
      <c r="D81" s="34" t="n">
        <f aca="false">Reserve!B124</f>
        <v>1.58738921259728</v>
      </c>
      <c r="E81" s="29" t="n">
        <f aca="false">IF(ISNUMBER(D81),D81-C81,"")</f>
        <v>-1.07874027224231E-005</v>
      </c>
      <c r="F81" s="30" t="str">
        <f aca="false">IF(ISNUMBER(D81),IF(ABS(E81)&lt;=0.00005,"PASS","FAIL"),"FAIL")</f>
        <v>PASS</v>
      </c>
      <c r="G81" s="31"/>
    </row>
    <row r="82" customFormat="false" ht="15" hidden="false" customHeight="false" outlineLevel="0" collapsed="false">
      <c r="A82" s="5" t="s">
        <v>266</v>
      </c>
      <c r="B82" s="4" t="s">
        <v>291</v>
      </c>
      <c r="C82" s="21" t="n">
        <v>0.1587</v>
      </c>
      <c r="D82" s="21" t="n">
        <f aca="false">Reserve!B125</f>
        <v>0.15865889043617</v>
      </c>
      <c r="E82" s="26" t="n">
        <f aca="false">IF(ISNUMBER(D82),D82-C82,"")</f>
        <v>-4.11095638301329E-005</v>
      </c>
      <c r="F82" s="14" t="str">
        <f aca="false">IF(ISNUMBER(D82),IF(ABS(E82)&lt;=0.00005,"PASS","FAIL"),"FAIL")</f>
        <v>PASS</v>
      </c>
      <c r="G82" s="2"/>
    </row>
    <row r="83" customFormat="false" ht="15" hidden="false" customHeight="false" outlineLevel="0" collapsed="false">
      <c r="A83" s="27" t="s">
        <v>266</v>
      </c>
      <c r="B83" s="28" t="s">
        <v>292</v>
      </c>
      <c r="C83" s="19" t="n">
        <v>13869380</v>
      </c>
      <c r="D83" s="19" t="n">
        <f aca="false">Reserve!B128</f>
        <v>13869379.9699119</v>
      </c>
      <c r="E83" s="29" t="n">
        <f aca="false">IF(ISNUMBER(D83),D83-C83,"")</f>
        <v>-0.0300881154835224</v>
      </c>
      <c r="F83" s="30" t="str">
        <f aca="false">IF(ISNUMBER(D83),IF(ABS(E83)&lt;=0.5,"PASS","FAIL"),"FAIL")</f>
        <v>PASS</v>
      </c>
      <c r="G83" s="31"/>
    </row>
    <row r="84" customFormat="false" ht="15" hidden="false" customHeight="false" outlineLevel="0" collapsed="false">
      <c r="A84" s="5" t="s">
        <v>266</v>
      </c>
      <c r="B84" s="4" t="s">
        <v>293</v>
      </c>
      <c r="C84" s="12" t="n">
        <v>5381867</v>
      </c>
      <c r="D84" s="12" t="n">
        <f aca="false">Reserve!B129</f>
        <v>5381866.5599502</v>
      </c>
      <c r="E84" s="26" t="n">
        <f aca="false">IF(ISNUMBER(D84),D84-C84,"")</f>
        <v>-0.440049801021814</v>
      </c>
      <c r="F84" s="14" t="str">
        <f aca="false">IF(ISNUMBER(D84),IF(ABS(E84)&lt;=0.5,"PASS","FAIL"),"FAIL")</f>
        <v>PASS</v>
      </c>
      <c r="G84" s="2"/>
    </row>
    <row r="85" customFormat="false" ht="15" hidden="false" customHeight="false" outlineLevel="0" collapsed="false">
      <c r="A85" s="27" t="s">
        <v>294</v>
      </c>
      <c r="B85" s="28" t="s">
        <v>295</v>
      </c>
      <c r="C85" s="19" t="n">
        <v>8000000</v>
      </c>
      <c r="D85" s="19" t="n">
        <f aca="false">Reserve!B84</f>
        <v>8000000</v>
      </c>
      <c r="E85" s="29" t="n">
        <f aca="false">IF(ISNUMBER(D85),D85-C85,"")</f>
        <v>0</v>
      </c>
      <c r="F85" s="30" t="str">
        <f aca="false">IF(ISNUMBER(D85),IF(ABS(E85)&lt;=0.5,"PASS","FAIL"),"FAIL")</f>
        <v>PASS</v>
      </c>
      <c r="G85" s="31"/>
    </row>
    <row r="86" customFormat="false" ht="15" hidden="false" customHeight="false" outlineLevel="0" collapsed="false">
      <c r="A86" s="5" t="s">
        <v>294</v>
      </c>
      <c r="B86" s="4" t="s">
        <v>296</v>
      </c>
      <c r="C86" s="12" t="n">
        <v>1075000</v>
      </c>
      <c r="D86" s="12" t="n">
        <f aca="false">Reserve!B85</f>
        <v>1075000</v>
      </c>
      <c r="E86" s="26" t="n">
        <f aca="false">IF(ISNUMBER(D86),D86-C86,"")</f>
        <v>0</v>
      </c>
      <c r="F86" s="14" t="str">
        <f aca="false">IF(ISNUMBER(D86),IF(ABS(E86)&lt;=0.5,"PASS","FAIL"),"FAIL")</f>
        <v>PASS</v>
      </c>
      <c r="G86" s="2"/>
    </row>
    <row r="87" customFormat="false" ht="15" hidden="false" customHeight="false" outlineLevel="0" collapsed="false">
      <c r="A87" s="27" t="s">
        <v>294</v>
      </c>
      <c r="B87" s="28" t="s">
        <v>159</v>
      </c>
      <c r="C87" s="34" t="n">
        <v>0.1344</v>
      </c>
      <c r="D87" s="34" t="n">
        <f aca="false">Reserve!B86</f>
        <v>0.134375</v>
      </c>
      <c r="E87" s="29" t="n">
        <f aca="false">IF(ISNUMBER(D87),D87-C87,"")</f>
        <v>-2.49999999999972E-005</v>
      </c>
      <c r="F87" s="30" t="str">
        <f aca="false">IF(ISNUMBER(D87),IF(ABS(E87)&lt;=0.00005,"PASS","FAIL"),"FAIL")</f>
        <v>PASS</v>
      </c>
      <c r="G87" s="31"/>
    </row>
    <row r="88" customFormat="false" ht="15" hidden="false" customHeight="false" outlineLevel="0" collapsed="false">
      <c r="A88" s="5" t="s">
        <v>294</v>
      </c>
      <c r="B88" s="4" t="s">
        <v>297</v>
      </c>
      <c r="C88" s="13" t="n">
        <v>2.84</v>
      </c>
      <c r="D88" s="13" t="n">
        <f aca="false">Reserve!B87</f>
        <v>2.84</v>
      </c>
      <c r="E88" s="26" t="n">
        <f aca="false">IF(ISNUMBER(D88),D88-C88,"")</f>
        <v>0</v>
      </c>
      <c r="F88" s="14" t="str">
        <f aca="false">IF(ISNUMBER(D88),IF(ABS(E88)&lt;=0.00005,"PASS","FAIL"),"FAIL")</f>
        <v>PASS</v>
      </c>
      <c r="G88" s="2"/>
    </row>
    <row r="89" customFormat="false" ht="15" hidden="false" customHeight="false" outlineLevel="0" collapsed="false">
      <c r="A89" s="27" t="s">
        <v>294</v>
      </c>
      <c r="B89" s="28" t="s">
        <v>181</v>
      </c>
      <c r="C89" s="33" t="n">
        <v>0.1659</v>
      </c>
      <c r="D89" s="33" t="n">
        <f aca="false">Reserve!B88</f>
        <v>0.165862068965517</v>
      </c>
      <c r="E89" s="29" t="n">
        <f aca="false">IF(ISNUMBER(D89),D89-C89,"")</f>
        <v>-3.79310344829631E-005</v>
      </c>
      <c r="F89" s="30" t="str">
        <f aca="false">IF(ISNUMBER(D89),IF(ABS(E89)&lt;=0.00005,"PASS","FAIL"),"FAIL")</f>
        <v>PASS</v>
      </c>
      <c r="G89" s="31"/>
    </row>
    <row r="90" customFormat="false" ht="15" hidden="false" customHeight="false" outlineLevel="0" collapsed="false">
      <c r="A90" s="5" t="s">
        <v>294</v>
      </c>
      <c r="B90" s="4" t="s">
        <v>298</v>
      </c>
      <c r="C90" s="12" t="n">
        <v>39580000</v>
      </c>
      <c r="D90" s="12" t="n">
        <f aca="false">Reserve!B89</f>
        <v>39580000</v>
      </c>
      <c r="E90" s="26" t="n">
        <f aca="false">IF(ISNUMBER(D90),D90-C90,"")</f>
        <v>0</v>
      </c>
      <c r="F90" s="14" t="str">
        <f aca="false">IF(ISNUMBER(D90),IF(ABS(E90)&lt;=0.5,"PASS","FAIL"),"FAIL")</f>
        <v>PASS</v>
      </c>
      <c r="G90" s="2"/>
    </row>
    <row r="91" customFormat="false" ht="15" hidden="false" customHeight="false" outlineLevel="0" collapsed="false">
      <c r="A91" s="27" t="s">
        <v>294</v>
      </c>
      <c r="B91" s="28" t="s">
        <v>299</v>
      </c>
      <c r="C91" s="19" t="n">
        <v>308320000</v>
      </c>
      <c r="D91" s="19" t="n">
        <f aca="false">Reserve!B90</f>
        <v>308320000</v>
      </c>
      <c r="E91" s="29" t="n">
        <f aca="false">IF(ISNUMBER(D91),D91-C91,"")</f>
        <v>0</v>
      </c>
      <c r="F91" s="30" t="str">
        <f aca="false">IF(ISNUMBER(D91),IF(ABS(E91)&lt;=0.5,"PASS","FAIL"),"FAIL")</f>
        <v>PASS</v>
      </c>
      <c r="G91" s="31"/>
    </row>
    <row r="92" customFormat="false" ht="15" hidden="false" customHeight="false" outlineLevel="0" collapsed="false">
      <c r="A92" s="5" t="s">
        <v>294</v>
      </c>
      <c r="B92" s="4" t="s">
        <v>183</v>
      </c>
      <c r="C92" s="13" t="n">
        <v>2.0555</v>
      </c>
      <c r="D92" s="13" t="n">
        <f aca="false">Reserve!B91</f>
        <v>2.05546666666667</v>
      </c>
      <c r="E92" s="26" t="n">
        <f aca="false">IF(ISNUMBER(D92),D92-C92,"")</f>
        <v>-3.33333333331076E-005</v>
      </c>
      <c r="F92" s="14" t="str">
        <f aca="false">IF(ISNUMBER(D92),IF(ABS(E92)&lt;=0.00005,"PASS","FAIL"),"FAIL")</f>
        <v>PASS</v>
      </c>
      <c r="G92" s="2"/>
    </row>
    <row r="93" customFormat="false" ht="15" hidden="false" customHeight="false" outlineLevel="0" collapsed="false">
      <c r="A93" s="27" t="s">
        <v>294</v>
      </c>
      <c r="B93" s="28" t="s">
        <v>300</v>
      </c>
      <c r="C93" s="19" t="n">
        <v>143970000</v>
      </c>
      <c r="D93" s="19" t="n">
        <f aca="false">Reserve!B92</f>
        <v>143970000</v>
      </c>
      <c r="E93" s="29" t="n">
        <f aca="false">IF(ISNUMBER(D93),D93-C93,"")</f>
        <v>0</v>
      </c>
      <c r="F93" s="30" t="str">
        <f aca="false">IF(ISNUMBER(D93),IF(ABS(E93)&lt;=0.5,"PASS","FAIL"),"FAIL")</f>
        <v>PASS</v>
      </c>
      <c r="G93" s="31"/>
    </row>
    <row r="94" customFormat="false" ht="15" hidden="false" customHeight="false" outlineLevel="0" collapsed="false">
      <c r="A94" s="5" t="s">
        <v>294</v>
      </c>
      <c r="B94" s="4" t="s">
        <v>301</v>
      </c>
      <c r="C94" s="12" t="n">
        <v>7140000</v>
      </c>
      <c r="D94" s="12" t="n">
        <f aca="false">Reserve!B93</f>
        <v>7140000</v>
      </c>
      <c r="E94" s="26" t="n">
        <f aca="false">IF(ISNUMBER(D94),D94-C94,"")</f>
        <v>0</v>
      </c>
      <c r="F94" s="14" t="str">
        <f aca="false">IF(ISNUMBER(D94),IF(ABS(E94)&lt;=0.5,"PASS","FAIL"),"FAIL")</f>
        <v>PASS</v>
      </c>
      <c r="G94" s="2"/>
    </row>
    <row r="95" customFormat="false" ht="15" hidden="false" customHeight="false" outlineLevel="0" collapsed="false">
      <c r="A95" s="27" t="s">
        <v>294</v>
      </c>
      <c r="B95" s="28" t="s">
        <v>302</v>
      </c>
      <c r="C95" s="34" t="n">
        <v>2.9038</v>
      </c>
      <c r="D95" s="34" t="n">
        <f aca="false">Reserve!B94</f>
        <v>2.90376569037657</v>
      </c>
      <c r="E95" s="29" t="n">
        <f aca="false">IF(ISNUMBER(D95),D95-C95,"")</f>
        <v>-3.43096234307616E-005</v>
      </c>
      <c r="F95" s="30" t="str">
        <f aca="false">IF(ISNUMBER(D95),IF(ABS(E95)&lt;=0.00005,"PASS","FAIL"),"FAIL")</f>
        <v>PASS</v>
      </c>
      <c r="G95" s="31"/>
    </row>
    <row r="96" customFormat="false" ht="15" hidden="false" customHeight="false" outlineLevel="0" collapsed="false">
      <c r="A96" s="5" t="s">
        <v>294</v>
      </c>
      <c r="B96" s="4" t="s">
        <v>303</v>
      </c>
      <c r="C96" s="13" t="n">
        <v>0.6182</v>
      </c>
      <c r="D96" s="13" t="n">
        <f aca="false">Reserve!H15</f>
        <v>0.618181818181818</v>
      </c>
      <c r="E96" s="26" t="n">
        <f aca="false">IF(ISNUMBER(D96),D96-C96,"")</f>
        <v>-1.81818181818061E-005</v>
      </c>
      <c r="F96" s="14" t="str">
        <f aca="false">IF(ISNUMBER(D96),IF(ABS(E96)&lt;=0.00005,"PASS","FAIL"),"FAIL")</f>
        <v>PASS</v>
      </c>
      <c r="G96" s="2"/>
    </row>
    <row r="97" customFormat="false" ht="15" hidden="false" customHeight="false" outlineLevel="0" collapsed="false">
      <c r="A97" s="27" t="s">
        <v>294</v>
      </c>
      <c r="B97" s="28" t="s">
        <v>304</v>
      </c>
      <c r="C97" s="34" t="n">
        <v>0.9308</v>
      </c>
      <c r="D97" s="34" t="n">
        <f aca="false">Reserve!H13</f>
        <v>0.930769230769231</v>
      </c>
      <c r="E97" s="29" t="n">
        <f aca="false">IF(ISNUMBER(D97),D97-C97,"")</f>
        <v>-3.07692307691676E-005</v>
      </c>
      <c r="F97" s="30" t="str">
        <f aca="false">IF(ISNUMBER(D97),IF(ABS(E97)&lt;=0.00005,"PASS","FAIL"),"FAIL")</f>
        <v>PASS</v>
      </c>
      <c r="G97" s="31" t="s">
        <v>305</v>
      </c>
    </row>
    <row r="99" customFormat="false" ht="15" hidden="false" customHeight="false" outlineLevel="0" collapsed="false">
      <c r="B99" s="14" t="s">
        <v>306</v>
      </c>
      <c r="C99" s="24" t="n">
        <f aca="false">COUNTIF(F6:F97,"PASS")</f>
        <v>92</v>
      </c>
    </row>
    <row r="100" customFormat="false" ht="15" hidden="false" customHeight="false" outlineLevel="0" collapsed="false">
      <c r="B100" s="14" t="s">
        <v>307</v>
      </c>
      <c r="C100" s="24" t="n">
        <f aca="false">COUNTIF(F6:F97,"FAIL")</f>
        <v>0</v>
      </c>
    </row>
    <row r="101" customFormat="false" ht="15" hidden="false" customHeight="false" outlineLevel="0" collapsed="false">
      <c r="B101" s="14" t="s">
        <v>308</v>
      </c>
      <c r="C101" s="14" t="str">
        <f aca="false">IF(C99=92,"ALL OK",C100&amp;"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2026-09-24T01:20:16Z</dcterms:created>
  <dc:creator>openpyxl</dc:creator>
  <dc:description/>
  <dc:language>en-US</dc:language>
  <cp:lastModifiedBy/>
  <dcterms:modified xsi:type="dcterms:W3CDTF">2026-09-24T01:20:16Z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