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Assumptions" sheetId="2" state="visible" r:id="rId4"/>
    <sheet name="2. Asset and loan" sheetId="3" state="visible" r:id="rId5"/>
    <sheet name="3. The four options" sheetId="4" state="visible" r:id="rId6"/>
    <sheet name="4. The extension" sheetId="5" state="visible" r:id="rId7"/>
    <sheet name="5. 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<sst xmlns="http://schemas.openxmlformats.org/spreadsheetml/2006/main" count="291" uniqueCount="239">
  <si>
    <t xml:space="preserve">Harbour Quay — the four options priced</t>
  </si>
  <si>
    <t xml:space="preserve">Companion workbook to The Real Estate Workout — Julian R. Sterling</t>
  </si>
  <si>
    <t xml:space="preserve">What this workbook is</t>
  </si>
  <si>
    <t xml:space="preserve">The whole book on four sheets. One broken loan, four ways out of it, each priced as a present value on identical assumptions so they can be compared on one line — which is the comparison the book exists to make.</t>
  </si>
  <si>
    <t xml:space="preserve">The four sheets</t>
  </si>
  <si>
    <t xml:space="preserve">1. Assumptions — everything you can change. Two cells are marked yellow because they decide more than the rest put together: the current yield, and the forced-sale discount.</t>
  </si>
  <si>
    <t xml:space="preserve">2. The asset and the loan — value, loan to value, interest cover, and where the covenants stand today.</t>
  </si>
  <si>
    <t xml:space="preserve">3. The four options — enforcement, extension, discounted payoff and consensual sale, each as a present value, a recovery percentage, and a rank. Below them, the indifference point.</t>
  </si>
  <si>
    <t xml:space="preserve">4. The extension — three years of cash flow, the exit capped at the balance, the covenants re-tested. 5. Checks — every figure the book prints, recomputed, and the identities that hold for any inputs.</t>
  </si>
  <si>
    <t xml:space="preserve">Conventions</t>
  </si>
  <si>
    <t xml:space="preserve">Blue text on a pale blue fill is an input: that is what you change. Black is a formula. Yellow marks an assumption that carries the answer.</t>
  </si>
  <si>
    <t xml:space="preserve">Amounts are in millions of euros. Harbour Quay is fictional. It is built to be ordinary rather than extreme — an office bought at a 4.50% yield and refinanced into a 6.65% market, which is the commonest broken loan there is.</t>
  </si>
  <si>
    <t xml:space="preserve">Where to start</t>
  </si>
  <si>
    <t xml:space="preserve">Go to sheet 3 and read the indifference point: the price, in cents on the euro, at which a discounted payoff exactly matches what enforcement would return. Then go back to Assumptions and raise the forced-sale discount from 18% to 30%. The indifference point falls from 58.7 to 49.6 cents, and nothing about the building, the borrower or the loan has changed.</t>
  </si>
  <si>
    <t xml:space="preserve">That sensitivity is the negotiation. Whoever knows the number sets the range.</t>
  </si>
  <si>
    <t xml:space="preserve">Revised 24 September 2026</t>
  </si>
  <si>
    <t xml:space="preserve">Revised 24 September 2026. Two corrections. The extension (sheet 4) counted 1.24 a year of amortisation on top of income already spent on interest, and never paid out the 1.5 of capex the lender advances: the lender "received" 6.39 in year one from a building earning 5.15. Cash is now capped at the income, as Chapter 33 says it must be: present value 80.33, not 81.75; recovery 97.4 per cent, not 99.1; balance at exit 86.74; break-even exit yield 6.69 per cent. The ranking does not change. The consensual sale used 7 per cent, 0.85 years and 3 per cent of costs, not Chapter 6's 3 per cent, 0.9 years and 2.5 per cent, and nothing checked it: it now gives the book's 66.42. Added: the provision per option (Chapter 12) and the break-even probability (Chapter 7, 47 per cent). The checks sheet now ends ALL OK.</t>
  </si>
  <si>
    <t xml:space="preserve">Assumptions</t>
  </si>
  <si>
    <t xml:space="preserve">The asset</t>
  </si>
  <si>
    <t xml:space="preserve">Net operating income at origination (EUR m)</t>
  </si>
  <si>
    <t xml:space="preserve">Net operating income today (EUR m)</t>
  </si>
  <si>
    <t xml:space="preserve">Two tenants gone, one re-geared down</t>
  </si>
  <si>
    <t xml:space="preserve">Market yield at origination</t>
  </si>
  <si>
    <t xml:space="preserve">Market yield today</t>
  </si>
  <si>
    <t xml:space="preserve">CARRIES THE ANSWER — value is income divided by this</t>
  </si>
  <si>
    <t xml:space="preserve">The loan</t>
  </si>
  <si>
    <t xml:space="preserve">Loan outstanding (EUR m)</t>
  </si>
  <si>
    <t xml:space="preserve">Including accrued interest</t>
  </si>
  <si>
    <t xml:space="preserve">Margin</t>
  </si>
  <si>
    <t xml:space="preserve">Base rate</t>
  </si>
  <si>
    <t xml:space="preserve">Interest cover covenant</t>
  </si>
  <si>
    <t xml:space="preserve">Loan to value covenant</t>
  </si>
  <si>
    <t xml:space="preserve">The enforcement case</t>
  </si>
  <si>
    <t xml:space="preserve">Years to complete an enforcement sale</t>
  </si>
  <si>
    <t xml:space="preserve">Forced-sale discount to market value</t>
  </si>
  <si>
    <t xml:space="preserve">CARRIES THE ANSWER — set it to 5% and enforcement becomes the best option</t>
  </si>
  <si>
    <t xml:space="preserve">Enforcement costs, as a share of gross proceeds</t>
  </si>
  <si>
    <t xml:space="preserve">Legal, agency, receiver</t>
  </si>
  <si>
    <t xml:space="preserve">Holding costs per year, as a share of value</t>
  </si>
  <si>
    <t xml:space="preserve">Voids, rates, insurance, service charge shortfall</t>
  </si>
  <si>
    <t xml:space="preserve">Discount rate</t>
  </si>
  <si>
    <t xml:space="preserve">The lender's rate for a distressed asset</t>
  </si>
  <si>
    <t xml:space="preserve">The extension case</t>
  </si>
  <si>
    <t xml:space="preserve">Extension term (years)</t>
  </si>
  <si>
    <t xml:space="preserve">Margin uplift</t>
  </si>
  <si>
    <t xml:space="preserve">Extension fee, as a share of the loan</t>
  </si>
  <si>
    <t xml:space="preserve">Payable at signing</t>
  </si>
  <si>
    <t xml:space="preserve">Amortisation per year, as a share of the loan</t>
  </si>
  <si>
    <t xml:space="preserve">Business plan income, year 1 (EUR m)</t>
  </si>
  <si>
    <t xml:space="preserve">Business plan income, year 2 (EUR m)</t>
  </si>
  <si>
    <t xml:space="preserve">Business plan income, year 3 (EUR m)</t>
  </si>
  <si>
    <t xml:space="preserve">Exit yield in three years</t>
  </si>
  <si>
    <t xml:space="preserve">Letting capex the plan requires (EUR m)</t>
  </si>
  <si>
    <t xml:space="preserve">New sponsor equity offered (EUR m)</t>
  </si>
  <si>
    <t xml:space="preserve">Sale costs on the exit</t>
  </si>
  <si>
    <t xml:space="preserve">The discounted payoff</t>
  </si>
  <si>
    <t xml:space="preserve">Cents on the euro offered</t>
  </si>
  <si>
    <t xml:space="preserve">Years to completion of a payoff</t>
  </si>
  <si>
    <t xml:space="preserve">The consensual sale</t>
  </si>
  <si>
    <t xml:space="preserve">Discount to market value in a cooperative sale</t>
  </si>
  <si>
    <t xml:space="preserve">Chapter 6: 3%. Revised: the first file had 7%, 0.85 years and 3% of costs, which gave 63.64 against the book's 66.42</t>
  </si>
  <si>
    <t xml:space="preserve">Years to complete a cooperative sale</t>
  </si>
  <si>
    <t xml:space="preserve">Chapter 6: 0.9 years</t>
  </si>
  <si>
    <t xml:space="preserve">Sale costs</t>
  </si>
  <si>
    <t xml:space="preserve">Chapter 6: 2.5%</t>
  </si>
  <si>
    <t xml:space="preserve">The asset and the loan</t>
  </si>
  <si>
    <t xml:space="preserve">At origination</t>
  </si>
  <si>
    <t xml:space="preserve">Today</t>
  </si>
  <si>
    <t xml:space="preserve">Note</t>
  </si>
  <si>
    <t xml:space="preserve">Net operating income (EUR m)</t>
  </si>
  <si>
    <t xml:space="preserve">Market yield</t>
  </si>
  <si>
    <t xml:space="preserve">Value (EUR m)</t>
  </si>
  <si>
    <t xml:space="preserve">Income divided by yield — computed, never typed</t>
  </si>
  <si>
    <t xml:space="preserve">Interest-only; the loan has matured</t>
  </si>
  <si>
    <t xml:space="preserve">Loan to value</t>
  </si>
  <si>
    <t xml:space="preserve">All-in rate</t>
  </si>
  <si>
    <t xml:space="preserve">Interest (EUR m)</t>
  </si>
  <si>
    <t xml:space="preserve">Interest cover</t>
  </si>
  <si>
    <t xml:space="preserve">Sponsor equity (EUR m)</t>
  </si>
  <si>
    <t xml:space="preserve">Negative today: the equity is gone</t>
  </si>
  <si>
    <t xml:space="preserve">Where the covenants stand</t>
  </si>
  <si>
    <t xml:space="preserve">Test</t>
  </si>
  <si>
    <t xml:space="preserve">Covenant</t>
  </si>
  <si>
    <t xml:space="preserve">Actual</t>
  </si>
  <si>
    <t xml:space="preserve">Breached by a wide margin</t>
  </si>
  <si>
    <t xml:space="preserve">The building no longer covers its own interest</t>
  </si>
  <si>
    <t xml:space="preserve">Loss of value since origination</t>
  </si>
  <si>
    <t xml:space="preserve">The four options, priced on identical assumptions</t>
  </si>
  <si>
    <t xml:space="preserve">Each column discounts to today at the same rate over its own timetable. That is the only way the four are comparable.</t>
  </si>
  <si>
    <t xml:space="preserve">Enforce</t>
  </si>
  <si>
    <t xml:space="preserve">Extend</t>
  </si>
  <si>
    <t xml:space="preserve">Discounted payoff</t>
  </si>
  <si>
    <t xml:space="preserve">Consensual sale</t>
  </si>
  <si>
    <t xml:space="preserve">Value used (EUR m)</t>
  </si>
  <si>
    <t xml:space="preserve">Discount to value</t>
  </si>
  <si>
    <t xml:space="preserve">Gross proceeds (EUR m)</t>
  </si>
  <si>
    <t xml:space="preserve">Transaction costs (EUR m)</t>
  </si>
  <si>
    <t xml:space="preserve">Years to cash</t>
  </si>
  <si>
    <t xml:space="preserve">Holding costs over the period (EUR m)</t>
  </si>
  <si>
    <t xml:space="preserve">Voids, rates, insurance while the asset is held</t>
  </si>
  <si>
    <t xml:space="preserve">Net proceeds (EUR m)</t>
  </si>
  <si>
    <t xml:space="preserve">Amount received (EUR m)</t>
  </si>
  <si>
    <t xml:space="preserve">The payoff is a cash sum, not a sale</t>
  </si>
  <si>
    <t xml:space="preserve">Present value (EUR m)</t>
  </si>
  <si>
    <t xml:space="preserve">The extension is built on its own sheet</t>
  </si>
  <si>
    <t xml:space="preserve">Recovery on the loan</t>
  </si>
  <si>
    <t xml:space="preserve">Rank</t>
  </si>
  <si>
    <t xml:space="preserve">1 is best</t>
  </si>
  <si>
    <t xml:space="preserve">Provision against the loan (Chapter 12)</t>
  </si>
  <si>
    <t xml:space="preserve">Loan less the recoverable amount, each option on its own present value</t>
  </si>
  <si>
    <t xml:space="preserve">The indifference point</t>
  </si>
  <si>
    <t xml:space="preserve">The price, in cents on the euro, at which a payoff exactly matches enforcement</t>
  </si>
  <si>
    <t xml:space="preserve">Enforcement present value, rolled forward to the payoff date (EUR m)</t>
  </si>
  <si>
    <t xml:space="preserve">Indifference point (cents on the euro)</t>
  </si>
  <si>
    <t xml:space="preserve">Offer on the table</t>
  </si>
  <si>
    <t xml:space="preserve">Value the offer gives up, or gains, against enforcement (EUR m)</t>
  </si>
  <si>
    <t xml:space="preserve">The break-even probability (Chapter 7)</t>
  </si>
  <si>
    <t xml:space="preserve">If the extension fails, the lender enforces three years later: the enforcement value, discounted a further term</t>
  </si>
  <si>
    <t xml:space="preserve">Extension if it fails (EUR m)</t>
  </si>
  <si>
    <t xml:space="preserve">Probability of success at which the extension equals the payoff</t>
  </si>
  <si>
    <t xml:space="preserve">Above this, extend; below it, take the payoff</t>
  </si>
  <si>
    <t xml:space="preserve">Indifference point if the forced-sale discount were 30% (read-me test)</t>
  </si>
  <si>
    <t xml:space="preserve">The extension, year by year</t>
  </si>
  <si>
    <t xml:space="preserve">Year 1</t>
  </si>
  <si>
    <t xml:space="preserve">Year 2</t>
  </si>
  <si>
    <t xml:space="preserve">Year 3</t>
  </si>
  <si>
    <t xml:space="preserve">Opening balance (EUR m)</t>
  </si>
  <si>
    <t xml:space="preserve">The business plan the borrower proposes</t>
  </si>
  <si>
    <t xml:space="preserve">Interest at the increased margin (EUR m)</t>
  </si>
  <si>
    <t xml:space="preserve">Interest shortfall (EUR m)</t>
  </si>
  <si>
    <t xml:space="preserve">Income below interest: the plan does not cover its own cost in year one</t>
  </si>
  <si>
    <t xml:space="preserve">Amortisation paid (scheduled 1.5% a year, from income left after interest)</t>
  </si>
  <si>
    <t xml:space="preserve">Revised: the first file added the full 1.24 on top of income already spent on interest. Income covers interest in no year, so no amortisation is paid</t>
  </si>
  <si>
    <t xml:space="preserve">Capex funded by the loan (EUR m)</t>
  </si>
  <si>
    <t xml:space="preserve">The sponsor funds the first EUR 3.0 m of capex; the lender advances the rest</t>
  </si>
  <si>
    <t xml:space="preserve">Closing balance (EUR m)</t>
  </si>
  <si>
    <t xml:space="preserve">Net cash to the lender (income applied, less the capex it advances)</t>
  </si>
  <si>
    <t xml:space="preserve">Revised: capped at the income the building earns (Chapter 33), and the 1.5 of capex the lender advances is a payment out, not only a balance</t>
  </si>
  <si>
    <t xml:space="preserve">Discount factor</t>
  </si>
  <si>
    <t xml:space="preserve">Present value of the year (EUR m)</t>
  </si>
  <si>
    <t xml:space="preserve">The exit</t>
  </si>
  <si>
    <t xml:space="preserve">Exit yield</t>
  </si>
  <si>
    <t xml:space="preserve">Value on exit (EUR m)</t>
  </si>
  <si>
    <t xml:space="preserve">Year 3 income capitalised at the exit yield</t>
  </si>
  <si>
    <t xml:space="preserve">Net of sale costs (EUR m)</t>
  </si>
  <si>
    <t xml:space="preserve">Balance outstanding at exit (EUR m)</t>
  </si>
  <si>
    <t xml:space="preserve">Repaid to the lender (EUR m)</t>
  </si>
  <si>
    <t xml:space="preserve">Capped at the balance: the lender does not take the upside</t>
  </si>
  <si>
    <t xml:space="preserve">Shortfall at exit (EUR m)</t>
  </si>
  <si>
    <t xml:space="preserve">Present value of the exit (EUR m)</t>
  </si>
  <si>
    <t xml:space="preserve">Extension fee (EUR m)</t>
  </si>
  <si>
    <t xml:space="preserve">Received at signing</t>
  </si>
  <si>
    <t xml:space="preserve">Present value of the extension (EUR m)</t>
  </si>
  <si>
    <t xml:space="preserve">The covenants, re-tested each year of the extension</t>
  </si>
  <si>
    <t xml:space="preserve">Compliant?</t>
  </si>
  <si>
    <t xml:space="preserve">Break-even exit yield — the yield at which the extension returns the loan in full</t>
  </si>
  <si>
    <t xml:space="preserve">Value required at exit (EUR m)</t>
  </si>
  <si>
    <t xml:space="preserve">Break-even exit yield</t>
  </si>
  <si>
    <t xml:space="preserve">Checks — every figure the book prints, against what this workbook computes</t>
  </si>
  <si>
    <t xml:space="preserve">The Real Estate Workout — Julian R. Sterling. Column D is a live formula; the rows without a book figure hold for any inputs.</t>
  </si>
  <si>
    <t xml:space="preserve">Source</t>
  </si>
  <si>
    <t xml:space="preserve">Check</t>
  </si>
  <si>
    <t xml:space="preserve">The book</t>
  </si>
  <si>
    <t xml:space="preserve">This file</t>
  </si>
  <si>
    <t xml:space="preserve">Status</t>
  </si>
  <si>
    <t xml:space="preserve">Ch. 1</t>
  </si>
  <si>
    <t xml:space="preserve">Value at origination, EUR m</t>
  </si>
  <si>
    <t xml:space="preserve">Value today, EUR m</t>
  </si>
  <si>
    <t xml:space="preserve">Ch. 2</t>
  </si>
  <si>
    <t xml:space="preserve">Loan to value at origination</t>
  </si>
  <si>
    <t xml:space="preserve">Loan to value today</t>
  </si>
  <si>
    <t xml:space="preserve">Interest cover today</t>
  </si>
  <si>
    <t xml:space="preserve">Sponsor equity at origination, EUR m</t>
  </si>
  <si>
    <t xml:space="preserve">Sponsor equity today, EUR m</t>
  </si>
  <si>
    <t xml:space="preserve">Ch. 3</t>
  </si>
  <si>
    <t xml:space="preserve">Enforcement gross proceeds, EUR m</t>
  </si>
  <si>
    <t xml:space="preserve">Enforcement costs, EUR m</t>
  </si>
  <si>
    <t xml:space="preserve">Holding costs over the enforcement period, EUR m</t>
  </si>
  <si>
    <t xml:space="preserve">Enforcement net proceeds, EUR m</t>
  </si>
  <si>
    <t xml:space="preserve">Enforcement present value, EUR m</t>
  </si>
  <si>
    <t xml:space="preserve">Enforcement recovery</t>
  </si>
  <si>
    <t xml:space="preserve">Ch. 4</t>
  </si>
  <si>
    <t xml:space="preserve">Extension present value, EUR m</t>
  </si>
  <si>
    <t xml:space="preserve">revised: the first edition printed 81.75</t>
  </si>
  <si>
    <t xml:space="preserve">Extension recovery</t>
  </si>
  <si>
    <t xml:space="preserve">revised: 99.1 per cent in the first edition</t>
  </si>
  <si>
    <t xml:space="preserve">Year 1: interest at the new margin, EUR m</t>
  </si>
  <si>
    <t xml:space="preserve">Year 1: interest shortfall, EUR m</t>
  </si>
  <si>
    <t xml:space="preserve">Year 1: net cash to the lender, EUR m</t>
  </si>
  <si>
    <t xml:space="preserve">revised: 6.39 in the first edition, more than the building earns</t>
  </si>
  <si>
    <t xml:space="preserve">Balance at exit, EUR m</t>
  </si>
  <si>
    <t xml:space="preserve">revised: 82.73</t>
  </si>
  <si>
    <t xml:space="preserve">Value on exit, EUR m</t>
  </si>
  <si>
    <t xml:space="preserve">Ch. 26</t>
  </si>
  <si>
    <t xml:space="preserve">Break-even exit yield (the loan repaid in full)</t>
  </si>
  <si>
    <t xml:space="preserve">revised: 7.01 per cent</t>
  </si>
  <si>
    <t xml:space="preserve">Ch. 5</t>
  </si>
  <si>
    <t xml:space="preserve">Discounted payoff present value, EUR m</t>
  </si>
  <si>
    <t xml:space="preserve">Discounted payoff recovery</t>
  </si>
  <si>
    <t xml:space="preserve">Indifference point, cents on the euro</t>
  </si>
  <si>
    <t xml:space="preserve">The 72-cent offer against enforcement, in present value, EUR m</t>
  </si>
  <si>
    <t xml:space="preserve">Ch. 10</t>
  </si>
  <si>
    <t xml:space="preserve">The zone between the floor and the offer, EUR m</t>
  </si>
  <si>
    <t xml:space="preserve">Ch. 6</t>
  </si>
  <si>
    <t xml:space="preserve">Consensual sale gross proceeds, EUR m</t>
  </si>
  <si>
    <t xml:space="preserve">revised file: the first used 7%, 0.85 years and 3%</t>
  </si>
  <si>
    <t xml:space="preserve">Consensual sale net proceeds, EUR m</t>
  </si>
  <si>
    <t xml:space="preserve">Consensual sale present value, EUR m</t>
  </si>
  <si>
    <t xml:space="preserve">the first file computed 63.64</t>
  </si>
  <si>
    <t xml:space="preserve">Consensual sale recovery</t>
  </si>
  <si>
    <t xml:space="preserve">Consensual sale against enforcement, EUR m</t>
  </si>
  <si>
    <t xml:space="preserve">Ch. 7</t>
  </si>
  <si>
    <t xml:space="preserve">Enforcement ranks</t>
  </si>
  <si>
    <t xml:space="preserve">Extension ranks</t>
  </si>
  <si>
    <t xml:space="preserve">Payoff ranks</t>
  </si>
  <si>
    <t xml:space="preserve">Consensual sale ranks</t>
  </si>
  <si>
    <t xml:space="preserve">Extension if it fails: enforcement three years later, EUR m</t>
  </si>
  <si>
    <t xml:space="preserve">Break-even probability, extension against payoff</t>
  </si>
  <si>
    <t xml:space="preserve">revised: 46 per cent in the first edition</t>
  </si>
  <si>
    <t xml:space="preserve">Ch. 12</t>
  </si>
  <si>
    <t xml:space="preserve">Provision, enforcement, EUR m</t>
  </si>
  <si>
    <t xml:space="preserve">Provision, consensual sale, EUR m</t>
  </si>
  <si>
    <t xml:space="preserve">revised: 10.72, on the undiscounted 71.78</t>
  </si>
  <si>
    <t xml:space="preserve">Provision, payoff at 72 cents, EUR m</t>
  </si>
  <si>
    <t xml:space="preserve">Provision, extension, EUR m</t>
  </si>
  <si>
    <t xml:space="preserve">revised: 0.75</t>
  </si>
  <si>
    <t xml:space="preserve">Read me</t>
  </si>
  <si>
    <t xml:space="preserve">Indifference point at a 30% forced-sale discount</t>
  </si>
  <si>
    <t xml:space="preserve">Any inputs</t>
  </si>
  <si>
    <t xml:space="preserve">Net cash to the lender never exceeds the income, any year</t>
  </si>
  <si>
    <t xml:space="preserve">Chapter 33</t>
  </si>
  <si>
    <t xml:space="preserve">Balance at exit = opening balance + interest - net cash received</t>
  </si>
  <si>
    <t xml:space="preserve">nothing forgiven, nothing counted twice</t>
  </si>
  <si>
    <t xml:space="preserve">Repaid at exit is never more than the balance, nor more than the net sale</t>
  </si>
  <si>
    <t xml:space="preserve">At the indifference point a payoff returns exactly enforcement's present value</t>
  </si>
  <si>
    <t xml:space="preserve">At the break-even probability, the expected extension equals the payoff</t>
  </si>
  <si>
    <t xml:space="preserve">Enforcement bridge: gross - costs - holding = net</t>
  </si>
  <si>
    <t xml:space="preserve">All checks</t>
  </si>
  <si>
    <t xml:space="preserve">Tolerances are the precision the book prints at: 0.05 for one decimal, 0.005 for two, 0.0005 for a percentage to one decimal. A check that widens its tolerance until it passes is not a check.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</si>
</sst>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0%"/>
    <numFmt numFmtId="167" formatCode="0.00\x"/>
    <numFmt numFmtId="168" formatCode="0.00"/>
    <numFmt numFmtId="169" formatCode="0"/>
    <numFmt numFmtId="170" formatCode="0.0%"/>
    <numFmt numFmtId="171" formatCode="0.0000"/>
    <numFmt numFmtId="172" formatCode="#,##0.0"/>
    <numFmt numFmtId="173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libri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1F4E7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7" customFormat="false" ht="15" hidden="false" customHeight="false" outlineLevel="0" collapsed="false">
      <c r="A7" s="3" t="s">
        <v>4</v>
      </c>
    </row>
    <row r="8" customFormat="false" ht="25.5" hidden="false" customHeight="true" outlineLevel="0" collapsed="false">
      <c r="A8" s="4" t="s">
        <v>5</v>
      </c>
    </row>
    <row r="9" customFormat="false" ht="25.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15" hidden="false" customHeight="true" outlineLevel="0" collapsed="false">
      <c r="A11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25.5" hidden="false" customHeight="true" outlineLevel="0" collapsed="false">
      <c r="A14" s="4" t="s">
        <v>10</v>
      </c>
    </row>
    <row r="15" customFormat="false" ht="39" hidden="false" customHeight="true" outlineLevel="0" collapsed="false">
      <c r="A15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51.75" hidden="false" customHeight="true" outlineLevel="0" collapsed="false">
      <c r="A18" s="4" t="s">
        <v>13</v>
      </c>
    </row>
    <row r="19" customFormat="false" ht="15" hidden="false" customHeight="true" outlineLevel="0" collapsed="false">
      <c r="A19" s="4" t="s">
        <v>14</v>
      </c>
    </row>
    <row r="21" customFormat="false" ht="15" hidden="false" customHeight="false" outlineLevel="0" collapsed="false">
      <c r="A21" s="3" t="s">
        <v>15</v>
      </c>
    </row>
    <row r="22" customFormat="false" ht="135" hidden="false" customHeight="tru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3" min="3" style="0" width="58"/>
  </cols>
  <sheetData>
    <row r="1" customFormat="false" ht="16.15" hidden="false" customHeight="false" outlineLevel="0" collapsed="false">
      <c r="A1" s="5" t="s">
        <v>17</v>
      </c>
    </row>
    <row r="3" customFormat="false" ht="15" hidden="false" customHeight="false" outlineLevel="0" collapsed="false">
      <c r="A3" s="3" t="s">
        <v>18</v>
      </c>
    </row>
    <row r="4" customFormat="false" ht="15" hidden="false" customHeight="false" outlineLevel="0" collapsed="false">
      <c r="A4" s="0" t="s">
        <v>19</v>
      </c>
      <c r="B4" s="6" t="n">
        <v>6.2</v>
      </c>
    </row>
    <row r="5" customFormat="false" ht="15" hidden="false" customHeight="false" outlineLevel="0" collapsed="false">
      <c r="A5" s="0" t="s">
        <v>20</v>
      </c>
      <c r="B5" s="6" t="n">
        <v>5.15</v>
      </c>
      <c r="C5" s="7" t="s">
        <v>21</v>
      </c>
    </row>
    <row r="6" customFormat="false" ht="15" hidden="false" customHeight="false" outlineLevel="0" collapsed="false">
      <c r="A6" s="0" t="s">
        <v>22</v>
      </c>
      <c r="B6" s="8" t="n">
        <v>0.045</v>
      </c>
    </row>
    <row r="7" customFormat="false" ht="15" hidden="false" customHeight="false" outlineLevel="0" collapsed="false">
      <c r="A7" s="0" t="s">
        <v>23</v>
      </c>
      <c r="B7" s="9" t="n">
        <v>0.0665</v>
      </c>
      <c r="C7" s="7" t="s">
        <v>24</v>
      </c>
    </row>
    <row r="8" customFormat="false" ht="15" hidden="false" customHeight="false" outlineLevel="0" collapsed="false">
      <c r="A8" s="3" t="s">
        <v>25</v>
      </c>
    </row>
    <row r="9" customFormat="false" ht="15" hidden="false" customHeight="false" outlineLevel="0" collapsed="false">
      <c r="A9" s="0" t="s">
        <v>26</v>
      </c>
      <c r="B9" s="6" t="n">
        <v>82.5</v>
      </c>
      <c r="C9" s="7" t="s">
        <v>27</v>
      </c>
    </row>
    <row r="10" customFormat="false" ht="15" hidden="false" customHeight="false" outlineLevel="0" collapsed="false">
      <c r="A10" s="0" t="s">
        <v>28</v>
      </c>
      <c r="B10" s="8" t="n">
        <v>0.0225</v>
      </c>
    </row>
    <row r="11" customFormat="false" ht="15" hidden="false" customHeight="false" outlineLevel="0" collapsed="false">
      <c r="A11" s="0" t="s">
        <v>29</v>
      </c>
      <c r="B11" s="8" t="n">
        <v>0.0385</v>
      </c>
    </row>
    <row r="12" customFormat="false" ht="15" hidden="false" customHeight="false" outlineLevel="0" collapsed="false">
      <c r="A12" s="0" t="s">
        <v>30</v>
      </c>
      <c r="B12" s="10" t="n">
        <v>1.8</v>
      </c>
    </row>
    <row r="13" customFormat="false" ht="15" hidden="false" customHeight="false" outlineLevel="0" collapsed="false">
      <c r="A13" s="0" t="s">
        <v>31</v>
      </c>
      <c r="B13" s="8" t="n">
        <v>0.65</v>
      </c>
    </row>
    <row r="14" customFormat="false" ht="15" hidden="false" customHeight="false" outlineLevel="0" collapsed="false">
      <c r="A14" s="3" t="s">
        <v>32</v>
      </c>
    </row>
    <row r="15" customFormat="false" ht="15" hidden="false" customHeight="false" outlineLevel="0" collapsed="false">
      <c r="A15" s="0" t="s">
        <v>33</v>
      </c>
      <c r="B15" s="11" t="n">
        <v>2.25</v>
      </c>
    </row>
    <row r="16" customFormat="false" ht="15" hidden="false" customHeight="false" outlineLevel="0" collapsed="false">
      <c r="A16" s="0" t="s">
        <v>34</v>
      </c>
      <c r="B16" s="9" t="n">
        <v>0.18</v>
      </c>
      <c r="C16" s="7" t="s">
        <v>35</v>
      </c>
    </row>
    <row r="17" customFormat="false" ht="15" hidden="false" customHeight="false" outlineLevel="0" collapsed="false">
      <c r="A17" s="0" t="s">
        <v>36</v>
      </c>
      <c r="B17" s="8" t="n">
        <v>0.055</v>
      </c>
      <c r="C17" s="7" t="s">
        <v>37</v>
      </c>
    </row>
    <row r="18" customFormat="false" ht="15" hidden="false" customHeight="false" outlineLevel="0" collapsed="false">
      <c r="A18" s="0" t="s">
        <v>38</v>
      </c>
      <c r="B18" s="8" t="n">
        <v>0.021</v>
      </c>
      <c r="C18" s="7" t="s">
        <v>39</v>
      </c>
    </row>
    <row r="19" customFormat="false" ht="15" hidden="false" customHeight="false" outlineLevel="0" collapsed="false">
      <c r="A19" s="0" t="s">
        <v>40</v>
      </c>
      <c r="B19" s="8" t="n">
        <v>0.09</v>
      </c>
      <c r="C19" s="7" t="s">
        <v>41</v>
      </c>
    </row>
    <row r="20" customFormat="false" ht="15" hidden="false" customHeight="false" outlineLevel="0" collapsed="false">
      <c r="A20" s="3" t="s">
        <v>42</v>
      </c>
    </row>
    <row r="21" customFormat="false" ht="15" hidden="false" customHeight="false" outlineLevel="0" collapsed="false">
      <c r="A21" s="0" t="s">
        <v>43</v>
      </c>
      <c r="B21" s="12" t="n">
        <v>3</v>
      </c>
    </row>
    <row r="22" customFormat="false" ht="15" hidden="false" customHeight="false" outlineLevel="0" collapsed="false">
      <c r="A22" s="0" t="s">
        <v>44</v>
      </c>
      <c r="B22" s="8" t="n">
        <v>0.015</v>
      </c>
    </row>
    <row r="23" customFormat="false" ht="15" hidden="false" customHeight="false" outlineLevel="0" collapsed="false">
      <c r="A23" s="0" t="s">
        <v>45</v>
      </c>
      <c r="B23" s="8" t="n">
        <v>0.01</v>
      </c>
      <c r="C23" s="7" t="s">
        <v>46</v>
      </c>
    </row>
    <row r="24" customFormat="false" ht="15" hidden="false" customHeight="false" outlineLevel="0" collapsed="false">
      <c r="A24" s="0" t="s">
        <v>47</v>
      </c>
      <c r="B24" s="8" t="n">
        <v>0.015</v>
      </c>
    </row>
    <row r="25" customFormat="false" ht="15" hidden="false" customHeight="false" outlineLevel="0" collapsed="false">
      <c r="A25" s="0" t="s">
        <v>48</v>
      </c>
      <c r="B25" s="6" t="n">
        <v>5.15</v>
      </c>
    </row>
    <row r="26" customFormat="false" ht="15" hidden="false" customHeight="false" outlineLevel="0" collapsed="false">
      <c r="A26" s="0" t="s">
        <v>49</v>
      </c>
      <c r="B26" s="6" t="n">
        <v>5.45</v>
      </c>
    </row>
    <row r="27" customFormat="false" ht="15" hidden="false" customHeight="false" outlineLevel="0" collapsed="false">
      <c r="A27" s="0" t="s">
        <v>50</v>
      </c>
      <c r="B27" s="6" t="n">
        <v>5.95</v>
      </c>
    </row>
    <row r="28" customFormat="false" ht="15" hidden="false" customHeight="false" outlineLevel="0" collapsed="false">
      <c r="A28" s="0" t="s">
        <v>51</v>
      </c>
      <c r="B28" s="8" t="n">
        <v>0.0625</v>
      </c>
    </row>
    <row r="29" customFormat="false" ht="15" hidden="false" customHeight="false" outlineLevel="0" collapsed="false">
      <c r="A29" s="0" t="s">
        <v>52</v>
      </c>
      <c r="B29" s="6" t="n">
        <v>4.5</v>
      </c>
    </row>
    <row r="30" customFormat="false" ht="15" hidden="false" customHeight="false" outlineLevel="0" collapsed="false">
      <c r="A30" s="0" t="s">
        <v>53</v>
      </c>
      <c r="B30" s="6" t="n">
        <v>3</v>
      </c>
    </row>
    <row r="31" customFormat="false" ht="15" hidden="false" customHeight="false" outlineLevel="0" collapsed="false">
      <c r="A31" s="0" t="s">
        <v>54</v>
      </c>
      <c r="B31" s="8" t="n">
        <v>0.025</v>
      </c>
    </row>
    <row r="32" customFormat="false" ht="15" hidden="false" customHeight="false" outlineLevel="0" collapsed="false">
      <c r="A32" s="3" t="s">
        <v>55</v>
      </c>
    </row>
    <row r="33" customFormat="false" ht="15" hidden="false" customHeight="false" outlineLevel="0" collapsed="false">
      <c r="A33" s="0" t="s">
        <v>56</v>
      </c>
      <c r="B33" s="8" t="n">
        <v>0.72</v>
      </c>
    </row>
    <row r="34" customFormat="false" ht="15" hidden="false" customHeight="false" outlineLevel="0" collapsed="false">
      <c r="A34" s="0" t="s">
        <v>57</v>
      </c>
      <c r="B34" s="11" t="n">
        <v>0.5</v>
      </c>
    </row>
    <row r="35" customFormat="false" ht="15" hidden="false" customHeight="false" outlineLevel="0" collapsed="false">
      <c r="A35" s="3" t="s">
        <v>58</v>
      </c>
    </row>
    <row r="36" customFormat="false" ht="22.35" hidden="false" customHeight="false" outlineLevel="0" collapsed="false">
      <c r="A36" s="0" t="s">
        <v>59</v>
      </c>
      <c r="B36" s="8" t="n">
        <v>0.03</v>
      </c>
      <c r="C36" s="13" t="s">
        <v>60</v>
      </c>
    </row>
    <row r="37" customFormat="false" ht="15" hidden="false" customHeight="false" outlineLevel="0" collapsed="false">
      <c r="A37" s="0" t="s">
        <v>61</v>
      </c>
      <c r="B37" s="11" t="n">
        <v>0.9</v>
      </c>
      <c r="C37" s="13" t="s">
        <v>62</v>
      </c>
    </row>
    <row r="38" customFormat="false" ht="15" hidden="false" customHeight="false" outlineLevel="0" collapsed="false">
      <c r="A38" s="0" t="s">
        <v>63</v>
      </c>
      <c r="B38" s="8" t="n">
        <v>0.025</v>
      </c>
      <c r="C38" s="13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5"/>
    <col collapsed="false" customWidth="true" hidden="false" outlineLevel="0" max="4" min="4" style="0" width="58"/>
  </cols>
  <sheetData>
    <row r="1" customFormat="false" ht="16.15" hidden="false" customHeight="false" outlineLevel="0" collapsed="false">
      <c r="A1" s="5" t="s">
        <v>65</v>
      </c>
    </row>
    <row r="3" customFormat="false" ht="15" hidden="false" customHeight="false" outlineLevel="0" collapsed="false">
      <c r="A3" s="14"/>
      <c r="B3" s="14" t="s">
        <v>66</v>
      </c>
      <c r="C3" s="14" t="s">
        <v>67</v>
      </c>
      <c r="D3" s="14" t="s">
        <v>68</v>
      </c>
    </row>
    <row r="4" customFormat="false" ht="15" hidden="false" customHeight="false" outlineLevel="0" collapsed="false">
      <c r="A4" s="0" t="s">
        <v>69</v>
      </c>
      <c r="B4" s="15" t="n">
        <f aca="false">'1. Assumptions'!$B$4</f>
        <v>6.2</v>
      </c>
      <c r="C4" s="15" t="n">
        <f aca="false">'1. Assumptions'!$B$5</f>
        <v>5.15</v>
      </c>
      <c r="D4" s="7"/>
    </row>
    <row r="5" customFormat="false" ht="15" hidden="false" customHeight="false" outlineLevel="0" collapsed="false">
      <c r="A5" s="0" t="s">
        <v>70</v>
      </c>
      <c r="B5" s="16" t="n">
        <f aca="false">'1. Assumptions'!$B$6</f>
        <v>0.045</v>
      </c>
      <c r="C5" s="16" t="n">
        <f aca="false">'1. Assumptions'!$B$7</f>
        <v>0.0665</v>
      </c>
      <c r="D5" s="7"/>
    </row>
    <row r="6" customFormat="false" ht="15" hidden="false" customHeight="false" outlineLevel="0" collapsed="false">
      <c r="A6" s="0" t="s">
        <v>71</v>
      </c>
      <c r="B6" s="15" t="n">
        <f aca="false">B4/B5</f>
        <v>137.777777777778</v>
      </c>
      <c r="C6" s="15" t="n">
        <f aca="false">C4/C5</f>
        <v>77.4436090225564</v>
      </c>
      <c r="D6" s="7" t="s">
        <v>72</v>
      </c>
    </row>
    <row r="7" customFormat="false" ht="15" hidden="false" customHeight="false" outlineLevel="0" collapsed="false">
      <c r="A7" s="0" t="s">
        <v>26</v>
      </c>
      <c r="B7" s="15" t="n">
        <f aca="false">'1. Assumptions'!$B$9</f>
        <v>82.5</v>
      </c>
      <c r="C7" s="15" t="n">
        <f aca="false">'1. Assumptions'!$B$9</f>
        <v>82.5</v>
      </c>
      <c r="D7" s="7" t="s">
        <v>73</v>
      </c>
    </row>
    <row r="8" customFormat="false" ht="15" hidden="false" customHeight="false" outlineLevel="0" collapsed="false">
      <c r="A8" s="0" t="s">
        <v>74</v>
      </c>
      <c r="B8" s="16" t="n">
        <f aca="false">B7/B6</f>
        <v>0.598790322580645</v>
      </c>
      <c r="C8" s="16" t="n">
        <f aca="false">C7/C6</f>
        <v>1.06529126213592</v>
      </c>
      <c r="D8" s="7"/>
    </row>
    <row r="9" customFormat="false" ht="15" hidden="false" customHeight="false" outlineLevel="0" collapsed="false">
      <c r="A9" s="0" t="s">
        <v>75</v>
      </c>
      <c r="B9" s="16" t="n">
        <f aca="false">'1. Assumptions'!$B$10+'1. Assumptions'!$B$11</f>
        <v>0.061</v>
      </c>
      <c r="C9" s="16" t="n">
        <f aca="false">'1. Assumptions'!$B$10+'1. Assumptions'!$B$11</f>
        <v>0.061</v>
      </c>
      <c r="D9" s="7"/>
    </row>
    <row r="10" customFormat="false" ht="15" hidden="false" customHeight="false" outlineLevel="0" collapsed="false">
      <c r="A10" s="0" t="s">
        <v>76</v>
      </c>
      <c r="B10" s="15" t="n">
        <f aca="false">B7*B9</f>
        <v>5.0325</v>
      </c>
      <c r="C10" s="15" t="n">
        <f aca="false">C7*C9</f>
        <v>5.0325</v>
      </c>
      <c r="D10" s="7"/>
    </row>
    <row r="11" customFormat="false" ht="15" hidden="false" customHeight="false" outlineLevel="0" collapsed="false">
      <c r="A11" s="0" t="s">
        <v>77</v>
      </c>
      <c r="B11" s="17" t="n">
        <f aca="false">B4/B10</f>
        <v>1.23199205166418</v>
      </c>
      <c r="C11" s="17" t="n">
        <f aca="false">C4/C10</f>
        <v>1.02334823646299</v>
      </c>
      <c r="D11" s="7"/>
    </row>
    <row r="12" customFormat="false" ht="15" hidden="false" customHeight="false" outlineLevel="0" collapsed="false">
      <c r="A12" s="0" t="s">
        <v>78</v>
      </c>
      <c r="B12" s="15" t="n">
        <f aca="false">B6-B7</f>
        <v>55.2777777777778</v>
      </c>
      <c r="C12" s="15" t="n">
        <f aca="false">C6-C7</f>
        <v>-5.05639097744361</v>
      </c>
      <c r="D12" s="7" t="s">
        <v>79</v>
      </c>
    </row>
    <row r="14" customFormat="false" ht="15" hidden="false" customHeight="false" outlineLevel="0" collapsed="false">
      <c r="A14" s="3" t="s">
        <v>80</v>
      </c>
    </row>
    <row r="15" customFormat="false" ht="15" hidden="false" customHeight="false" outlineLevel="0" collapsed="false">
      <c r="A15" s="14" t="s">
        <v>81</v>
      </c>
      <c r="B15" s="14" t="s">
        <v>82</v>
      </c>
      <c r="C15" s="14" t="s">
        <v>83</v>
      </c>
      <c r="D15" s="14" t="s">
        <v>68</v>
      </c>
    </row>
    <row r="16" customFormat="false" ht="15" hidden="false" customHeight="false" outlineLevel="0" collapsed="false">
      <c r="A16" s="0" t="s">
        <v>74</v>
      </c>
      <c r="B16" s="16" t="n">
        <f aca="false">'1. Assumptions'!$B$13</f>
        <v>0.65</v>
      </c>
      <c r="C16" s="16" t="n">
        <f aca="false">'2. Asset and loan'!$C$8</f>
        <v>1.06529126213592</v>
      </c>
      <c r="D16" s="2" t="s">
        <v>84</v>
      </c>
    </row>
    <row r="17" customFormat="false" ht="15" hidden="false" customHeight="false" outlineLevel="0" collapsed="false">
      <c r="A17" s="0" t="s">
        <v>77</v>
      </c>
      <c r="B17" s="17" t="n">
        <f aca="false">'1. Assumptions'!$B$12</f>
        <v>1.8</v>
      </c>
      <c r="C17" s="17" t="n">
        <f aca="false">'2. Asset and loan'!$C$11</f>
        <v>1.02334823646299</v>
      </c>
      <c r="D17" s="2" t="s">
        <v>85</v>
      </c>
    </row>
    <row r="19" customFormat="false" ht="15" hidden="false" customHeight="false" outlineLevel="0" collapsed="false">
      <c r="A19" s="18" t="s">
        <v>86</v>
      </c>
      <c r="B19" s="16" t="n">
        <f aca="false">C6/B6-1</f>
        <v>-0.437909289352413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5"/>
    <col collapsed="false" customWidth="true" hidden="false" outlineLevel="0" max="6" min="6" style="0" width="52"/>
  </cols>
  <sheetData>
    <row r="1" customFormat="false" ht="16.15" hidden="false" customHeight="false" outlineLevel="0" collapsed="false">
      <c r="A1" s="5" t="s">
        <v>87</v>
      </c>
    </row>
    <row r="2" customFormat="false" ht="15" hidden="false" customHeight="false" outlineLevel="0" collapsed="false">
      <c r="A2" s="2" t="s">
        <v>88</v>
      </c>
    </row>
    <row r="4" customFormat="false" ht="28.35" hidden="false" customHeight="false" outlineLevel="0" collapsed="false">
      <c r="A4" s="14"/>
      <c r="B4" s="14" t="s">
        <v>89</v>
      </c>
      <c r="C4" s="14" t="s">
        <v>90</v>
      </c>
      <c r="D4" s="14" t="s">
        <v>91</v>
      </c>
      <c r="E4" s="14" t="s">
        <v>92</v>
      </c>
      <c r="F4" s="14" t="s">
        <v>68</v>
      </c>
    </row>
    <row r="5" customFormat="false" ht="15" hidden="false" customHeight="false" outlineLevel="0" collapsed="false">
      <c r="A5" s="0" t="s">
        <v>93</v>
      </c>
      <c r="B5" s="15" t="n">
        <f aca="false">'2. Asset and loan'!$C$6</f>
        <v>77.4436090225564</v>
      </c>
      <c r="C5" s="15"/>
      <c r="D5" s="15"/>
      <c r="E5" s="15" t="n">
        <f aca="false">'2. Asset and loan'!$C$6</f>
        <v>77.4436090225564</v>
      </c>
      <c r="F5" s="7"/>
    </row>
    <row r="6" customFormat="false" ht="15" hidden="false" customHeight="false" outlineLevel="0" collapsed="false">
      <c r="A6" s="0" t="s">
        <v>94</v>
      </c>
      <c r="B6" s="16" t="n">
        <f aca="false">'1. Assumptions'!$B$16</f>
        <v>0.18</v>
      </c>
      <c r="C6" s="16"/>
      <c r="D6" s="16"/>
      <c r="E6" s="16" t="n">
        <f aca="false">'1. Assumptions'!$B$36</f>
        <v>0.03</v>
      </c>
      <c r="F6" s="7"/>
    </row>
    <row r="7" customFormat="false" ht="15" hidden="false" customHeight="false" outlineLevel="0" collapsed="false">
      <c r="A7" s="0" t="s">
        <v>95</v>
      </c>
      <c r="B7" s="15" t="n">
        <f aca="false">B5*(1-B6)</f>
        <v>63.5037593984962</v>
      </c>
      <c r="C7" s="15"/>
      <c r="D7" s="15"/>
      <c r="E7" s="15" t="n">
        <f aca="false">E5*(1-E6)</f>
        <v>75.1203007518797</v>
      </c>
      <c r="F7" s="7"/>
    </row>
    <row r="8" customFormat="false" ht="15" hidden="false" customHeight="false" outlineLevel="0" collapsed="false">
      <c r="A8" s="0" t="s">
        <v>96</v>
      </c>
      <c r="B8" s="15" t="n">
        <f aca="false">B7*'1. Assumptions'!$B$17</f>
        <v>3.49270676691729</v>
      </c>
      <c r="C8" s="15"/>
      <c r="D8" s="15"/>
      <c r="E8" s="15" t="n">
        <f aca="false">E7*'1. Assumptions'!$B$38</f>
        <v>1.87800751879699</v>
      </c>
      <c r="F8" s="7"/>
    </row>
    <row r="9" customFormat="false" ht="15" hidden="false" customHeight="false" outlineLevel="0" collapsed="false">
      <c r="A9" s="0" t="s">
        <v>97</v>
      </c>
      <c r="B9" s="19" t="n">
        <f aca="false">'1. Assumptions'!$B$15</f>
        <v>2.25</v>
      </c>
      <c r="C9" s="19" t="n">
        <f aca="false">'1. Assumptions'!$B$21</f>
        <v>3</v>
      </c>
      <c r="D9" s="19" t="n">
        <f aca="false">'1. Assumptions'!$B$34</f>
        <v>0.5</v>
      </c>
      <c r="E9" s="19" t="n">
        <f aca="false">'1. Assumptions'!$B$37</f>
        <v>0.9</v>
      </c>
      <c r="F9" s="7"/>
    </row>
    <row r="10" customFormat="false" ht="15" hidden="false" customHeight="false" outlineLevel="0" collapsed="false">
      <c r="A10" s="0" t="s">
        <v>98</v>
      </c>
      <c r="B10" s="15" t="n">
        <f aca="false">B5*'1. Assumptions'!$B$18*B9</f>
        <v>3.65921052631579</v>
      </c>
      <c r="C10" s="15"/>
      <c r="D10" s="15"/>
      <c r="E10" s="15" t="n">
        <f aca="false">E5*'1. Assumptions'!$B$18*E9</f>
        <v>1.46368421052632</v>
      </c>
      <c r="F10" s="7" t="s">
        <v>99</v>
      </c>
    </row>
    <row r="11" customFormat="false" ht="15" hidden="false" customHeight="false" outlineLevel="0" collapsed="false">
      <c r="A11" s="0" t="s">
        <v>100</v>
      </c>
      <c r="B11" s="15" t="n">
        <f aca="false">B7-B8-B10</f>
        <v>56.3518421052632</v>
      </c>
      <c r="C11" s="15"/>
      <c r="D11" s="15"/>
      <c r="E11" s="15" t="n">
        <f aca="false">E7-E8-E10</f>
        <v>71.7786090225564</v>
      </c>
      <c r="F11" s="7"/>
    </row>
    <row r="12" customFormat="false" ht="15" hidden="false" customHeight="false" outlineLevel="0" collapsed="false">
      <c r="A12" s="0" t="s">
        <v>101</v>
      </c>
      <c r="B12" s="15" t="n">
        <f aca="false">B11</f>
        <v>56.3518421052632</v>
      </c>
      <c r="C12" s="15"/>
      <c r="D12" s="15" t="n">
        <f aca="false">'1. Assumptions'!$B$9*'1. Assumptions'!$B$33</f>
        <v>59.4</v>
      </c>
      <c r="E12" s="15" t="n">
        <f aca="false">E11</f>
        <v>71.7786090225564</v>
      </c>
      <c r="F12" s="7" t="s">
        <v>102</v>
      </c>
    </row>
    <row r="13" customFormat="false" ht="15" hidden="false" customHeight="false" outlineLevel="0" collapsed="false">
      <c r="A13" s="18" t="s">
        <v>103</v>
      </c>
      <c r="B13" s="20" t="n">
        <f aca="false">B12/(1+'1. Assumptions'!$B$19)^B9</f>
        <v>46.4192903821651</v>
      </c>
      <c r="C13" s="20" t="n">
        <f aca="false">'4. The extension'!$B$26</f>
        <v>80.3311408817872</v>
      </c>
      <c r="D13" s="20" t="n">
        <f aca="false">D12/(1+'1. Assumptions'!$B$19)^D9</f>
        <v>56.8948813421364</v>
      </c>
      <c r="E13" s="20" t="n">
        <f aca="false">E12/(1+'1. Assumptions'!$B$19)^E9</f>
        <v>66.4218840050048</v>
      </c>
      <c r="F13" s="7" t="s">
        <v>104</v>
      </c>
    </row>
    <row r="14" customFormat="false" ht="15" hidden="false" customHeight="false" outlineLevel="0" collapsed="false">
      <c r="A14" s="18" t="s">
        <v>105</v>
      </c>
      <c r="B14" s="21" t="n">
        <f aca="false">B13/'1. Assumptions'!$B$9</f>
        <v>0.562658065238364</v>
      </c>
      <c r="C14" s="21" t="n">
        <f aca="false">C13/'1. Assumptions'!$B$9</f>
        <v>0.973710798567118</v>
      </c>
      <c r="D14" s="21" t="n">
        <f aca="false">D13/'1. Assumptions'!$B$9</f>
        <v>0.689634925359229</v>
      </c>
      <c r="E14" s="21" t="n">
        <f aca="false">E13/'1. Assumptions'!$B$9</f>
        <v>0.80511374551521</v>
      </c>
      <c r="F14" s="7"/>
    </row>
    <row r="15" customFormat="false" ht="15" hidden="false" customHeight="false" outlineLevel="0" collapsed="false">
      <c r="A15" s="0" t="s">
        <v>106</v>
      </c>
      <c r="B15" s="22" t="n">
        <f aca="false">RANK(B13,$B$13:$E$13)</f>
        <v>4</v>
      </c>
      <c r="C15" s="22" t="n">
        <f aca="false">RANK(C13,$B$13:$E$13)</f>
        <v>1</v>
      </c>
      <c r="D15" s="22" t="n">
        <f aca="false">RANK(D13,$B$13:$E$13)</f>
        <v>3</v>
      </c>
      <c r="E15" s="22" t="n">
        <f aca="false">RANK(E13,$B$13:$E$13)</f>
        <v>2</v>
      </c>
      <c r="F15" s="7" t="s">
        <v>107</v>
      </c>
    </row>
    <row r="16" customFormat="false" ht="15" hidden="false" customHeight="false" outlineLevel="0" collapsed="false">
      <c r="A16" s="23" t="s">
        <v>108</v>
      </c>
      <c r="B16" s="24" t="n">
        <f aca="false">'1. Assumptions'!$B$9-B13</f>
        <v>36.0807096178349</v>
      </c>
      <c r="C16" s="24" t="n">
        <f aca="false">'1. Assumptions'!$B$9-C13</f>
        <v>2.16885911821281</v>
      </c>
      <c r="D16" s="24" t="n">
        <f aca="false">'1. Assumptions'!$B$9-D13</f>
        <v>25.6051186578636</v>
      </c>
      <c r="E16" s="24" t="n">
        <f aca="false">'1. Assumptions'!$B$9-E13</f>
        <v>16.0781159949952</v>
      </c>
      <c r="F16" s="13" t="s">
        <v>109</v>
      </c>
    </row>
    <row r="17" customFormat="false" ht="15" hidden="false" customHeight="false" outlineLevel="0" collapsed="false">
      <c r="A17" s="3" t="s">
        <v>110</v>
      </c>
    </row>
    <row r="18" customFormat="false" ht="15" hidden="false" customHeight="false" outlineLevel="0" collapsed="false">
      <c r="A18" s="2" t="s">
        <v>111</v>
      </c>
    </row>
    <row r="19" customFormat="false" ht="15" hidden="false" customHeight="false" outlineLevel="0" collapsed="false">
      <c r="A19" s="0" t="s">
        <v>112</v>
      </c>
      <c r="B19" s="15" t="n">
        <f aca="false">'3. The four options'!$B$13*(1+'1. Assumptions'!$B$19)^'1. Assumptions'!$B$34</f>
        <v>48.4631619515927</v>
      </c>
    </row>
    <row r="20" customFormat="false" ht="15" hidden="false" customHeight="false" outlineLevel="0" collapsed="false">
      <c r="A20" s="18" t="s">
        <v>113</v>
      </c>
      <c r="B20" s="21" t="n">
        <f aca="false">B19/'1. Assumptions'!$B$9</f>
        <v>0.587432266079911</v>
      </c>
    </row>
    <row r="21" customFormat="false" ht="15" hidden="false" customHeight="false" outlineLevel="0" collapsed="false">
      <c r="A21" s="0" t="s">
        <v>114</v>
      </c>
      <c r="B21" s="16" t="n">
        <f aca="false">'1. Assumptions'!$B$33</f>
        <v>0.72</v>
      </c>
    </row>
    <row r="22" customFormat="false" ht="15" hidden="false" customHeight="false" outlineLevel="0" collapsed="false">
      <c r="A22" s="18" t="s">
        <v>115</v>
      </c>
      <c r="B22" s="20" t="n">
        <f aca="false">('1. Assumptions'!$B$33-'3. The four options'!$B$20)*'1. Assumptions'!$B$9</f>
        <v>10.9368380484073</v>
      </c>
    </row>
    <row r="24" customFormat="false" ht="15" hidden="false" customHeight="false" outlineLevel="0" collapsed="false">
      <c r="A24" s="3" t="s">
        <v>116</v>
      </c>
    </row>
    <row r="25" customFormat="false" ht="22.35" hidden="false" customHeight="false" outlineLevel="0" collapsed="false">
      <c r="A25" s="13" t="s">
        <v>117</v>
      </c>
    </row>
    <row r="26" customFormat="false" ht="15" hidden="false" customHeight="false" outlineLevel="0" collapsed="false">
      <c r="A26" s="23" t="s">
        <v>118</v>
      </c>
      <c r="B26" s="24" t="n">
        <f aca="false">B13/(1+'1. Assumptions'!$B$19)^'1. Assumptions'!$B$21</f>
        <v>35.8442091892653</v>
      </c>
    </row>
    <row r="27" customFormat="false" ht="32.8" hidden="false" customHeight="false" outlineLevel="0" collapsed="false">
      <c r="A27" s="23" t="s">
        <v>119</v>
      </c>
      <c r="B27" s="25" t="n">
        <f aca="false">(D13-B26)/(C13-B26)</f>
        <v>0.473187773397499</v>
      </c>
      <c r="C27" s="13" t="s">
        <v>120</v>
      </c>
    </row>
    <row r="28" customFormat="false" ht="15" hidden="false" customHeight="false" outlineLevel="0" collapsed="false">
      <c r="A28" s="23" t="s">
        <v>121</v>
      </c>
      <c r="B28" s="26" t="n">
        <f aca="false">('2. Asset and loan'!$C$6*(1-0.3)*(1-'1. Assumptions'!$B$17)-'2. Asset and loan'!$C$6*'1. Assumptions'!$B$18*'1. Assumptions'!$B$15)/(1+'1. Assumptions'!$B$19)^'1. Assumptions'!$B$15*(1+'1. Assumptions'!$B$19)^'1. Assumptions'!$B$34/'1. Assumptions'!$B$9</f>
        <v>0.495884380457068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4"/>
    <col collapsed="false" customWidth="true" hidden="false" outlineLevel="0" max="6" min="6" style="0" width="4"/>
    <col collapsed="false" customWidth="true" hidden="false" outlineLevel="0" max="7" min="7" style="0" width="54"/>
  </cols>
  <sheetData>
    <row r="1" customFormat="false" ht="16.15" hidden="false" customHeight="false" outlineLevel="0" collapsed="false">
      <c r="A1" s="5" t="s">
        <v>122</v>
      </c>
    </row>
    <row r="2" customFormat="false" ht="15" hidden="false" customHeight="false" outlineLevel="0" collapsed="false">
      <c r="A2" s="15"/>
    </row>
    <row r="4" customFormat="false" ht="15" hidden="false" customHeight="false" outlineLevel="0" collapsed="false">
      <c r="A4" s="14"/>
      <c r="B4" s="14" t="s">
        <v>123</v>
      </c>
      <c r="C4" s="14" t="s">
        <v>124</v>
      </c>
      <c r="D4" s="14" t="s">
        <v>125</v>
      </c>
    </row>
    <row r="5" customFormat="false" ht="15" hidden="false" customHeight="false" outlineLevel="0" collapsed="false">
      <c r="A5" s="0" t="s">
        <v>126</v>
      </c>
      <c r="B5" s="15" t="n">
        <f aca="false">'1. Assumptions'!$B$9</f>
        <v>82.5</v>
      </c>
      <c r="C5" s="15" t="n">
        <f aca="false">B11</f>
        <v>85.12</v>
      </c>
      <c r="D5" s="15" t="n">
        <f aca="false">C11</f>
        <v>86.13912</v>
      </c>
    </row>
    <row r="6" customFormat="false" ht="15" hidden="false" customHeight="false" outlineLevel="0" collapsed="false">
      <c r="A6" s="0" t="s">
        <v>69</v>
      </c>
      <c r="B6" s="15" t="n">
        <f aca="false">'1. Assumptions'!$B$25</f>
        <v>5.15</v>
      </c>
      <c r="C6" s="15" t="n">
        <f aca="false">'1. Assumptions'!$B$26</f>
        <v>5.45</v>
      </c>
      <c r="D6" s="15" t="n">
        <f aca="false">'1. Assumptions'!$B$27</f>
        <v>5.95</v>
      </c>
      <c r="G6" s="7" t="s">
        <v>127</v>
      </c>
    </row>
    <row r="7" customFormat="false" ht="15" hidden="false" customHeight="false" outlineLevel="0" collapsed="false">
      <c r="A7" s="0" t="s">
        <v>128</v>
      </c>
      <c r="B7" s="15" t="n">
        <f aca="false">B5*('1. Assumptions'!$B$10+'1. Assumptions'!$B$11+'1. Assumptions'!$B$22)</f>
        <v>6.27</v>
      </c>
      <c r="C7" s="15" t="n">
        <f aca="false">C5*('1. Assumptions'!$B$10+'1. Assumptions'!$B$11+'1. Assumptions'!$B$22)</f>
        <v>6.46912</v>
      </c>
      <c r="D7" s="15" t="n">
        <f aca="false">D5*('1. Assumptions'!$B$10+'1. Assumptions'!$B$11+'1. Assumptions'!$B$22)</f>
        <v>6.54657312</v>
      </c>
    </row>
    <row r="8" customFormat="false" ht="15" hidden="false" customHeight="false" outlineLevel="0" collapsed="false">
      <c r="A8" s="0" t="s">
        <v>129</v>
      </c>
      <c r="B8" s="15" t="n">
        <f aca="false">MAX(0,B7-B6)</f>
        <v>1.12</v>
      </c>
      <c r="C8" s="15" t="n">
        <f aca="false">MAX(0,C7-C6)</f>
        <v>1.01912</v>
      </c>
      <c r="D8" s="15" t="n">
        <f aca="false">MAX(0,D7-D6)</f>
        <v>0.59657312</v>
      </c>
      <c r="G8" s="7" t="s">
        <v>130</v>
      </c>
    </row>
    <row r="9" customFormat="false" ht="22.35" hidden="false" customHeight="false" outlineLevel="0" collapsed="false">
      <c r="A9" s="0" t="s">
        <v>131</v>
      </c>
      <c r="B9" s="15" t="n">
        <f aca="false">MIN('1. Assumptions'!$B$9*'1. Assumptions'!$B$24,MAX(0,B6-B7))</f>
        <v>0</v>
      </c>
      <c r="C9" s="15" t="n">
        <f aca="false">MIN('1. Assumptions'!$B$9*'1. Assumptions'!$B$24,MAX(0,C6-C7))</f>
        <v>0</v>
      </c>
      <c r="D9" s="15" t="n">
        <f aca="false">MIN('1. Assumptions'!$B$9*'1. Assumptions'!$B$24,MAX(0,D6-D7))</f>
        <v>0</v>
      </c>
      <c r="G9" s="13" t="s">
        <v>132</v>
      </c>
    </row>
    <row r="10" customFormat="false" ht="15" hidden="false" customHeight="false" outlineLevel="0" collapsed="false">
      <c r="A10" s="0" t="s">
        <v>133</v>
      </c>
      <c r="B10" s="15" t="n">
        <f aca="false">MAX(0,'1. Assumptions'!$B$29-'1. Assumptions'!$B$30)</f>
        <v>1.5</v>
      </c>
      <c r="C10" s="15" t="n">
        <f aca="false">0</f>
        <v>0</v>
      </c>
      <c r="D10" s="15" t="n">
        <f aca="false">0</f>
        <v>0</v>
      </c>
      <c r="G10" s="13" t="s">
        <v>134</v>
      </c>
    </row>
    <row r="11" customFormat="false" ht="15" hidden="false" customHeight="false" outlineLevel="0" collapsed="false">
      <c r="A11" s="0" t="s">
        <v>135</v>
      </c>
      <c r="B11" s="15" t="n">
        <f aca="false">B5-B9+B10+B8</f>
        <v>85.12</v>
      </c>
      <c r="C11" s="15" t="n">
        <f aca="false">C5-C9+C10+C8</f>
        <v>86.13912</v>
      </c>
      <c r="D11" s="15" t="n">
        <f aca="false">D5-D9+D10+D8</f>
        <v>86.73569312</v>
      </c>
    </row>
    <row r="12" customFormat="false" ht="22.35" hidden="false" customHeight="false" outlineLevel="0" collapsed="false">
      <c r="A12" s="18" t="s">
        <v>136</v>
      </c>
      <c r="B12" s="20" t="n">
        <f aca="false">MIN(B6,B7)+B9-B10</f>
        <v>3.65</v>
      </c>
      <c r="C12" s="20" t="n">
        <f aca="false">MIN(C6,C7)+C9-C10</f>
        <v>5.45</v>
      </c>
      <c r="D12" s="20" t="n">
        <f aca="false">MIN(D6,D7)+D9-D10</f>
        <v>5.95</v>
      </c>
      <c r="G12" s="13" t="s">
        <v>137</v>
      </c>
    </row>
    <row r="13" customFormat="false" ht="15" hidden="false" customHeight="false" outlineLevel="0" collapsed="false">
      <c r="A13" s="0" t="s">
        <v>138</v>
      </c>
      <c r="B13" s="27" t="n">
        <f aca="false">1/(1+'1. Assumptions'!$B$19)^1</f>
        <v>0.91743119266055</v>
      </c>
      <c r="C13" s="27" t="n">
        <f aca="false">1/(1+'1. Assumptions'!$B$19)^2</f>
        <v>0.84167999326656</v>
      </c>
      <c r="D13" s="27" t="n">
        <f aca="false">1/(1+'1. Assumptions'!$B$19)^3</f>
        <v>0.772183480061064</v>
      </c>
    </row>
    <row r="14" customFormat="false" ht="15" hidden="false" customHeight="false" outlineLevel="0" collapsed="false">
      <c r="A14" s="0" t="s">
        <v>139</v>
      </c>
      <c r="B14" s="15" t="n">
        <f aca="false">B12*B13</f>
        <v>3.34862385321101</v>
      </c>
      <c r="C14" s="15" t="n">
        <f aca="false">C12*C13</f>
        <v>4.58715596330275</v>
      </c>
      <c r="D14" s="15" t="n">
        <f aca="false">D12*D13</f>
        <v>4.59449170636333</v>
      </c>
    </row>
    <row r="16" customFormat="false" ht="15" hidden="false" customHeight="false" outlineLevel="0" collapsed="false">
      <c r="A16" s="3" t="s">
        <v>140</v>
      </c>
    </row>
    <row r="17" customFormat="false" ht="15" hidden="false" customHeight="false" outlineLevel="0" collapsed="false">
      <c r="A17" s="0" t="s">
        <v>141</v>
      </c>
      <c r="B17" s="16" t="n">
        <f aca="false">'1. Assumptions'!$B$28</f>
        <v>0.0625</v>
      </c>
    </row>
    <row r="18" customFormat="false" ht="15" hidden="false" customHeight="false" outlineLevel="0" collapsed="false">
      <c r="A18" s="0" t="s">
        <v>142</v>
      </c>
      <c r="B18" s="15" t="n">
        <f aca="false">D6/B17</f>
        <v>95.2</v>
      </c>
      <c r="G18" s="7" t="s">
        <v>143</v>
      </c>
    </row>
    <row r="19" customFormat="false" ht="15" hidden="false" customHeight="false" outlineLevel="0" collapsed="false">
      <c r="A19" s="0" t="s">
        <v>144</v>
      </c>
      <c r="B19" s="15" t="n">
        <f aca="false">B18*(1-'1. Assumptions'!$B$31)</f>
        <v>92.82</v>
      </c>
    </row>
    <row r="20" customFormat="false" ht="15" hidden="false" customHeight="false" outlineLevel="0" collapsed="false">
      <c r="A20" s="0" t="s">
        <v>145</v>
      </c>
      <c r="B20" s="15" t="n">
        <f aca="false">D11</f>
        <v>86.73569312</v>
      </c>
    </row>
    <row r="21" customFormat="false" ht="15" hidden="false" customHeight="false" outlineLevel="0" collapsed="false">
      <c r="A21" s="0" t="s">
        <v>146</v>
      </c>
      <c r="B21" s="15" t="n">
        <f aca="false">MIN(B20,B19)</f>
        <v>86.73569312</v>
      </c>
      <c r="G21" s="7" t="s">
        <v>147</v>
      </c>
    </row>
    <row r="22" customFormat="false" ht="15" hidden="false" customHeight="false" outlineLevel="0" collapsed="false">
      <c r="A22" s="0" t="s">
        <v>148</v>
      </c>
      <c r="B22" s="15" t="n">
        <f aca="false">MAX(0,B20-B21)</f>
        <v>0</v>
      </c>
    </row>
    <row r="23" customFormat="false" ht="15" hidden="false" customHeight="false" outlineLevel="0" collapsed="false">
      <c r="A23" s="0" t="s">
        <v>149</v>
      </c>
      <c r="B23" s="15" t="n">
        <f aca="false">B21/(1+'1. Assumptions'!$B$19)^'1. Assumptions'!$B$21</f>
        <v>66.9758693589101</v>
      </c>
    </row>
    <row r="24" customFormat="false" ht="15" hidden="false" customHeight="false" outlineLevel="0" collapsed="false">
      <c r="A24" s="0" t="s">
        <v>150</v>
      </c>
      <c r="B24" s="15" t="n">
        <f aca="false">'1. Assumptions'!$B$9*'1. Assumptions'!$B$23</f>
        <v>0.825</v>
      </c>
      <c r="G24" s="7" t="s">
        <v>151</v>
      </c>
    </row>
    <row r="26" customFormat="false" ht="15" hidden="false" customHeight="false" outlineLevel="0" collapsed="false">
      <c r="A26" s="18" t="s">
        <v>152</v>
      </c>
      <c r="B26" s="20" t="n">
        <f aca="false">B24+SUM(B14:D14)+B23</f>
        <v>80.3311408817872</v>
      </c>
    </row>
    <row r="27" customFormat="false" ht="15" hidden="false" customHeight="false" outlineLevel="0" collapsed="false">
      <c r="A27" s="18" t="s">
        <v>105</v>
      </c>
      <c r="B27" s="21" t="n">
        <f aca="false">B26/'1. Assumptions'!$B$9</f>
        <v>0.973710798567118</v>
      </c>
    </row>
    <row r="29" customFormat="false" ht="15" hidden="false" customHeight="false" outlineLevel="0" collapsed="false">
      <c r="A29" s="3" t="s">
        <v>153</v>
      </c>
    </row>
    <row r="30" customFormat="false" ht="15" hidden="false" customHeight="false" outlineLevel="0" collapsed="false">
      <c r="A30" s="14"/>
      <c r="B30" s="14" t="s">
        <v>123</v>
      </c>
      <c r="C30" s="14" t="s">
        <v>124</v>
      </c>
      <c r="D30" s="14" t="s">
        <v>125</v>
      </c>
    </row>
    <row r="31" customFormat="false" ht="15" hidden="false" customHeight="false" outlineLevel="0" collapsed="false">
      <c r="A31" s="0" t="s">
        <v>71</v>
      </c>
      <c r="B31" s="15" t="n">
        <f aca="false">B6/'1. Assumptions'!$B$7</f>
        <v>77.4436090225564</v>
      </c>
      <c r="C31" s="15" t="n">
        <f aca="false">C6/'1. Assumptions'!$B$7</f>
        <v>81.9548872180451</v>
      </c>
      <c r="D31" s="15" t="n">
        <f aca="false">D6/'1. Assumptions'!$B$7</f>
        <v>89.4736842105263</v>
      </c>
    </row>
    <row r="32" customFormat="false" ht="15" hidden="false" customHeight="false" outlineLevel="0" collapsed="false">
      <c r="A32" s="0" t="s">
        <v>74</v>
      </c>
      <c r="B32" s="16" t="n">
        <f aca="false">B11/B31</f>
        <v>1.09912233009709</v>
      </c>
      <c r="C32" s="16" t="n">
        <f aca="false">C11/C31</f>
        <v>1.05105531743119</v>
      </c>
      <c r="D32" s="16" t="n">
        <f aca="false">D11/D31</f>
        <v>0.969398923105883</v>
      </c>
    </row>
    <row r="33" customFormat="false" ht="15" hidden="false" customHeight="false" outlineLevel="0" collapsed="false">
      <c r="A33" s="0" t="s">
        <v>77</v>
      </c>
      <c r="B33" s="17" t="n">
        <f aca="false">B6/B7</f>
        <v>0.821371610845295</v>
      </c>
      <c r="C33" s="17" t="n">
        <f aca="false">C6/C7</f>
        <v>0.842463889988128</v>
      </c>
      <c r="D33" s="17" t="n">
        <f aca="false">D6/D7</f>
        <v>0.908872457533935</v>
      </c>
    </row>
    <row r="34" customFormat="false" ht="15" hidden="false" customHeight="false" outlineLevel="0" collapsed="false">
      <c r="A34" s="0" t="s">
        <v>154</v>
      </c>
      <c r="B34" s="0" t="str">
        <f aca="false">IF(AND(B32&lt;='1. Assumptions'!$B$13,B33&gt;='1. Assumptions'!$B$12),"yes","NO")</f>
        <v>NO</v>
      </c>
      <c r="C34" s="0" t="str">
        <f aca="false">IF(AND(C32&lt;='1. Assumptions'!$B$13,C33&gt;='1. Assumptions'!$B$12),"yes","NO")</f>
        <v>NO</v>
      </c>
      <c r="D34" s="0" t="str">
        <f aca="false">IF(AND(D32&lt;='1. Assumptions'!$B$13,D33&gt;='1. Assumptions'!$B$12),"yes","NO")</f>
        <v>NO</v>
      </c>
    </row>
    <row r="36" customFormat="false" ht="15" hidden="false" customHeight="false" outlineLevel="0" collapsed="false">
      <c r="A36" s="3" t="s">
        <v>155</v>
      </c>
    </row>
    <row r="37" customFormat="false" ht="15" hidden="false" customHeight="false" outlineLevel="0" collapsed="false">
      <c r="A37" s="0" t="s">
        <v>156</v>
      </c>
      <c r="B37" s="15" t="n">
        <f aca="false">B20/(1-'1. Assumptions'!$B$31)</f>
        <v>88.9596852512821</v>
      </c>
    </row>
    <row r="38" customFormat="false" ht="15" hidden="false" customHeight="false" outlineLevel="0" collapsed="false">
      <c r="A38" s="18" t="s">
        <v>157</v>
      </c>
      <c r="B38" s="21" t="n">
        <f aca="false">D6/B37</f>
        <v>0.0668842294483528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0"/>
    <col collapsed="false" customWidth="true" hidden="false" outlineLevel="0" max="4" min="3" style="0" width="13"/>
    <col collapsed="false" customWidth="true" hidden="false" outlineLevel="0" max="5" min="5" style="0" width="11"/>
    <col collapsed="false" customWidth="true" hidden="false" outlineLevel="0" max="6" min="6" style="0" width="60"/>
  </cols>
  <sheetData>
    <row r="1" customFormat="false" ht="16.15" hidden="false" customHeight="false" outlineLevel="0" collapsed="false">
      <c r="A1" s="5" t="s">
        <v>158</v>
      </c>
    </row>
    <row r="2" customFormat="false" ht="15" hidden="false" customHeight="false" outlineLevel="0" collapsed="false">
      <c r="A2" s="2" t="s">
        <v>159</v>
      </c>
    </row>
    <row r="4" customFormat="false" ht="15" hidden="false" customHeight="false" outlineLevel="0" collapsed="false">
      <c r="A4" s="28" t="s">
        <v>160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68</v>
      </c>
    </row>
    <row r="5" customFormat="false" ht="15" hidden="false" customHeight="false" outlineLevel="0" collapsed="false">
      <c r="A5" s="0" t="s">
        <v>165</v>
      </c>
      <c r="B5" s="4" t="s">
        <v>166</v>
      </c>
      <c r="C5" s="29" t="n">
        <v>137.8</v>
      </c>
      <c r="D5" s="29" t="n">
        <f aca="false">'2. Asset and loan'!$B$6</f>
        <v>137.777777777778</v>
      </c>
      <c r="E5" s="18" t="str">
        <f aca="false">IF(ISNUMBER(D5)=FALSE(),"CHECK",IF(ABS(D5-C5)&lt;=0.05,"OK","CHECK"))</f>
        <v>OK</v>
      </c>
      <c r="F5" s="7"/>
    </row>
    <row r="6" customFormat="false" ht="15" hidden="false" customHeight="false" outlineLevel="0" collapsed="false">
      <c r="A6" s="0" t="s">
        <v>165</v>
      </c>
      <c r="B6" s="4" t="s">
        <v>167</v>
      </c>
      <c r="C6" s="29" t="n">
        <v>77.4</v>
      </c>
      <c r="D6" s="29" t="n">
        <f aca="false">'2. Asset and loan'!$C$6</f>
        <v>77.4436090225564</v>
      </c>
      <c r="E6" s="18" t="str">
        <f aca="false">IF(ISNUMBER(D6)=FALSE(),"CHECK",IF(ABS(D6-C6)&lt;=0.05,"OK","CHECK"))</f>
        <v>OK</v>
      </c>
      <c r="F6" s="7"/>
    </row>
    <row r="7" customFormat="false" ht="15" hidden="false" customHeight="false" outlineLevel="0" collapsed="false">
      <c r="A7" s="0" t="s">
        <v>165</v>
      </c>
      <c r="B7" s="4" t="s">
        <v>86</v>
      </c>
      <c r="C7" s="30" t="n">
        <v>-0.44</v>
      </c>
      <c r="D7" s="30" t="n">
        <f aca="false">'2. Asset and loan'!$B$19</f>
        <v>-0.437909289352413</v>
      </c>
      <c r="E7" s="18" t="str">
        <f aca="false">IF(ISNUMBER(D7)=FALSE(),"CHECK",IF(ABS(D7-C7)&lt;=0.005,"OK","CHECK"))</f>
        <v>OK</v>
      </c>
      <c r="F7" s="7"/>
    </row>
    <row r="8" customFormat="false" ht="15" hidden="false" customHeight="false" outlineLevel="0" collapsed="false">
      <c r="A8" s="0" t="s">
        <v>168</v>
      </c>
      <c r="B8" s="4" t="s">
        <v>169</v>
      </c>
      <c r="C8" s="30" t="n">
        <v>0.6</v>
      </c>
      <c r="D8" s="30" t="n">
        <f aca="false">'2. Asset and loan'!$B$8</f>
        <v>0.598790322580645</v>
      </c>
      <c r="E8" s="18" t="str">
        <f aca="false">IF(ISNUMBER(D8)=FALSE(),"CHECK",IF(ABS(D8-C8)&lt;=0.005,"OK","CHECK"))</f>
        <v>OK</v>
      </c>
      <c r="F8" s="7"/>
    </row>
    <row r="9" customFormat="false" ht="15" hidden="false" customHeight="false" outlineLevel="0" collapsed="false">
      <c r="A9" s="0" t="s">
        <v>168</v>
      </c>
      <c r="B9" s="4" t="s">
        <v>170</v>
      </c>
      <c r="C9" s="30" t="n">
        <v>1.07</v>
      </c>
      <c r="D9" s="30" t="n">
        <f aca="false">'2. Asset and loan'!$C$8</f>
        <v>1.06529126213592</v>
      </c>
      <c r="E9" s="18" t="str">
        <f aca="false">IF(ISNUMBER(D9)=FALSE(),"CHECK",IF(ABS(D9-C9)&lt;=0.005,"OK","CHECK"))</f>
        <v>OK</v>
      </c>
      <c r="F9" s="7"/>
    </row>
    <row r="10" customFormat="false" ht="15" hidden="false" customHeight="false" outlineLevel="0" collapsed="false">
      <c r="A10" s="0" t="s">
        <v>168</v>
      </c>
      <c r="B10" s="4" t="s">
        <v>171</v>
      </c>
      <c r="C10" s="19" t="n">
        <v>1.02</v>
      </c>
      <c r="D10" s="19" t="n">
        <f aca="false">'2. Asset and loan'!$C$11</f>
        <v>1.02334823646299</v>
      </c>
      <c r="E10" s="18" t="str">
        <f aca="false">IF(ISNUMBER(D10)=FALSE(),"CHECK",IF(ABS(D10-C10)&lt;=0.005,"OK","CHECK"))</f>
        <v>OK</v>
      </c>
      <c r="F10" s="7"/>
    </row>
    <row r="11" customFormat="false" ht="15" hidden="false" customHeight="false" outlineLevel="0" collapsed="false">
      <c r="A11" s="0" t="s">
        <v>165</v>
      </c>
      <c r="B11" s="4" t="s">
        <v>172</v>
      </c>
      <c r="C11" s="29" t="n">
        <v>55.3</v>
      </c>
      <c r="D11" s="29" t="n">
        <f aca="false">'2. Asset and loan'!$B$12</f>
        <v>55.2777777777778</v>
      </c>
      <c r="E11" s="18" t="str">
        <f aca="false">IF(ISNUMBER(D11)=FALSE(),"CHECK",IF(ABS(D11-C11)&lt;=0.05,"OK","CHECK"))</f>
        <v>OK</v>
      </c>
      <c r="F11" s="7"/>
    </row>
    <row r="12" customFormat="false" ht="15" hidden="false" customHeight="false" outlineLevel="0" collapsed="false">
      <c r="A12" s="0" t="s">
        <v>165</v>
      </c>
      <c r="B12" s="4" t="s">
        <v>173</v>
      </c>
      <c r="C12" s="29" t="n">
        <v>-5.1</v>
      </c>
      <c r="D12" s="29" t="n">
        <f aca="false">'2. Asset and loan'!$C$12</f>
        <v>-5.05639097744361</v>
      </c>
      <c r="E12" s="18" t="str">
        <f aca="false">IF(ISNUMBER(D12)=FALSE(),"CHECK",IF(ABS(D12-C12)&lt;=0.05,"OK","CHECK"))</f>
        <v>OK</v>
      </c>
      <c r="F12" s="7"/>
    </row>
    <row r="13" customFormat="false" ht="15" hidden="false" customHeight="false" outlineLevel="0" collapsed="false">
      <c r="A13" s="0" t="s">
        <v>174</v>
      </c>
      <c r="B13" s="4" t="s">
        <v>175</v>
      </c>
      <c r="C13" s="15" t="n">
        <v>63.5</v>
      </c>
      <c r="D13" s="15" t="n">
        <f aca="false">'3. The four options'!$B$7</f>
        <v>63.5037593984962</v>
      </c>
      <c r="E13" s="18" t="str">
        <f aca="false">IF(ISNUMBER(D13)=FALSE(),"CHECK",IF(ABS(D13-C13)&lt;=0.005,"OK","CHECK"))</f>
        <v>OK</v>
      </c>
      <c r="F13" s="7"/>
    </row>
    <row r="14" customFormat="false" ht="15" hidden="false" customHeight="false" outlineLevel="0" collapsed="false">
      <c r="A14" s="0" t="s">
        <v>174</v>
      </c>
      <c r="B14" s="4" t="s">
        <v>176</v>
      </c>
      <c r="C14" s="15" t="n">
        <v>3.49</v>
      </c>
      <c r="D14" s="15" t="n">
        <f aca="false">'3. The four options'!$B$8</f>
        <v>3.49270676691729</v>
      </c>
      <c r="E14" s="18" t="str">
        <f aca="false">IF(ISNUMBER(D14)=FALSE(),"CHECK",IF(ABS(D14-C14)&lt;=0.005,"OK","CHECK"))</f>
        <v>OK</v>
      </c>
      <c r="F14" s="7"/>
    </row>
    <row r="15" customFormat="false" ht="15" hidden="false" customHeight="false" outlineLevel="0" collapsed="false">
      <c r="A15" s="0" t="s">
        <v>174</v>
      </c>
      <c r="B15" s="4" t="s">
        <v>177</v>
      </c>
      <c r="C15" s="15" t="n">
        <v>3.66</v>
      </c>
      <c r="D15" s="15" t="n">
        <f aca="false">'3. The four options'!$B$10</f>
        <v>3.65921052631579</v>
      </c>
      <c r="E15" s="18" t="str">
        <f aca="false">IF(ISNUMBER(D15)=FALSE(),"CHECK",IF(ABS(D15-C15)&lt;=0.005,"OK","CHECK"))</f>
        <v>OK</v>
      </c>
      <c r="F15" s="7"/>
    </row>
    <row r="16" customFormat="false" ht="15" hidden="false" customHeight="false" outlineLevel="0" collapsed="false">
      <c r="A16" s="0" t="s">
        <v>174</v>
      </c>
      <c r="B16" s="4" t="s">
        <v>178</v>
      </c>
      <c r="C16" s="15" t="n">
        <v>56.35</v>
      </c>
      <c r="D16" s="15" t="n">
        <f aca="false">'3. The four options'!$B$11</f>
        <v>56.3518421052632</v>
      </c>
      <c r="E16" s="18" t="str">
        <f aca="false">IF(ISNUMBER(D16)=FALSE(),"CHECK",IF(ABS(D16-C16)&lt;=0.005,"OK","CHECK"))</f>
        <v>OK</v>
      </c>
      <c r="F16" s="7"/>
    </row>
    <row r="17" customFormat="false" ht="15" hidden="false" customHeight="false" outlineLevel="0" collapsed="false">
      <c r="A17" s="0" t="s">
        <v>174</v>
      </c>
      <c r="B17" s="4" t="s">
        <v>179</v>
      </c>
      <c r="C17" s="15" t="n">
        <v>46.42</v>
      </c>
      <c r="D17" s="15" t="n">
        <f aca="false">'3. The four options'!$B$13</f>
        <v>46.4192903821651</v>
      </c>
      <c r="E17" s="18" t="str">
        <f aca="false">IF(ISNUMBER(D17)=FALSE(),"CHECK",IF(ABS(D17-C17)&lt;=0.005,"OK","CHECK"))</f>
        <v>OK</v>
      </c>
      <c r="F17" s="7"/>
    </row>
    <row r="18" customFormat="false" ht="15" hidden="false" customHeight="false" outlineLevel="0" collapsed="false">
      <c r="A18" s="0" t="s">
        <v>174</v>
      </c>
      <c r="B18" s="4" t="s">
        <v>180</v>
      </c>
      <c r="C18" s="30" t="n">
        <v>0.563</v>
      </c>
      <c r="D18" s="30" t="n">
        <f aca="false">'3. The four options'!$B$14</f>
        <v>0.562658065238364</v>
      </c>
      <c r="E18" s="18" t="str">
        <f aca="false">IF(ISNUMBER(D18)=FALSE(),"CHECK",IF(ABS(D18-C18)&lt;=0.0005,"OK","CHECK"))</f>
        <v>OK</v>
      </c>
      <c r="F18" s="7"/>
    </row>
    <row r="19" customFormat="false" ht="15" hidden="false" customHeight="false" outlineLevel="0" collapsed="false">
      <c r="A19" s="0" t="s">
        <v>181</v>
      </c>
      <c r="B19" s="4" t="s">
        <v>182</v>
      </c>
      <c r="C19" s="15" t="n">
        <v>80.33</v>
      </c>
      <c r="D19" s="15" t="n">
        <f aca="false">'3. The four options'!$C$13</f>
        <v>80.3311408817872</v>
      </c>
      <c r="E19" s="18" t="str">
        <f aca="false">IF(ISNUMBER(D19)=FALSE(),"CHECK",IF(ABS(D19-C19)&lt;=0.005,"OK","CHECK"))</f>
        <v>OK</v>
      </c>
      <c r="F19" s="7" t="s">
        <v>183</v>
      </c>
    </row>
    <row r="20" customFormat="false" ht="15" hidden="false" customHeight="false" outlineLevel="0" collapsed="false">
      <c r="A20" s="0" t="s">
        <v>181</v>
      </c>
      <c r="B20" s="4" t="s">
        <v>184</v>
      </c>
      <c r="C20" s="30" t="n">
        <v>0.974</v>
      </c>
      <c r="D20" s="30" t="n">
        <f aca="false">'3. The four options'!$C$14</f>
        <v>0.973710798567118</v>
      </c>
      <c r="E20" s="18" t="str">
        <f aca="false">IF(ISNUMBER(D20)=FALSE(),"CHECK",IF(ABS(D20-C20)&lt;=0.0005,"OK","CHECK"))</f>
        <v>OK</v>
      </c>
      <c r="F20" s="7" t="s">
        <v>185</v>
      </c>
    </row>
    <row r="21" customFormat="false" ht="15" hidden="false" customHeight="false" outlineLevel="0" collapsed="false">
      <c r="A21" s="0" t="s">
        <v>181</v>
      </c>
      <c r="B21" s="4" t="s">
        <v>186</v>
      </c>
      <c r="C21" s="15" t="n">
        <v>6.27</v>
      </c>
      <c r="D21" s="15" t="n">
        <f aca="false">'4. The extension'!$B$7</f>
        <v>6.27</v>
      </c>
      <c r="E21" s="18" t="str">
        <f aca="false">IF(ISNUMBER(D21)=FALSE(),"CHECK",IF(ABS(D21-C21)&lt;=0.005,"OK","CHECK"))</f>
        <v>OK</v>
      </c>
      <c r="F21" s="7"/>
    </row>
    <row r="22" customFormat="false" ht="15" hidden="false" customHeight="false" outlineLevel="0" collapsed="false">
      <c r="A22" s="0" t="s">
        <v>181</v>
      </c>
      <c r="B22" s="4" t="s">
        <v>187</v>
      </c>
      <c r="C22" s="15" t="n">
        <v>1.12</v>
      </c>
      <c r="D22" s="15" t="n">
        <f aca="false">'4. The extension'!$B$8</f>
        <v>1.12</v>
      </c>
      <c r="E22" s="18" t="str">
        <f aca="false">IF(ISNUMBER(D22)=FALSE(),"CHECK",IF(ABS(D22-C22)&lt;=0.005,"OK","CHECK"))</f>
        <v>OK</v>
      </c>
      <c r="F22" s="7"/>
    </row>
    <row r="23" customFormat="false" ht="15" hidden="false" customHeight="false" outlineLevel="0" collapsed="false">
      <c r="A23" s="0" t="s">
        <v>181</v>
      </c>
      <c r="B23" s="4" t="s">
        <v>188</v>
      </c>
      <c r="C23" s="15" t="n">
        <v>3.65</v>
      </c>
      <c r="D23" s="15" t="n">
        <f aca="false">'4. The extension'!$B$12</f>
        <v>3.65</v>
      </c>
      <c r="E23" s="18" t="str">
        <f aca="false">IF(ISNUMBER(D23)=FALSE(),"CHECK",IF(ABS(D23-C23)&lt;=0.005,"OK","CHECK"))</f>
        <v>OK</v>
      </c>
      <c r="F23" s="7" t="s">
        <v>189</v>
      </c>
    </row>
    <row r="24" customFormat="false" ht="15" hidden="false" customHeight="false" outlineLevel="0" collapsed="false">
      <c r="A24" s="0" t="s">
        <v>181</v>
      </c>
      <c r="B24" s="4" t="s">
        <v>190</v>
      </c>
      <c r="C24" s="15" t="n">
        <v>86.74</v>
      </c>
      <c r="D24" s="15" t="n">
        <f aca="false">'4. The extension'!$D$11</f>
        <v>86.73569312</v>
      </c>
      <c r="E24" s="18" t="str">
        <f aca="false">IF(ISNUMBER(D24)=FALSE(),"CHECK",IF(ABS(D24-C24)&lt;=0.005,"OK","CHECK"))</f>
        <v>OK</v>
      </c>
      <c r="F24" s="7" t="s">
        <v>191</v>
      </c>
    </row>
    <row r="25" customFormat="false" ht="15" hidden="false" customHeight="false" outlineLevel="0" collapsed="false">
      <c r="A25" s="0" t="s">
        <v>181</v>
      </c>
      <c r="B25" s="4" t="s">
        <v>192</v>
      </c>
      <c r="C25" s="29" t="n">
        <v>95.2</v>
      </c>
      <c r="D25" s="29" t="n">
        <f aca="false">'4. The extension'!$B$18</f>
        <v>95.2</v>
      </c>
      <c r="E25" s="18" t="str">
        <f aca="false">IF(ISNUMBER(D25)=FALSE(),"CHECK",IF(ABS(D25-C25)&lt;=0.05,"OK","CHECK"))</f>
        <v>OK</v>
      </c>
      <c r="F25" s="7"/>
    </row>
    <row r="26" customFormat="false" ht="15" hidden="false" customHeight="false" outlineLevel="0" collapsed="false">
      <c r="A26" s="0" t="s">
        <v>193</v>
      </c>
      <c r="B26" s="4" t="s">
        <v>194</v>
      </c>
      <c r="C26" s="16" t="n">
        <v>0.0669</v>
      </c>
      <c r="D26" s="16" t="n">
        <f aca="false">'4. The extension'!$B$38</f>
        <v>0.0668842294483528</v>
      </c>
      <c r="E26" s="18" t="str">
        <f aca="false">IF(ISNUMBER(D26)=FALSE(),"CHECK",IF(ABS(D26-C26)&lt;=0.00005,"OK","CHECK"))</f>
        <v>OK</v>
      </c>
      <c r="F26" s="7" t="s">
        <v>195</v>
      </c>
    </row>
    <row r="27" customFormat="false" ht="15" hidden="false" customHeight="false" outlineLevel="0" collapsed="false">
      <c r="A27" s="0" t="s">
        <v>196</v>
      </c>
      <c r="B27" s="4" t="s">
        <v>197</v>
      </c>
      <c r="C27" s="15" t="n">
        <v>56.89</v>
      </c>
      <c r="D27" s="15" t="n">
        <f aca="false">'3. The four options'!$D$13</f>
        <v>56.8948813421364</v>
      </c>
      <c r="E27" s="18" t="str">
        <f aca="false">IF(ISNUMBER(D27)=FALSE(),"CHECK",IF(ABS(D27-C27)&lt;=0.005,"OK","CHECK"))</f>
        <v>OK</v>
      </c>
      <c r="F27" s="7"/>
    </row>
    <row r="28" customFormat="false" ht="15" hidden="false" customHeight="false" outlineLevel="0" collapsed="false">
      <c r="A28" s="0" t="s">
        <v>196</v>
      </c>
      <c r="B28" s="4" t="s">
        <v>198</v>
      </c>
      <c r="C28" s="30" t="n">
        <v>0.69</v>
      </c>
      <c r="D28" s="30" t="n">
        <f aca="false">'3. The four options'!$D$14</f>
        <v>0.689634925359229</v>
      </c>
      <c r="E28" s="18" t="str">
        <f aca="false">IF(ISNUMBER(D28)=FALSE(),"CHECK",IF(ABS(D28-C28)&lt;=0.0005,"OK","CHECK"))</f>
        <v>OK</v>
      </c>
      <c r="F28" s="7"/>
    </row>
    <row r="29" customFormat="false" ht="15" hidden="false" customHeight="false" outlineLevel="0" collapsed="false">
      <c r="A29" s="0" t="s">
        <v>196</v>
      </c>
      <c r="B29" s="4" t="s">
        <v>199</v>
      </c>
      <c r="C29" s="30" t="n">
        <v>0.587</v>
      </c>
      <c r="D29" s="30" t="n">
        <f aca="false">'3. The four options'!$B$20</f>
        <v>0.587432266079911</v>
      </c>
      <c r="E29" s="18" t="str">
        <f aca="false">IF(ISNUMBER(D29)=FALSE(),"CHECK",IF(ABS(D29-C29)&lt;=0.0005,"OK","CHECK"))</f>
        <v>OK</v>
      </c>
      <c r="F29" s="7"/>
    </row>
    <row r="30" customFormat="false" ht="15" hidden="false" customHeight="false" outlineLevel="0" collapsed="false">
      <c r="A30" s="0" t="s">
        <v>196</v>
      </c>
      <c r="B30" s="4" t="s">
        <v>200</v>
      </c>
      <c r="C30" s="15" t="n">
        <v>10.48</v>
      </c>
      <c r="D30" s="15" t="n">
        <f aca="false">'3. The four options'!$D$13-'3. The four options'!$B$13</f>
        <v>10.4755909599713</v>
      </c>
      <c r="E30" s="18" t="str">
        <f aca="false">IF(ISNUMBER(D30)=FALSE(),"CHECK",IF(ABS(D30-C30)&lt;=0.005,"OK","CHECK"))</f>
        <v>OK</v>
      </c>
      <c r="F30" s="7"/>
    </row>
    <row r="31" customFormat="false" ht="15" hidden="false" customHeight="false" outlineLevel="0" collapsed="false">
      <c r="A31" s="0" t="s">
        <v>201</v>
      </c>
      <c r="B31" s="4" t="s">
        <v>202</v>
      </c>
      <c r="C31" s="15" t="n">
        <v>10.94</v>
      </c>
      <c r="D31" s="15" t="n">
        <f aca="false">'3. The four options'!$B$22</f>
        <v>10.9368380484073</v>
      </c>
      <c r="E31" s="18" t="str">
        <f aca="false">IF(ISNUMBER(D31)=FALSE(),"CHECK",IF(ABS(D31-C31)&lt;=0.005,"OK","CHECK"))</f>
        <v>OK</v>
      </c>
      <c r="F31" s="7"/>
    </row>
    <row r="32" customFormat="false" ht="15" hidden="false" customHeight="false" outlineLevel="0" collapsed="false">
      <c r="A32" s="0" t="s">
        <v>203</v>
      </c>
      <c r="B32" s="4" t="s">
        <v>204</v>
      </c>
      <c r="C32" s="15" t="n">
        <v>75.12</v>
      </c>
      <c r="D32" s="15" t="n">
        <f aca="false">'3. The four options'!$E$7</f>
        <v>75.1203007518797</v>
      </c>
      <c r="E32" s="18" t="str">
        <f aca="false">IF(ISNUMBER(D32)=FALSE(),"CHECK",IF(ABS(D32-C32)&lt;=0.005,"OK","CHECK"))</f>
        <v>OK</v>
      </c>
      <c r="F32" s="7" t="s">
        <v>205</v>
      </c>
    </row>
    <row r="33" customFormat="false" ht="15" hidden="false" customHeight="false" outlineLevel="0" collapsed="false">
      <c r="A33" s="0" t="s">
        <v>203</v>
      </c>
      <c r="B33" s="4" t="s">
        <v>206</v>
      </c>
      <c r="C33" s="15" t="n">
        <v>71.78</v>
      </c>
      <c r="D33" s="15" t="n">
        <f aca="false">'3. The four options'!$E$11</f>
        <v>71.7786090225564</v>
      </c>
      <c r="E33" s="18" t="str">
        <f aca="false">IF(ISNUMBER(D33)=FALSE(),"CHECK",IF(ABS(D33-C33)&lt;=0.005,"OK","CHECK"))</f>
        <v>OK</v>
      </c>
      <c r="F33" s="7"/>
    </row>
    <row r="34" customFormat="false" ht="15" hidden="false" customHeight="false" outlineLevel="0" collapsed="false">
      <c r="A34" s="0" t="s">
        <v>203</v>
      </c>
      <c r="B34" s="4" t="s">
        <v>207</v>
      </c>
      <c r="C34" s="15" t="n">
        <v>66.42</v>
      </c>
      <c r="D34" s="15" t="n">
        <f aca="false">'3. The four options'!$E$13</f>
        <v>66.4218840050048</v>
      </c>
      <c r="E34" s="18" t="str">
        <f aca="false">IF(ISNUMBER(D34)=FALSE(),"CHECK",IF(ABS(D34-C34)&lt;=0.005,"OK","CHECK"))</f>
        <v>OK</v>
      </c>
      <c r="F34" s="7" t="s">
        <v>208</v>
      </c>
    </row>
    <row r="35" customFormat="false" ht="15" hidden="false" customHeight="false" outlineLevel="0" collapsed="false">
      <c r="A35" s="0" t="s">
        <v>203</v>
      </c>
      <c r="B35" s="4" t="s">
        <v>209</v>
      </c>
      <c r="C35" s="30" t="n">
        <v>0.805</v>
      </c>
      <c r="D35" s="30" t="n">
        <f aca="false">'3. The four options'!$E$14</f>
        <v>0.80511374551521</v>
      </c>
      <c r="E35" s="18" t="str">
        <f aca="false">IF(ISNUMBER(D35)=FALSE(),"CHECK",IF(ABS(D35-C35)&lt;=0.0005,"OK","CHECK"))</f>
        <v>OK</v>
      </c>
      <c r="F35" s="7"/>
    </row>
    <row r="36" customFormat="false" ht="15" hidden="false" customHeight="false" outlineLevel="0" collapsed="false">
      <c r="A36" s="0" t="s">
        <v>203</v>
      </c>
      <c r="B36" s="4" t="s">
        <v>210</v>
      </c>
      <c r="C36" s="15" t="n">
        <v>20</v>
      </c>
      <c r="D36" s="15" t="n">
        <f aca="false">'3. The four options'!$E$13-'3. The four options'!$B$13</f>
        <v>20.0025936228397</v>
      </c>
      <c r="E36" s="18" t="str">
        <f aca="false">IF(ISNUMBER(D36)=FALSE(),"CHECK",IF(ABS(D36-C36)&lt;=0.005,"OK","CHECK"))</f>
        <v>OK</v>
      </c>
      <c r="F36" s="7"/>
    </row>
    <row r="37" customFormat="false" ht="15" hidden="false" customHeight="false" outlineLevel="0" collapsed="false">
      <c r="A37" s="0" t="s">
        <v>211</v>
      </c>
      <c r="B37" s="4" t="s">
        <v>212</v>
      </c>
      <c r="C37" s="22" t="n">
        <v>4</v>
      </c>
      <c r="D37" s="22" t="n">
        <f aca="false">'3. The four options'!$B$15</f>
        <v>4</v>
      </c>
      <c r="E37" s="18" t="str">
        <f aca="false">IF(ISNUMBER(D37)=FALSE(),"CHECK",IF(ABS(D37-C37)&lt;=0,"OK","CHECK"))</f>
        <v>OK</v>
      </c>
      <c r="F37" s="7"/>
    </row>
    <row r="38" customFormat="false" ht="15" hidden="false" customHeight="false" outlineLevel="0" collapsed="false">
      <c r="A38" s="0" t="s">
        <v>211</v>
      </c>
      <c r="B38" s="4" t="s">
        <v>213</v>
      </c>
      <c r="C38" s="22" t="n">
        <v>1</v>
      </c>
      <c r="D38" s="22" t="n">
        <f aca="false">'3. The four options'!$C$15</f>
        <v>1</v>
      </c>
      <c r="E38" s="18" t="str">
        <f aca="false">IF(ISNUMBER(D38)=FALSE(),"CHECK",IF(ABS(D38-C38)&lt;=0,"OK","CHECK"))</f>
        <v>OK</v>
      </c>
      <c r="F38" s="7"/>
    </row>
    <row r="39" customFormat="false" ht="15" hidden="false" customHeight="false" outlineLevel="0" collapsed="false">
      <c r="A39" s="0" t="s">
        <v>211</v>
      </c>
      <c r="B39" s="4" t="s">
        <v>214</v>
      </c>
      <c r="C39" s="22" t="n">
        <v>3</v>
      </c>
      <c r="D39" s="22" t="n">
        <f aca="false">'3. The four options'!$D$15</f>
        <v>3</v>
      </c>
      <c r="E39" s="18" t="str">
        <f aca="false">IF(ISNUMBER(D39)=FALSE(),"CHECK",IF(ABS(D39-C39)&lt;=0,"OK","CHECK"))</f>
        <v>OK</v>
      </c>
      <c r="F39" s="7"/>
    </row>
    <row r="40" customFormat="false" ht="15" hidden="false" customHeight="false" outlineLevel="0" collapsed="false">
      <c r="A40" s="0" t="s">
        <v>211</v>
      </c>
      <c r="B40" s="4" t="s">
        <v>215</v>
      </c>
      <c r="C40" s="22" t="n">
        <v>2</v>
      </c>
      <c r="D40" s="22" t="n">
        <f aca="false">'3. The four options'!$E$15</f>
        <v>2</v>
      </c>
      <c r="E40" s="18" t="str">
        <f aca="false">IF(ISNUMBER(D40)=FALSE(),"CHECK",IF(ABS(D40-C40)&lt;=0,"OK","CHECK"))</f>
        <v>OK</v>
      </c>
      <c r="F40" s="7"/>
    </row>
    <row r="41" customFormat="false" ht="15" hidden="false" customHeight="false" outlineLevel="0" collapsed="false">
      <c r="A41" s="0" t="s">
        <v>211</v>
      </c>
      <c r="B41" s="4" t="s">
        <v>216</v>
      </c>
      <c r="C41" s="15" t="n">
        <v>35.84</v>
      </c>
      <c r="D41" s="15" t="n">
        <f aca="false">'3. The four options'!$B$26</f>
        <v>35.8442091892653</v>
      </c>
      <c r="E41" s="18" t="str">
        <f aca="false">IF(ISNUMBER(D41)=FALSE(),"CHECK",IF(ABS(D41-C41)&lt;=0.005,"OK","CHECK"))</f>
        <v>OK</v>
      </c>
      <c r="F41" s="7"/>
    </row>
    <row r="42" customFormat="false" ht="15" hidden="false" customHeight="false" outlineLevel="0" collapsed="false">
      <c r="A42" s="0" t="s">
        <v>211</v>
      </c>
      <c r="B42" s="4" t="s">
        <v>217</v>
      </c>
      <c r="C42" s="31" t="n">
        <v>0.47</v>
      </c>
      <c r="D42" s="31" t="n">
        <f aca="false">'3. The four options'!$B$27</f>
        <v>0.473187773397499</v>
      </c>
      <c r="E42" s="18" t="str">
        <f aca="false">IF(ISNUMBER(D42)=FALSE(),"CHECK",IF(ABS(D42-C42)&lt;=0.005,"OK","CHECK"))</f>
        <v>OK</v>
      </c>
      <c r="F42" s="7" t="s">
        <v>218</v>
      </c>
    </row>
    <row r="43" customFormat="false" ht="15" hidden="false" customHeight="false" outlineLevel="0" collapsed="false">
      <c r="A43" s="0" t="s">
        <v>219</v>
      </c>
      <c r="B43" s="4" t="s">
        <v>220</v>
      </c>
      <c r="C43" s="15" t="n">
        <v>36.08</v>
      </c>
      <c r="D43" s="15" t="n">
        <f aca="false">'3. The four options'!$B$16</f>
        <v>36.0807096178349</v>
      </c>
      <c r="E43" s="18" t="str">
        <f aca="false">IF(ISNUMBER(D43)=FALSE(),"CHECK",IF(ABS(D43-C43)&lt;=0.005,"OK","CHECK"))</f>
        <v>OK</v>
      </c>
      <c r="F43" s="7"/>
    </row>
    <row r="44" customFormat="false" ht="15" hidden="false" customHeight="false" outlineLevel="0" collapsed="false">
      <c r="A44" s="0" t="s">
        <v>219</v>
      </c>
      <c r="B44" s="4" t="s">
        <v>221</v>
      </c>
      <c r="C44" s="15" t="n">
        <v>16.08</v>
      </c>
      <c r="D44" s="15" t="n">
        <f aca="false">'3. The four options'!$E$16</f>
        <v>16.0781159949952</v>
      </c>
      <c r="E44" s="18" t="str">
        <f aca="false">IF(ISNUMBER(D44)=FALSE(),"CHECK",IF(ABS(D44-C44)&lt;=0.005,"OK","CHECK"))</f>
        <v>OK</v>
      </c>
      <c r="F44" s="7" t="s">
        <v>222</v>
      </c>
    </row>
    <row r="45" customFormat="false" ht="15" hidden="false" customHeight="false" outlineLevel="0" collapsed="false">
      <c r="A45" s="0" t="s">
        <v>219</v>
      </c>
      <c r="B45" s="4" t="s">
        <v>223</v>
      </c>
      <c r="C45" s="15" t="n">
        <v>25.61</v>
      </c>
      <c r="D45" s="15" t="n">
        <f aca="false">'3. The four options'!$D$16</f>
        <v>25.6051186578636</v>
      </c>
      <c r="E45" s="18" t="str">
        <f aca="false">IF(ISNUMBER(D45)=FALSE(),"CHECK",IF(ABS(D45-C45)&lt;=0.005,"OK","CHECK"))</f>
        <v>OK</v>
      </c>
      <c r="F45" s="7"/>
    </row>
    <row r="46" customFormat="false" ht="15" hidden="false" customHeight="false" outlineLevel="0" collapsed="false">
      <c r="A46" s="0" t="s">
        <v>219</v>
      </c>
      <c r="B46" s="4" t="s">
        <v>224</v>
      </c>
      <c r="C46" s="15" t="n">
        <v>2.17</v>
      </c>
      <c r="D46" s="15" t="n">
        <f aca="false">'3. The four options'!$C$16</f>
        <v>2.16885911821281</v>
      </c>
      <c r="E46" s="18" t="str">
        <f aca="false">IF(ISNUMBER(D46)=FALSE(),"CHECK",IF(ABS(D46-C46)&lt;=0.005,"OK","CHECK"))</f>
        <v>OK</v>
      </c>
      <c r="F46" s="7" t="s">
        <v>225</v>
      </c>
    </row>
    <row r="47" customFormat="false" ht="15" hidden="false" customHeight="false" outlineLevel="0" collapsed="false">
      <c r="A47" s="0" t="s">
        <v>226</v>
      </c>
      <c r="B47" s="4" t="s">
        <v>227</v>
      </c>
      <c r="C47" s="30" t="n">
        <v>0.496</v>
      </c>
      <c r="D47" s="30" t="n">
        <f aca="false">'3. The four options'!$B$28</f>
        <v>0.495884380457068</v>
      </c>
      <c r="E47" s="18" t="str">
        <f aca="false">IF(ISNUMBER(D47)=FALSE(),"CHECK",IF(ABS(D47-C47)&lt;=0.0005,"OK","CHECK"))</f>
        <v>OK</v>
      </c>
      <c r="F47" s="7"/>
    </row>
    <row r="48" customFormat="false" ht="15" hidden="false" customHeight="false" outlineLevel="0" collapsed="false">
      <c r="A48" s="0" t="s">
        <v>228</v>
      </c>
      <c r="B48" s="4" t="s">
        <v>229</v>
      </c>
      <c r="D48" s="0" t="str">
        <f aca="false">IF(AND('4. The extension'!B12&lt;='4. The extension'!B6+0.000000001,'4. The extension'!C12&lt;='4. The extension'!C6+0.000000001,'4. The extension'!D12&lt;='4. The extension'!D6+0.000000001),"OK","CHECK")</f>
        <v>OK</v>
      </c>
      <c r="E48" s="18" t="str">
        <f aca="false">IF(D48="OK","OK","CHECK")</f>
        <v>OK</v>
      </c>
      <c r="F48" s="7" t="s">
        <v>230</v>
      </c>
    </row>
    <row r="49" customFormat="false" ht="15" hidden="false" customHeight="false" outlineLevel="0" collapsed="false">
      <c r="A49" s="0" t="s">
        <v>228</v>
      </c>
      <c r="B49" s="4" t="s">
        <v>231</v>
      </c>
      <c r="D49" s="0" t="str">
        <f aca="false">IF(ABS('4. The extension'!D11-('4. The extension'!B5+SUM('4. The extension'!B7:D7)-SUM('4. The extension'!B12:D12)))&lt;0.000000001,"OK","CHECK")</f>
        <v>OK</v>
      </c>
      <c r="E49" s="18" t="str">
        <f aca="false">IF(D49="OK","OK","CHECK")</f>
        <v>OK</v>
      </c>
      <c r="F49" s="7" t="s">
        <v>232</v>
      </c>
    </row>
    <row r="50" customFormat="false" ht="15" hidden="false" customHeight="false" outlineLevel="0" collapsed="false">
      <c r="A50" s="0" t="s">
        <v>228</v>
      </c>
      <c r="B50" s="4" t="s">
        <v>233</v>
      </c>
      <c r="D50" s="0" t="str">
        <f aca="false">IF(AND('4. The extension'!B21&lt;='4. The extension'!B20+0.000000001,'4. The extension'!B21&lt;='4. The extension'!B19+0.000000001),"OK","CHECK")</f>
        <v>OK</v>
      </c>
      <c r="E50" s="18" t="str">
        <f aca="false">IF(D50="OK","OK","CHECK")</f>
        <v>OK</v>
      </c>
      <c r="F50" s="7"/>
    </row>
    <row r="51" customFormat="false" ht="15" hidden="false" customHeight="false" outlineLevel="0" collapsed="false">
      <c r="A51" s="0" t="s">
        <v>228</v>
      </c>
      <c r="B51" s="4" t="s">
        <v>234</v>
      </c>
      <c r="D51" s="0" t="str">
        <f aca="false">IF(ABS('3. The four options'!B20*'1. Assumptions'!B9/(1+'1. Assumptions'!B19)^'1. Assumptions'!B34-'3. The four options'!B13)&lt;0.000000001,"OK","CHECK")</f>
        <v>OK</v>
      </c>
      <c r="E51" s="18" t="str">
        <f aca="false">IF(D51="OK","OK","CHECK")</f>
        <v>OK</v>
      </c>
      <c r="F51" s="7"/>
    </row>
    <row r="52" customFormat="false" ht="15" hidden="false" customHeight="false" outlineLevel="0" collapsed="false">
      <c r="A52" s="0" t="s">
        <v>228</v>
      </c>
      <c r="B52" s="4" t="s">
        <v>235</v>
      </c>
      <c r="D52" s="0" t="str">
        <f aca="false">IF(ABS('3. The four options'!B27*'3. The four options'!C13+(1-'3. The four options'!B27)*'3. The four options'!B26-'3. The four options'!D13)&lt;0.000000001,"OK","CHECK")</f>
        <v>OK</v>
      </c>
      <c r="E52" s="18" t="str">
        <f aca="false">IF(D52="OK","OK","CHECK")</f>
        <v>OK</v>
      </c>
      <c r="F52" s="7"/>
    </row>
    <row r="53" customFormat="false" ht="15" hidden="false" customHeight="false" outlineLevel="0" collapsed="false">
      <c r="A53" s="0" t="s">
        <v>228</v>
      </c>
      <c r="B53" s="4" t="s">
        <v>236</v>
      </c>
      <c r="D53" s="0" t="str">
        <f aca="false">IF(ABS('3. The four options'!B7-'3. The four options'!B8-'3. The four options'!B10-'3. The four options'!B11)&lt;0.000000001,"OK","CHECK")</f>
        <v>OK</v>
      </c>
      <c r="E53" s="18" t="str">
        <f aca="false">IF(D53="OK","OK","CHECK")</f>
        <v>OK</v>
      </c>
      <c r="F53" s="7"/>
    </row>
    <row r="55" customFormat="false" ht="15" hidden="false" customHeight="false" outlineLevel="0" collapsed="false">
      <c r="B55" s="18" t="s">
        <v>237</v>
      </c>
      <c r="D55" s="18" t="str">
        <f aca="false">COUNTIF(E5:E53,"OK")&amp;" / 49"</f>
        <v>49 / 49</v>
      </c>
      <c r="E55" s="18" t="str">
        <f aca="false">IF(COUNTIF(E5:E53,"OK")=49,"ALL OK","SOME FAIL")</f>
        <v>ALL OK</v>
      </c>
    </row>
    <row r="57" customFormat="false" ht="22.35" hidden="false" customHeight="false" outlineLevel="0" collapsed="false">
      <c r="B57" s="7" t="s">
        <v>238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2026-08-23T21:42:57Z</dcterms:created>
  <dc:creator>openpyxl</dc:creator>
  <dc:description/>
  <dc:language>en-US</dc:language>
  <cp:lastModifiedBy/>
  <dcterms:modified xsi:type="dcterms:W3CDTF">2026-09-24T00:13:11Z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